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Crittenden Livingston County WD/"/>
    </mc:Choice>
  </mc:AlternateContent>
  <xr:revisionPtr revIDLastSave="0" documentId="8_{92BF3B85-2509-4E45-9A26-5AB6CD7F5641}" xr6:coauthVersionLast="47" xr6:coauthVersionMax="47" xr10:uidLastSave="{00000000-0000-0000-0000-000000000000}"/>
  <bookViews>
    <workbookView xWindow="-98" yWindow="-98" windowWidth="21795" windowHeight="13875" tabRatio="641" xr2:uid="{00000000-000D-0000-FFFF-FFFF00000000}"/>
  </bookViews>
  <sheets>
    <sheet name="SAO" sheetId="6" r:id="rId1"/>
    <sheet name="Medical" sheetId="40" r:id="rId2"/>
    <sheet name="Debt Service" sheetId="50" r:id="rId3"/>
    <sheet name="Purchased Water" sheetId="54" r:id="rId4"/>
    <sheet name="Rates" sheetId="2" r:id="rId5"/>
    <sheet name="Bills" sheetId="42" r:id="rId6"/>
    <sheet name="ExBA" sheetId="52" r:id="rId7"/>
    <sheet name="PrBA" sheetId="58" r:id="rId8"/>
  </sheets>
  <definedNames>
    <definedName name="AHV">#REF!</definedName>
    <definedName name="_xlnm.Print_Area" localSheetId="5">Bills!$B$1:$I$15</definedName>
    <definedName name="_xlnm.Print_Area" localSheetId="2">'Debt Service'!$A$1:$O$28</definedName>
    <definedName name="_xlnm.Print_Area" localSheetId="6">ExBA!$A$1:$K$29</definedName>
    <definedName name="_xlnm.Print_Area" localSheetId="7">PrBA!$A$1:$H$30</definedName>
    <definedName name="_xlnm.Print_Area" localSheetId="4">Rates!$B$1:$I$40</definedName>
    <definedName name="_xlnm.Print_Area" localSheetId="0">SAO!$A$1:$G$48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9" i="2" l="1"/>
  <c r="O39" i="2" s="1"/>
  <c r="N38" i="2"/>
  <c r="O38" i="2" s="1"/>
  <c r="G44" i="6"/>
  <c r="E18" i="6" l="1"/>
  <c r="C13" i="40"/>
  <c r="F22" i="2" l="1"/>
  <c r="F23" i="2"/>
  <c r="F21" i="2"/>
  <c r="D23" i="2"/>
  <c r="J23" i="2" s="1"/>
  <c r="D22" i="2"/>
  <c r="J22" i="2" s="1"/>
  <c r="D21" i="2"/>
  <c r="J21" i="2" s="1"/>
  <c r="F17" i="2"/>
  <c r="F18" i="2"/>
  <c r="F19" i="2"/>
  <c r="F16" i="2"/>
  <c r="E9" i="42" s="1"/>
  <c r="D19" i="2"/>
  <c r="J19" i="2" s="1"/>
  <c r="D17" i="2"/>
  <c r="J17" i="2" s="1"/>
  <c r="D16" i="2"/>
  <c r="J16" i="2" s="1"/>
  <c r="F11" i="2"/>
  <c r="F12" i="2"/>
  <c r="F13" i="2"/>
  <c r="F10" i="2"/>
  <c r="D13" i="2"/>
  <c r="J13" i="2" s="1"/>
  <c r="D12" i="2"/>
  <c r="J12" i="2" s="1"/>
  <c r="D11" i="2"/>
  <c r="J11" i="2" s="1"/>
  <c r="D10" i="2"/>
  <c r="J10" i="2" s="1"/>
  <c r="C20" i="2"/>
  <c r="I20" i="2" s="1"/>
  <c r="C15" i="2"/>
  <c r="I15" i="2" s="1"/>
  <c r="C9" i="2"/>
  <c r="I9" i="2" s="1"/>
  <c r="E8" i="42" l="1"/>
  <c r="E10" i="42"/>
  <c r="B62" i="58"/>
  <c r="B61" i="58"/>
  <c r="B60" i="58"/>
  <c r="D56" i="58"/>
  <c r="C56" i="58"/>
  <c r="C60" i="58" s="1"/>
  <c r="E53" i="58"/>
  <c r="G52" i="58"/>
  <c r="F52" i="58"/>
  <c r="F55" i="58" s="1"/>
  <c r="E52" i="58"/>
  <c r="E54" i="58" s="1"/>
  <c r="F54" i="58" s="1"/>
  <c r="F56" i="58" s="1"/>
  <c r="D61" i="58" s="1"/>
  <c r="A50" i="58"/>
  <c r="B47" i="58"/>
  <c r="B46" i="58"/>
  <c r="B45" i="58"/>
  <c r="B44" i="58"/>
  <c r="D40" i="58"/>
  <c r="C40" i="58"/>
  <c r="C44" i="58" s="1"/>
  <c r="E36" i="58"/>
  <c r="I36" i="58" s="1"/>
  <c r="H35" i="58"/>
  <c r="G35" i="58"/>
  <c r="G39" i="58" s="1"/>
  <c r="F35" i="58"/>
  <c r="F38" i="58" s="1"/>
  <c r="E35" i="58"/>
  <c r="E37" i="58" s="1"/>
  <c r="A33" i="58"/>
  <c r="Q30" i="58"/>
  <c r="B30" i="58"/>
  <c r="B29" i="58"/>
  <c r="B28" i="58"/>
  <c r="B27" i="58"/>
  <c r="D23" i="58"/>
  <c r="F6" i="58" s="1"/>
  <c r="C23" i="58"/>
  <c r="C27" i="58" s="1"/>
  <c r="C31" i="58" s="1"/>
  <c r="E19" i="58"/>
  <c r="I19" i="58" s="1"/>
  <c r="H18" i="58"/>
  <c r="G18" i="58"/>
  <c r="G22" i="58" s="1"/>
  <c r="F18" i="58"/>
  <c r="F22" i="58" s="1"/>
  <c r="E18" i="58"/>
  <c r="E21" i="58" s="1"/>
  <c r="A16" i="58"/>
  <c r="E6" i="58"/>
  <c r="G16" i="6"/>
  <c r="G12" i="52"/>
  <c r="F52" i="52"/>
  <c r="F55" i="52" s="1"/>
  <c r="B61" i="52"/>
  <c r="A50" i="52"/>
  <c r="A33" i="52"/>
  <c r="A16" i="52"/>
  <c r="B62" i="52"/>
  <c r="B60" i="52"/>
  <c r="C56" i="52"/>
  <c r="C60" i="52" s="1"/>
  <c r="D56" i="52"/>
  <c r="E53" i="52"/>
  <c r="G52" i="52"/>
  <c r="E52" i="52"/>
  <c r="E55" i="52" s="1"/>
  <c r="G55" i="52" s="1"/>
  <c r="B47" i="52"/>
  <c r="B46" i="52"/>
  <c r="B45" i="52"/>
  <c r="B44" i="52"/>
  <c r="C40" i="52"/>
  <c r="C44" i="52" s="1"/>
  <c r="E36" i="52"/>
  <c r="I36" i="52" s="1"/>
  <c r="H35" i="52"/>
  <c r="G35" i="52"/>
  <c r="G39" i="52" s="1"/>
  <c r="F35" i="52"/>
  <c r="F38" i="52" s="1"/>
  <c r="E35" i="52"/>
  <c r="E38" i="52" s="1"/>
  <c r="Q30" i="52"/>
  <c r="B30" i="52"/>
  <c r="B29" i="52"/>
  <c r="D18" i="2" s="1"/>
  <c r="J18" i="2" s="1"/>
  <c r="B28" i="52"/>
  <c r="B27" i="52"/>
  <c r="C23" i="52"/>
  <c r="C27" i="52" s="1"/>
  <c r="F27" i="52" s="1"/>
  <c r="E19" i="52"/>
  <c r="I19" i="52" s="1"/>
  <c r="H18" i="52"/>
  <c r="G18" i="52"/>
  <c r="G22" i="52" s="1"/>
  <c r="F18" i="52"/>
  <c r="F21" i="52" s="1"/>
  <c r="E18" i="52"/>
  <c r="E20" i="52" s="1"/>
  <c r="F39" i="58" l="1"/>
  <c r="E38" i="58"/>
  <c r="G38" i="58" s="1"/>
  <c r="E39" i="58"/>
  <c r="C48" i="58"/>
  <c r="E7" i="58" s="1"/>
  <c r="F37" i="58"/>
  <c r="F40" i="58" s="1"/>
  <c r="D45" i="58" s="1"/>
  <c r="E40" i="58"/>
  <c r="D44" i="58" s="1"/>
  <c r="I37" i="58"/>
  <c r="C63" i="58"/>
  <c r="E8" i="58" s="1"/>
  <c r="H39" i="58"/>
  <c r="H40" i="58" s="1"/>
  <c r="D47" i="58" s="1"/>
  <c r="E20" i="58"/>
  <c r="F21" i="58"/>
  <c r="G21" i="58" s="1"/>
  <c r="G23" i="58" s="1"/>
  <c r="D29" i="58" s="1"/>
  <c r="E55" i="58"/>
  <c r="E22" i="58"/>
  <c r="H53" i="58"/>
  <c r="E54" i="52"/>
  <c r="E6" i="52"/>
  <c r="D23" i="52"/>
  <c r="F6" i="52" s="1"/>
  <c r="D40" i="52"/>
  <c r="E39" i="52"/>
  <c r="F39" i="52"/>
  <c r="F22" i="52"/>
  <c r="F20" i="52"/>
  <c r="I20" i="52" s="1"/>
  <c r="E21" i="52"/>
  <c r="E22" i="52"/>
  <c r="H22" i="52" s="1"/>
  <c r="H23" i="52" s="1"/>
  <c r="D30" i="52" s="1"/>
  <c r="F30" i="52" s="1"/>
  <c r="G38" i="52"/>
  <c r="G40" i="52" s="1"/>
  <c r="D46" i="52" s="1"/>
  <c r="F46" i="52" s="1"/>
  <c r="F44" i="52"/>
  <c r="C48" i="52"/>
  <c r="E7" i="52" s="1"/>
  <c r="I22" i="52"/>
  <c r="C63" i="52"/>
  <c r="E8" i="52" s="1"/>
  <c r="F60" i="52"/>
  <c r="H53" i="52"/>
  <c r="C31" i="52"/>
  <c r="G56" i="52"/>
  <c r="D62" i="52" s="1"/>
  <c r="F62" i="52" s="1"/>
  <c r="E37" i="52"/>
  <c r="G40" i="58" l="1"/>
  <c r="D46" i="58" s="1"/>
  <c r="I38" i="58"/>
  <c r="E56" i="52"/>
  <c r="D60" i="52" s="1"/>
  <c r="F54" i="52"/>
  <c r="F56" i="52" s="1"/>
  <c r="D61" i="52" s="1"/>
  <c r="F61" i="52" s="1"/>
  <c r="H22" i="58"/>
  <c r="H23" i="58" s="1"/>
  <c r="D30" i="58" s="1"/>
  <c r="G55" i="58"/>
  <c r="G56" i="58" s="1"/>
  <c r="D62" i="58" s="1"/>
  <c r="F20" i="58"/>
  <c r="F23" i="58" s="1"/>
  <c r="D28" i="58" s="1"/>
  <c r="E23" i="58"/>
  <c r="D27" i="58" s="1"/>
  <c r="D31" i="58" s="1"/>
  <c r="I21" i="58"/>
  <c r="E56" i="58"/>
  <c r="D60" i="58" s="1"/>
  <c r="D63" i="58" s="1"/>
  <c r="F8" i="58" s="1"/>
  <c r="I39" i="58"/>
  <c r="I40" i="58" s="1"/>
  <c r="D48" i="58"/>
  <c r="F7" i="58" s="1"/>
  <c r="F9" i="58" s="1"/>
  <c r="E9" i="58"/>
  <c r="H39" i="52"/>
  <c r="H40" i="52" s="1"/>
  <c r="D47" i="52" s="1"/>
  <c r="F47" i="52" s="1"/>
  <c r="F23" i="52"/>
  <c r="D28" i="52" s="1"/>
  <c r="F28" i="52" s="1"/>
  <c r="E9" i="52"/>
  <c r="E23" i="52"/>
  <c r="D27" i="52" s="1"/>
  <c r="G21" i="52"/>
  <c r="E40" i="52"/>
  <c r="D44" i="52" s="1"/>
  <c r="F63" i="52"/>
  <c r="G8" i="52" s="1"/>
  <c r="D63" i="52"/>
  <c r="F8" i="52" s="1"/>
  <c r="H55" i="52"/>
  <c r="H56" i="52" s="1"/>
  <c r="F37" i="52"/>
  <c r="F40" i="52" s="1"/>
  <c r="D45" i="52" s="1"/>
  <c r="F45" i="52" s="1"/>
  <c r="I38" i="52"/>
  <c r="I20" i="58" l="1"/>
  <c r="H55" i="58"/>
  <c r="H56" i="58" s="1"/>
  <c r="I22" i="58"/>
  <c r="F48" i="52"/>
  <c r="G7" i="52" s="1"/>
  <c r="I39" i="52"/>
  <c r="G23" i="52"/>
  <c r="D29" i="52" s="1"/>
  <c r="I21" i="52"/>
  <c r="I23" i="52" s="1"/>
  <c r="D48" i="52"/>
  <c r="F7" i="52" s="1"/>
  <c r="F9" i="52" s="1"/>
  <c r="I37" i="52"/>
  <c r="I40" i="52" s="1"/>
  <c r="I23" i="58" l="1"/>
  <c r="F29" i="52"/>
  <c r="F31" i="52" s="1"/>
  <c r="G6" i="52" s="1"/>
  <c r="G9" i="52" s="1"/>
  <c r="G11" i="52" s="1"/>
  <c r="G13" i="52" s="1"/>
  <c r="D31" i="52"/>
  <c r="D42" i="54"/>
  <c r="B36" i="54"/>
  <c r="B35" i="54"/>
  <c r="B34" i="54"/>
  <c r="D23" i="6"/>
  <c r="C21" i="50"/>
  <c r="D21" i="50"/>
  <c r="E21" i="50"/>
  <c r="F21" i="50"/>
  <c r="G21" i="50"/>
  <c r="H21" i="50"/>
  <c r="I21" i="50"/>
  <c r="J21" i="50"/>
  <c r="K21" i="50"/>
  <c r="L21" i="50"/>
  <c r="M16" i="50"/>
  <c r="M17" i="50"/>
  <c r="M18" i="50"/>
  <c r="M19" i="50"/>
  <c r="M12" i="50"/>
  <c r="M13" i="50"/>
  <c r="M14" i="50"/>
  <c r="H13" i="52" l="1"/>
  <c r="E6" i="6"/>
  <c r="G32" i="6" l="1"/>
  <c r="G18" i="6"/>
  <c r="G10" i="6"/>
  <c r="G7" i="6"/>
  <c r="A36" i="54"/>
  <c r="A35" i="54"/>
  <c r="H9" i="40" l="1"/>
  <c r="H8" i="40"/>
  <c r="F7" i="40"/>
  <c r="H7" i="40" s="1"/>
  <c r="H6" i="40"/>
  <c r="C10" i="40"/>
  <c r="B10" i="40"/>
  <c r="H10" i="40" l="1"/>
  <c r="C12" i="40" s="1"/>
  <c r="C14" i="40" s="1"/>
  <c r="F10" i="40"/>
  <c r="C24" i="54"/>
  <c r="C16" i="54"/>
  <c r="C7" i="54"/>
  <c r="C25" i="54" l="1"/>
  <c r="D27" i="54"/>
  <c r="D29" i="54" s="1"/>
  <c r="C34" i="54" s="1"/>
  <c r="D34" i="54" s="1"/>
  <c r="E19" i="6" s="1"/>
  <c r="G19" i="6" s="1"/>
  <c r="C36" i="54" l="1"/>
  <c r="D36" i="54" s="1"/>
  <c r="E21" i="6" s="1"/>
  <c r="C35" i="54"/>
  <c r="D35" i="54" s="1"/>
  <c r="E20" i="6" s="1"/>
  <c r="D37" i="54" l="1"/>
  <c r="M15" i="50"/>
  <c r="M21" i="50" s="1"/>
  <c r="D41" i="54" l="1"/>
  <c r="D43" i="54" s="1"/>
  <c r="G31" i="6"/>
  <c r="P21" i="50"/>
  <c r="M24" i="50"/>
  <c r="G39" i="6" s="1"/>
  <c r="M26" i="50" l="1"/>
  <c r="G40" i="6" s="1"/>
  <c r="G6" i="6" l="1"/>
  <c r="G45" i="6" s="1"/>
  <c r="P26" i="50"/>
  <c r="G28" i="6"/>
  <c r="G27" i="6"/>
  <c r="G26" i="6"/>
  <c r="G25" i="6"/>
  <c r="G24" i="6"/>
  <c r="G22" i="6"/>
  <c r="G21" i="6"/>
  <c r="G20" i="6"/>
  <c r="G17" i="6"/>
  <c r="G23" i="6" l="1"/>
  <c r="G11" i="6" l="1"/>
  <c r="G9" i="6" l="1"/>
  <c r="D12" i="6"/>
  <c r="D29" i="6"/>
  <c r="G42" i="6" l="1"/>
  <c r="G29" i="6"/>
  <c r="D33" i="6"/>
  <c r="G33" i="6" l="1"/>
  <c r="G12" i="6"/>
  <c r="D35" i="6"/>
  <c r="G38" i="6" l="1"/>
  <c r="G41" i="6" s="1"/>
  <c r="G12" i="58" s="1"/>
  <c r="G35" i="6"/>
  <c r="G46" i="6" l="1"/>
  <c r="G48" i="6" s="1"/>
  <c r="K5" i="58" s="1"/>
  <c r="L33" i="2" l="1"/>
  <c r="N33" i="2" s="1"/>
  <c r="O33" i="2" s="1"/>
  <c r="L35" i="2"/>
  <c r="N35" i="2" s="1"/>
  <c r="O35" i="2" s="1"/>
  <c r="E60" i="58"/>
  <c r="E44" i="58"/>
  <c r="E30" i="58"/>
  <c r="L13" i="2" s="1"/>
  <c r="N13" i="2" s="1"/>
  <c r="O13" i="2" s="1"/>
  <c r="E29" i="58"/>
  <c r="L12" i="2" s="1"/>
  <c r="N12" i="2" s="1"/>
  <c r="O12" i="2" s="1"/>
  <c r="E28" i="58"/>
  <c r="L11" i="2" s="1"/>
  <c r="N11" i="2" s="1"/>
  <c r="O11" i="2" s="1"/>
  <c r="E27" i="58"/>
  <c r="F27" i="58" l="1"/>
  <c r="L10" i="2"/>
  <c r="F44" i="58"/>
  <c r="L16" i="2"/>
  <c r="F60" i="58"/>
  <c r="L21" i="2"/>
  <c r="E45" i="58"/>
  <c r="F28" i="58"/>
  <c r="E62" i="58"/>
  <c r="E47" i="58"/>
  <c r="F30" i="58"/>
  <c r="E61" i="58"/>
  <c r="E46" i="58"/>
  <c r="F29" i="58"/>
  <c r="N16" i="2" l="1"/>
  <c r="O16" i="2" s="1"/>
  <c r="F9" i="42"/>
  <c r="G9" i="42" s="1"/>
  <c r="H9" i="42" s="1"/>
  <c r="N10" i="2"/>
  <c r="O10" i="2" s="1"/>
  <c r="F8" i="42"/>
  <c r="G8" i="42" s="1"/>
  <c r="H8" i="42" s="1"/>
  <c r="N21" i="2"/>
  <c r="O21" i="2" s="1"/>
  <c r="F61" i="58"/>
  <c r="L22" i="2"/>
  <c r="N22" i="2" s="1"/>
  <c r="O22" i="2" s="1"/>
  <c r="F46" i="58"/>
  <c r="L18" i="2"/>
  <c r="N18" i="2" s="1"/>
  <c r="O18" i="2" s="1"/>
  <c r="F45" i="58"/>
  <c r="L17" i="2"/>
  <c r="N17" i="2" s="1"/>
  <c r="O17" i="2" s="1"/>
  <c r="F47" i="58"/>
  <c r="L19" i="2"/>
  <c r="N19" i="2" s="1"/>
  <c r="O19" i="2" s="1"/>
  <c r="F62" i="58"/>
  <c r="L23" i="2"/>
  <c r="N23" i="2" s="1"/>
  <c r="O23" i="2" s="1"/>
  <c r="F31" i="58"/>
  <c r="G6" i="58" s="1"/>
  <c r="F63" i="58" l="1"/>
  <c r="G8" i="58" s="1"/>
  <c r="F10" i="42"/>
  <c r="G10" i="42" s="1"/>
  <c r="H10" i="42" s="1"/>
  <c r="F48" i="58"/>
  <c r="G7" i="58" s="1"/>
  <c r="G9" i="58" s="1"/>
  <c r="G11" i="58" s="1"/>
  <c r="G13" i="58" s="1"/>
  <c r="H13" i="58" s="1"/>
</calcChain>
</file>

<file path=xl/sharedStrings.xml><?xml version="1.0" encoding="utf-8"?>
<sst xmlns="http://schemas.openxmlformats.org/spreadsheetml/2006/main" count="465" uniqueCount="184">
  <si>
    <t>Total Operating Expenses</t>
  </si>
  <si>
    <t>Taxes Other Than Income</t>
  </si>
  <si>
    <t>Salaries and Wages - Employees</t>
  </si>
  <si>
    <t>Salaries and Wages - Officers</t>
  </si>
  <si>
    <t>Employee Pensions and Benefits</t>
  </si>
  <si>
    <t>Purchased Water</t>
  </si>
  <si>
    <t>Purchased Power</t>
  </si>
  <si>
    <t>Materials and Supplies</t>
  </si>
  <si>
    <t>Contractual Services</t>
  </si>
  <si>
    <t>Miscellaneous Expenses</t>
  </si>
  <si>
    <t>Transportation Expenses</t>
  </si>
  <si>
    <t>Proposed</t>
  </si>
  <si>
    <t>Interest Income</t>
  </si>
  <si>
    <t>Gallons</t>
  </si>
  <si>
    <t>Operating Revenues</t>
  </si>
  <si>
    <t>Sales for Resale</t>
  </si>
  <si>
    <t>Other Water Revenues:</t>
  </si>
  <si>
    <t>Misc. Service Revenues</t>
  </si>
  <si>
    <t>Total Operating Revenues</t>
  </si>
  <si>
    <t>Operating Expenses</t>
  </si>
  <si>
    <t>Depreciation Expense</t>
  </si>
  <si>
    <t>REVENUE REQUIREMENTS</t>
  </si>
  <si>
    <t>Plus:</t>
  </si>
  <si>
    <t>Less:</t>
  </si>
  <si>
    <t>Other Operating Revenue</t>
  </si>
  <si>
    <t>Existing</t>
  </si>
  <si>
    <t>Change</t>
  </si>
  <si>
    <t>1"</t>
  </si>
  <si>
    <t>2"</t>
  </si>
  <si>
    <t>Table A</t>
  </si>
  <si>
    <t>SCHEDULE OF ADJUSTED OPERATIONS</t>
  </si>
  <si>
    <t>Test Year</t>
  </si>
  <si>
    <t>Adjustments</t>
  </si>
  <si>
    <t>Ref.</t>
  </si>
  <si>
    <t>Proforma</t>
  </si>
  <si>
    <t>Operation and Maintenance</t>
  </si>
  <si>
    <t>Insurance - Gen. Liab. &amp; Workers Comp.</t>
  </si>
  <si>
    <t>Total Operation and Mnt. Expenses</t>
  </si>
  <si>
    <t>Total Utility Operating Income</t>
  </si>
  <si>
    <t>Pro Forma Operating Expenses</t>
  </si>
  <si>
    <t>Adjustment</t>
  </si>
  <si>
    <t>Forfeited Discounts</t>
  </si>
  <si>
    <t>Total Metered Retail Sales</t>
  </si>
  <si>
    <t>FIRST</t>
  </si>
  <si>
    <t>ALL OVER</t>
  </si>
  <si>
    <t>USAGE</t>
  </si>
  <si>
    <t>BILLS</t>
  </si>
  <si>
    <t>GALLONS</t>
  </si>
  <si>
    <t>TOTAL</t>
  </si>
  <si>
    <t>RATE</t>
  </si>
  <si>
    <t>REVENUE</t>
  </si>
  <si>
    <t>Other Water Revenues</t>
  </si>
  <si>
    <t>Insurance - Other</t>
  </si>
  <si>
    <t>Bad Debt</t>
  </si>
  <si>
    <t>Revenue Required From Sales of Water</t>
  </si>
  <si>
    <t>Revenue from Sales with Present Rates</t>
  </si>
  <si>
    <t>Total Revenue Requirement</t>
  </si>
  <si>
    <t>Required Revenue Increase</t>
  </si>
  <si>
    <t>Percent Increase</t>
  </si>
  <si>
    <t>Meter</t>
  </si>
  <si>
    <t>Bill</t>
  </si>
  <si>
    <t>Percentage</t>
  </si>
  <si>
    <t>Size</t>
  </si>
  <si>
    <t>5/8 x 3/4"</t>
  </si>
  <si>
    <t>TOTALS</t>
  </si>
  <si>
    <t>per Month*</t>
  </si>
  <si>
    <t>* Highlighted usage represents the average residential bill.</t>
  </si>
  <si>
    <t>Chemicals</t>
  </si>
  <si>
    <t>Average Annual Principal and Interest Payments</t>
  </si>
  <si>
    <t>Additional Working Capital</t>
  </si>
  <si>
    <t>DEBT SERVICE SCHDULE</t>
  </si>
  <si>
    <t>CY 2024</t>
  </si>
  <si>
    <t>CY 2025</t>
  </si>
  <si>
    <t>CY 2026</t>
  </si>
  <si>
    <t>Interest</t>
  </si>
  <si>
    <t>Principal</t>
  </si>
  <si>
    <t>&amp; Fees</t>
  </si>
  <si>
    <t>Average Annual Principal &amp; Interest</t>
  </si>
  <si>
    <t>Average Annual Coverage</t>
  </si>
  <si>
    <t>NEXT</t>
  </si>
  <si>
    <t>Sold</t>
  </si>
  <si>
    <t>Uses:</t>
  </si>
  <si>
    <t xml:space="preserve">  water loss percentage</t>
  </si>
  <si>
    <t xml:space="preserve">  allowable in rates</t>
  </si>
  <si>
    <t xml:space="preserve">  adjustment percentage</t>
  </si>
  <si>
    <t>Produced</t>
  </si>
  <si>
    <t>Purchased</t>
  </si>
  <si>
    <t>Total Produced and Purchased</t>
  </si>
  <si>
    <t>Total Other Water Used</t>
  </si>
  <si>
    <t>Losses:</t>
  </si>
  <si>
    <t xml:space="preserve">   WTP</t>
  </si>
  <si>
    <t xml:space="preserve">   Flushing</t>
  </si>
  <si>
    <t xml:space="preserve">   Fire</t>
  </si>
  <si>
    <t xml:space="preserve">   Other</t>
  </si>
  <si>
    <t xml:space="preserve">   Tank O.F.</t>
  </si>
  <si>
    <t xml:space="preserve">   Line Brks.</t>
  </si>
  <si>
    <t xml:space="preserve">   Line Leaks</t>
  </si>
  <si>
    <t xml:space="preserve">   Unknown</t>
  </si>
  <si>
    <t>Total Losses:</t>
  </si>
  <si>
    <t>Sold, Used, and Lost</t>
  </si>
  <si>
    <t>DIFFERENCE</t>
  </si>
  <si>
    <t>Medical Insurance Adjustment</t>
  </si>
  <si>
    <t>MONTHLY</t>
  </si>
  <si>
    <t>DISTRICT'S</t>
  </si>
  <si>
    <t>Allowable</t>
  </si>
  <si>
    <t>EMPLOYEE</t>
  </si>
  <si>
    <t xml:space="preserve">WATER DIST </t>
  </si>
  <si>
    <t>ANNUAL</t>
  </si>
  <si>
    <t>Employer</t>
  </si>
  <si>
    <t>PREMIUM</t>
  </si>
  <si>
    <t>CONTRIB</t>
  </si>
  <si>
    <t>CONTRIB %</t>
  </si>
  <si>
    <t>Share</t>
  </si>
  <si>
    <t>Premium</t>
  </si>
  <si>
    <t>Allowable Employer Premium</t>
  </si>
  <si>
    <t>Medical Adjustment</t>
  </si>
  <si>
    <t>Medical</t>
  </si>
  <si>
    <t>Dental</t>
  </si>
  <si>
    <t>Vision</t>
  </si>
  <si>
    <t>Administrative</t>
  </si>
  <si>
    <t>Less Annual Premium</t>
  </si>
  <si>
    <t>``</t>
  </si>
  <si>
    <t>Total Adjustment</t>
  </si>
  <si>
    <t>Monthly Surcharge Amount</t>
  </si>
  <si>
    <t>CURRENT AND PROPOSED BILLS</t>
  </si>
  <si>
    <t>/ Number of Bills</t>
  </si>
  <si>
    <t xml:space="preserve">   Excavation Damages</t>
  </si>
  <si>
    <t>Purchased Water above allowable water loss.</t>
  </si>
  <si>
    <t>Purchased Power above allowable water loss.</t>
  </si>
  <si>
    <t>Chemicals above allowable water loss.</t>
  </si>
  <si>
    <t>Computation of Water Loss Adjustment</t>
  </si>
  <si>
    <t>Computation of Water Loss Surcharge:</t>
  </si>
  <si>
    <t>G</t>
  </si>
  <si>
    <t>Proforma Purchased Water</t>
  </si>
  <si>
    <t>Computation of Adjustment to Purchases above Allowable Water Loss:</t>
  </si>
  <si>
    <t>Crittenden Livingston County Water District</t>
  </si>
  <si>
    <t>CY 2027</t>
  </si>
  <si>
    <t>CY 2028</t>
  </si>
  <si>
    <t>CY 2024 - 2028</t>
  </si>
  <si>
    <t>2008 RD Bonds</t>
  </si>
  <si>
    <t>2013 C</t>
  </si>
  <si>
    <t>KIA Radio- Read</t>
  </si>
  <si>
    <t>Moore Hill Water Tower</t>
  </si>
  <si>
    <t>KIA - Meters</t>
  </si>
  <si>
    <t>2018 KACO</t>
  </si>
  <si>
    <t>2017 KACO</t>
  </si>
  <si>
    <t>CURRENT BILLING ANALYSIS - CURRENT USAGE &amp; EXISTING RATES</t>
  </si>
  <si>
    <t xml:space="preserve">  SUMMARY  </t>
  </si>
  <si>
    <t>No. of Bills</t>
  </si>
  <si>
    <t>Gallons Sold</t>
  </si>
  <si>
    <t>Revenue</t>
  </si>
  <si>
    <t>Totals</t>
  </si>
  <si>
    <t>Less Billing Adjustments</t>
  </si>
  <si>
    <t>Net Total</t>
  </si>
  <si>
    <t>Less PSC Annual Report</t>
  </si>
  <si>
    <t>SAO Adjustment</t>
  </si>
  <si>
    <t xml:space="preserve">     REVENUE BY RATE INCREMENT</t>
  </si>
  <si>
    <t>5/8" X 3/4" Meters</t>
  </si>
  <si>
    <t>1" Meters</t>
  </si>
  <si>
    <t>2" Meters</t>
  </si>
  <si>
    <t>Less Revenue Requirement</t>
  </si>
  <si>
    <t>Percent Increase:</t>
  </si>
  <si>
    <t>CURRENT AND PROPOSED MONTHLY RATES</t>
  </si>
  <si>
    <t>CURRENT RATE SCHEDULE</t>
  </si>
  <si>
    <t>PROPOSED RATE SCHEDULE</t>
  </si>
  <si>
    <t>PERCENT</t>
  </si>
  <si>
    <t>First</t>
  </si>
  <si>
    <t>gallons</t>
  </si>
  <si>
    <t>Minimum Bill</t>
  </si>
  <si>
    <t>Next</t>
  </si>
  <si>
    <t>per 1,000 gallons</t>
  </si>
  <si>
    <t>Over</t>
  </si>
  <si>
    <t>(A)</t>
  </si>
  <si>
    <t>(B)</t>
  </si>
  <si>
    <t>(C)</t>
  </si>
  <si>
    <t>Bulk Sales</t>
  </si>
  <si>
    <t>Wholesale Rate</t>
  </si>
  <si>
    <t>Tap Fee</t>
  </si>
  <si>
    <t>5/8" x 3/4"</t>
  </si>
  <si>
    <t>3" Meters</t>
  </si>
  <si>
    <t>4" Meters</t>
  </si>
  <si>
    <t>N/A</t>
  </si>
  <si>
    <t>3"</t>
  </si>
  <si>
    <t>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</si>
</sst>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24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252">
    <xf numFmtId="0" fontId="0" fillId="0" borderId="0" xfId="0"/>
    <xf numFmtId="0" fontId="5" fillId="0" borderId="0" xfId="0" applyFont="1"/>
    <xf numFmtId="165" fontId="5" fillId="0" borderId="0" xfId="0" applyNumberFormat="1" applyFont="1"/>
    <xf numFmtId="3" fontId="5" fillId="0" borderId="0" xfId="0" applyNumberFormat="1" applyFont="1"/>
    <xf numFmtId="0" fontId="0" fillId="0" borderId="6" xfId="0" applyBorder="1"/>
    <xf numFmtId="165" fontId="5" fillId="0" borderId="1" xfId="1" applyNumberFormat="1" applyFont="1" applyBorder="1"/>
    <xf numFmtId="165" fontId="5" fillId="0" borderId="0" xfId="1" applyNumberFormat="1" applyFont="1" applyBorder="1"/>
    <xf numFmtId="165" fontId="5" fillId="0" borderId="0" xfId="1" applyNumberFormat="1" applyFont="1"/>
    <xf numFmtId="165" fontId="5" fillId="0" borderId="3" xfId="1" applyNumberFormat="1" applyFont="1" applyBorder="1"/>
    <xf numFmtId="165" fontId="5" fillId="0" borderId="2" xfId="1" applyNumberFormat="1" applyFont="1" applyBorder="1"/>
    <xf numFmtId="165" fontId="5" fillId="0" borderId="4" xfId="1" applyNumberFormat="1" applyFont="1" applyBorder="1"/>
    <xf numFmtId="165" fontId="5" fillId="0" borderId="7" xfId="1" applyNumberFormat="1" applyFont="1" applyBorder="1"/>
    <xf numFmtId="165" fontId="5" fillId="0" borderId="8" xfId="1" applyNumberFormat="1" applyFont="1" applyBorder="1"/>
    <xf numFmtId="165" fontId="5" fillId="0" borderId="5" xfId="1" applyNumberFormat="1" applyFont="1" applyBorder="1"/>
    <xf numFmtId="165" fontId="5" fillId="0" borderId="6" xfId="1" applyNumberFormat="1" applyFont="1" applyBorder="1"/>
    <xf numFmtId="165" fontId="11" fillId="0" borderId="0" xfId="1" applyNumberFormat="1" applyFont="1" applyBorder="1" applyAlignment="1">
      <alignment horizontal="center"/>
    </xf>
    <xf numFmtId="43" fontId="5" fillId="0" borderId="0" xfId="1" applyFont="1" applyBorder="1"/>
    <xf numFmtId="165" fontId="5" fillId="0" borderId="0" xfId="5" applyNumberFormat="1" applyFont="1"/>
    <xf numFmtId="3" fontId="5" fillId="0" borderId="0" xfId="0" applyNumberFormat="1" applyFont="1" applyAlignment="1">
      <alignment horizontal="right"/>
    </xf>
    <xf numFmtId="165" fontId="5" fillId="0" borderId="7" xfId="5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5" fontId="5" fillId="0" borderId="1" xfId="5" applyNumberFormat="1" applyFont="1" applyBorder="1"/>
    <xf numFmtId="165" fontId="5" fillId="0" borderId="0" xfId="5" applyNumberFormat="1" applyFont="1" applyBorder="1"/>
    <xf numFmtId="0" fontId="5" fillId="0" borderId="0" xfId="0" applyFont="1" applyAlignment="1">
      <alignment horizontal="centerContinuous"/>
    </xf>
    <xf numFmtId="165" fontId="11" fillId="0" borderId="0" xfId="1" applyNumberFormat="1" applyFont="1"/>
    <xf numFmtId="43" fontId="5" fillId="0" borderId="0" xfId="1" applyFont="1" applyBorder="1" applyAlignment="1"/>
    <xf numFmtId="43" fontId="5" fillId="0" borderId="7" xfId="1" applyFont="1" applyBorder="1"/>
    <xf numFmtId="164" fontId="5" fillId="0" borderId="0" xfId="6" applyNumberFormat="1" applyFont="1"/>
    <xf numFmtId="165" fontId="8" fillId="0" borderId="0" xfId="1" applyNumberFormat="1" applyFont="1"/>
    <xf numFmtId="165" fontId="11" fillId="0" borderId="8" xfId="1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165" fontId="11" fillId="0" borderId="7" xfId="1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3" fontId="5" fillId="0" borderId="1" xfId="1" applyFont="1" applyBorder="1"/>
    <xf numFmtId="43" fontId="5" fillId="0" borderId="5" xfId="1" applyFont="1" applyBorder="1"/>
    <xf numFmtId="166" fontId="5" fillId="0" borderId="8" xfId="3" applyNumberFormat="1" applyFont="1" applyBorder="1"/>
    <xf numFmtId="165" fontId="15" fillId="0" borderId="0" xfId="1" applyNumberFormat="1" applyFont="1"/>
    <xf numFmtId="0" fontId="20" fillId="0" borderId="0" xfId="0" applyFont="1" applyAlignment="1">
      <alignment horizontal="center"/>
    </xf>
    <xf numFmtId="10" fontId="5" fillId="0" borderId="0" xfId="0" applyNumberFormat="1" applyFont="1"/>
    <xf numFmtId="165" fontId="5" fillId="0" borderId="0" xfId="5" quotePrefix="1" applyNumberFormat="1" applyFont="1"/>
    <xf numFmtId="0" fontId="5" fillId="0" borderId="7" xfId="0" applyFont="1" applyBorder="1"/>
    <xf numFmtId="165" fontId="5" fillId="0" borderId="0" xfId="1" applyNumberFormat="1" applyFont="1" applyAlignment="1">
      <alignment horizontal="centerContinuous" vertical="center"/>
    </xf>
    <xf numFmtId="165" fontId="5" fillId="0" borderId="0" xfId="1" applyNumberFormat="1" applyFont="1" applyAlignment="1">
      <alignment vertical="center"/>
    </xf>
    <xf numFmtId="165" fontId="13" fillId="0" borderId="0" xfId="1" applyNumberFormat="1" applyFont="1" applyAlignment="1">
      <alignment horizontal="centerContinuous" vertical="center"/>
    </xf>
    <xf numFmtId="165" fontId="10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5" fontId="5" fillId="0" borderId="0" xfId="1" applyNumberFormat="1" applyFont="1" applyAlignment="1">
      <alignment horizontal="center" vertical="center"/>
    </xf>
    <xf numFmtId="165" fontId="14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8" fillId="0" borderId="0" xfId="1" applyNumberFormat="1" applyFont="1" applyAlignment="1">
      <alignment vertical="center"/>
    </xf>
    <xf numFmtId="165" fontId="9" fillId="0" borderId="0" xfId="1" applyNumberFormat="1" applyFont="1" applyAlignment="1">
      <alignment vertical="center"/>
    </xf>
    <xf numFmtId="165" fontId="5" fillId="0" borderId="0" xfId="1" applyNumberFormat="1" applyFont="1" applyAlignment="1">
      <alignment horizontal="center"/>
    </xf>
    <xf numFmtId="165" fontId="14" fillId="0" borderId="0" xfId="1" applyNumberFormat="1" applyFont="1" applyAlignment="1">
      <alignment horizontal="left"/>
    </xf>
    <xf numFmtId="165" fontId="14" fillId="0" borderId="0" xfId="1" applyNumberFormat="1" applyFont="1" applyAlignment="1">
      <alignment horizontal="center"/>
    </xf>
    <xf numFmtId="165" fontId="12" fillId="0" borderId="0" xfId="1" quotePrefix="1" applyNumberFormat="1" applyFont="1" applyAlignment="1">
      <alignment horizontal="center" vertical="center"/>
    </xf>
    <xf numFmtId="165" fontId="12" fillId="0" borderId="0" xfId="1" applyNumberFormat="1" applyFont="1" applyAlignment="1">
      <alignment horizontal="center" vertical="center"/>
    </xf>
    <xf numFmtId="165" fontId="5" fillId="0" borderId="0" xfId="1" applyNumberFormat="1" applyFont="1" applyAlignment="1"/>
    <xf numFmtId="165" fontId="12" fillId="0" borderId="0" xfId="1" applyNumberFormat="1" applyFont="1" applyAlignment="1">
      <alignment vertical="center"/>
    </xf>
    <xf numFmtId="10" fontId="5" fillId="0" borderId="0" xfId="3" applyNumberFormat="1" applyFont="1" applyAlignment="1">
      <alignment vertical="center"/>
    </xf>
    <xf numFmtId="165" fontId="5" fillId="0" borderId="6" xfId="5" applyNumberFormat="1" applyFont="1" applyBorder="1"/>
    <xf numFmtId="165" fontId="5" fillId="0" borderId="0" xfId="5" applyNumberFormat="1" applyFont="1" applyBorder="1" applyAlignment="1">
      <alignment horizontal="center"/>
    </xf>
    <xf numFmtId="10" fontId="5" fillId="0" borderId="0" xfId="3" applyNumberFormat="1" applyFont="1" applyBorder="1"/>
    <xf numFmtId="165" fontId="5" fillId="0" borderId="8" xfId="5" applyNumberFormat="1" applyFont="1" applyBorder="1"/>
    <xf numFmtId="165" fontId="9" fillId="0" borderId="7" xfId="5" applyNumberFormat="1" applyFont="1" applyBorder="1" applyAlignment="1">
      <alignment horizontal="center"/>
    </xf>
    <xf numFmtId="165" fontId="5" fillId="0" borderId="0" xfId="1" applyNumberFormat="1" applyFont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165" fontId="5" fillId="0" borderId="0" xfId="1" applyNumberFormat="1" applyFont="1" applyBorder="1" applyAlignment="1">
      <alignment horizontal="center" vertical="center"/>
    </xf>
    <xf numFmtId="165" fontId="11" fillId="0" borderId="0" xfId="1" applyNumberFormat="1" applyFont="1" applyAlignment="1">
      <alignment vertical="center"/>
    </xf>
    <xf numFmtId="165" fontId="5" fillId="0" borderId="3" xfId="5" applyNumberFormat="1" applyFont="1" applyBorder="1"/>
    <xf numFmtId="165" fontId="5" fillId="0" borderId="2" xfId="5" applyNumberFormat="1" applyFont="1" applyBorder="1"/>
    <xf numFmtId="165" fontId="5" fillId="0" borderId="4" xfId="5" applyNumberFormat="1" applyFont="1" applyBorder="1"/>
    <xf numFmtId="165" fontId="6" fillId="0" borderId="7" xfId="5" applyNumberFormat="1" applyFont="1" applyBorder="1" applyAlignment="1">
      <alignment horizontal="centerContinuous"/>
    </xf>
    <xf numFmtId="165" fontId="9" fillId="0" borderId="0" xfId="5" applyNumberFormat="1" applyFont="1" applyAlignment="1">
      <alignment horizontal="centerContinuous"/>
    </xf>
    <xf numFmtId="165" fontId="7" fillId="0" borderId="7" xfId="5" applyNumberFormat="1" applyFont="1" applyBorder="1" applyAlignment="1">
      <alignment horizontal="centerContinuous"/>
    </xf>
    <xf numFmtId="165" fontId="10" fillId="0" borderId="0" xfId="5" applyNumberFormat="1" applyFont="1" applyAlignment="1">
      <alignment horizontal="centerContinuous"/>
    </xf>
    <xf numFmtId="3" fontId="13" fillId="0" borderId="7" xfId="0" applyNumberFormat="1" applyFont="1" applyBorder="1" applyAlignment="1">
      <alignment horizontal="centerContinuous" vertical="center"/>
    </xf>
    <xf numFmtId="165" fontId="22" fillId="0" borderId="7" xfId="5" applyNumberFormat="1" applyFont="1" applyBorder="1" applyAlignment="1">
      <alignment horizontal="centerContinuous"/>
    </xf>
    <xf numFmtId="165" fontId="5" fillId="0" borderId="0" xfId="5" applyNumberFormat="1" applyFont="1" applyAlignment="1">
      <alignment horizontal="centerContinuous"/>
    </xf>
    <xf numFmtId="165" fontId="5" fillId="0" borderId="7" xfId="5" applyNumberFormat="1" applyFont="1" applyBorder="1" applyAlignment="1">
      <alignment horizontal="centerContinuous"/>
    </xf>
    <xf numFmtId="165" fontId="5" fillId="0" borderId="9" xfId="5" applyNumberFormat="1" applyFont="1" applyBorder="1" applyAlignment="1">
      <alignment horizontal="left"/>
    </xf>
    <xf numFmtId="165" fontId="5" fillId="0" borderId="3" xfId="5" applyNumberFormat="1" applyFont="1" applyBorder="1" applyAlignment="1">
      <alignment horizontal="left"/>
    </xf>
    <xf numFmtId="165" fontId="5" fillId="0" borderId="2" xfId="5" applyNumberFormat="1" applyFont="1" applyBorder="1" applyAlignment="1">
      <alignment horizontal="left"/>
    </xf>
    <xf numFmtId="165" fontId="5" fillId="0" borderId="4" xfId="5" applyNumberFormat="1" applyFont="1" applyBorder="1" applyAlignment="1">
      <alignment horizontal="left"/>
    </xf>
    <xf numFmtId="165" fontId="5" fillId="0" borderId="10" xfId="5" applyNumberFormat="1" applyFont="1" applyBorder="1"/>
    <xf numFmtId="165" fontId="12" fillId="0" borderId="0" xfId="5" applyNumberFormat="1" applyFont="1" applyAlignment="1">
      <alignment horizontal="center" vertical="center"/>
    </xf>
    <xf numFmtId="165" fontId="9" fillId="0" borderId="8" xfId="5" applyNumberFormat="1" applyFont="1" applyBorder="1" applyAlignment="1">
      <alignment horizontal="center" vertical="center"/>
    </xf>
    <xf numFmtId="165" fontId="9" fillId="0" borderId="0" xfId="5" applyNumberFormat="1" applyFont="1" applyAlignment="1">
      <alignment horizontal="center" vertical="center"/>
    </xf>
    <xf numFmtId="165" fontId="12" fillId="0" borderId="8" xfId="5" applyNumberFormat="1" applyFont="1" applyBorder="1" applyAlignment="1">
      <alignment horizontal="center" vertical="center"/>
    </xf>
    <xf numFmtId="165" fontId="12" fillId="0" borderId="0" xfId="5" applyNumberFormat="1" applyFont="1" applyBorder="1" applyAlignment="1">
      <alignment horizontal="center" vertical="center"/>
    </xf>
    <xf numFmtId="165" fontId="5" fillId="0" borderId="10" xfId="5" applyNumberFormat="1" applyFont="1" applyBorder="1" applyAlignment="1">
      <alignment horizontal="left"/>
    </xf>
    <xf numFmtId="165" fontId="5" fillId="0" borderId="7" xfId="5" applyNumberFormat="1" applyFont="1" applyBorder="1" applyAlignment="1">
      <alignment horizontal="center"/>
    </xf>
    <xf numFmtId="165" fontId="5" fillId="0" borderId="0" xfId="5" applyNumberFormat="1" applyFont="1" applyAlignment="1">
      <alignment horizontal="center"/>
    </xf>
    <xf numFmtId="165" fontId="5" fillId="0" borderId="8" xfId="5" applyNumberFormat="1" applyFont="1" applyBorder="1" applyAlignment="1">
      <alignment horizontal="center"/>
    </xf>
    <xf numFmtId="165" fontId="5" fillId="0" borderId="0" xfId="5" quotePrefix="1" applyNumberFormat="1" applyFont="1" applyBorder="1" applyAlignment="1">
      <alignment horizontal="center"/>
    </xf>
    <xf numFmtId="165" fontId="5" fillId="0" borderId="10" xfId="5" quotePrefix="1" applyNumberFormat="1" applyFont="1" applyBorder="1" applyAlignment="1">
      <alignment horizontal="center"/>
    </xf>
    <xf numFmtId="165" fontId="5" fillId="0" borderId="7" xfId="5" quotePrefix="1" applyNumberFormat="1" applyFont="1" applyBorder="1" applyAlignment="1">
      <alignment horizontal="left"/>
    </xf>
    <xf numFmtId="165" fontId="5" fillId="0" borderId="0" xfId="5" quotePrefix="1" applyNumberFormat="1" applyFont="1" applyAlignment="1">
      <alignment horizontal="left"/>
    </xf>
    <xf numFmtId="165" fontId="5" fillId="0" borderId="8" xfId="5" quotePrefix="1" applyNumberFormat="1" applyFont="1" applyBorder="1" applyAlignment="1">
      <alignment horizontal="left"/>
    </xf>
    <xf numFmtId="165" fontId="9" fillId="0" borderId="7" xfId="5" quotePrefix="1" applyNumberFormat="1" applyFont="1" applyBorder="1" applyAlignment="1">
      <alignment horizontal="left"/>
    </xf>
    <xf numFmtId="165" fontId="9" fillId="0" borderId="8" xfId="5" quotePrefix="1" applyNumberFormat="1" applyFont="1" applyBorder="1" applyAlignment="1">
      <alignment horizontal="left"/>
    </xf>
    <xf numFmtId="164" fontId="9" fillId="0" borderId="0" xfId="6" quotePrefix="1" applyNumberFormat="1" applyFont="1" applyBorder="1" applyAlignment="1">
      <alignment horizontal="left"/>
    </xf>
    <xf numFmtId="165" fontId="9" fillId="0" borderId="11" xfId="5" applyNumberFormat="1" applyFont="1" applyBorder="1" applyAlignment="1">
      <alignment horizontal="right"/>
    </xf>
    <xf numFmtId="165" fontId="9" fillId="0" borderId="5" xfId="5" applyNumberFormat="1" applyFont="1" applyBorder="1" applyAlignment="1">
      <alignment horizontal="right"/>
    </xf>
    <xf numFmtId="165" fontId="9" fillId="0" borderId="1" xfId="5" applyNumberFormat="1" applyFont="1" applyBorder="1" applyAlignment="1">
      <alignment horizontal="right"/>
    </xf>
    <xf numFmtId="165" fontId="9" fillId="0" borderId="6" xfId="5" applyNumberFormat="1" applyFont="1" applyBorder="1" applyAlignment="1">
      <alignment horizontal="right"/>
    </xf>
    <xf numFmtId="165" fontId="9" fillId="0" borderId="8" xfId="5" applyNumberFormat="1" applyFont="1" applyBorder="1" applyAlignment="1">
      <alignment horizontal="right"/>
    </xf>
    <xf numFmtId="165" fontId="9" fillId="0" borderId="7" xfId="5" applyNumberFormat="1" applyFont="1" applyBorder="1" applyAlignment="1">
      <alignment horizontal="right"/>
    </xf>
    <xf numFmtId="165" fontId="9" fillId="0" borderId="0" xfId="5" applyNumberFormat="1" applyFont="1" applyAlignment="1">
      <alignment horizontal="right"/>
    </xf>
    <xf numFmtId="165" fontId="9" fillId="0" borderId="2" xfId="5" applyNumberFormat="1" applyFont="1" applyBorder="1" applyAlignment="1">
      <alignment horizontal="right"/>
    </xf>
    <xf numFmtId="165" fontId="9" fillId="0" borderId="7" xfId="5" applyNumberFormat="1" applyFont="1" applyBorder="1"/>
    <xf numFmtId="164" fontId="9" fillId="0" borderId="0" xfId="6" applyNumberFormat="1" applyFont="1"/>
    <xf numFmtId="165" fontId="9" fillId="0" borderId="0" xfId="5" applyNumberFormat="1" applyFont="1"/>
    <xf numFmtId="165" fontId="9" fillId="0" borderId="0" xfId="5" applyNumberFormat="1" applyFont="1" applyBorder="1"/>
    <xf numFmtId="164" fontId="9" fillId="0" borderId="0" xfId="6" applyNumberFormat="1" applyFont="1" applyBorder="1"/>
    <xf numFmtId="165" fontId="5" fillId="0" borderId="5" xfId="5" applyNumberFormat="1" applyFont="1" applyBorder="1" applyAlignment="1">
      <alignment horizontal="center"/>
    </xf>
    <xf numFmtId="165" fontId="5" fillId="0" borderId="1" xfId="5" applyNumberFormat="1" applyFont="1" applyBorder="1" applyAlignment="1">
      <alignment horizontal="center"/>
    </xf>
    <xf numFmtId="0" fontId="5" fillId="0" borderId="5" xfId="0" applyFont="1" applyBorder="1"/>
    <xf numFmtId="37" fontId="5" fillId="0" borderId="0" xfId="0" applyNumberFormat="1" applyFont="1" applyAlignment="1">
      <alignment horizontal="center"/>
    </xf>
    <xf numFmtId="164" fontId="5" fillId="0" borderId="0" xfId="6" applyNumberFormat="1" applyFont="1" applyBorder="1"/>
    <xf numFmtId="164" fontId="5" fillId="0" borderId="0" xfId="0" applyNumberFormat="1" applyFont="1"/>
    <xf numFmtId="37" fontId="5" fillId="0" borderId="0" xfId="0" applyNumberFormat="1" applyFont="1"/>
    <xf numFmtId="0" fontId="9" fillId="0" borderId="0" xfId="0" applyFont="1" applyAlignment="1">
      <alignment horizontal="left"/>
    </xf>
    <xf numFmtId="165" fontId="5" fillId="0" borderId="0" xfId="1" applyNumberFormat="1" applyFont="1" applyFill="1" applyAlignment="1">
      <alignment vertical="center"/>
    </xf>
    <xf numFmtId="165" fontId="5" fillId="0" borderId="0" xfId="9" applyNumberFormat="1" applyFont="1" applyFill="1" applyBorder="1"/>
    <xf numFmtId="165" fontId="11" fillId="0" borderId="0" xfId="9" applyNumberFormat="1" applyFont="1" applyFill="1" applyBorder="1"/>
    <xf numFmtId="43" fontId="5" fillId="0" borderId="0" xfId="1" applyFont="1" applyFill="1" applyBorder="1"/>
    <xf numFmtId="43" fontId="5" fillId="0" borderId="0" xfId="9" applyFont="1" applyFill="1" applyBorder="1"/>
    <xf numFmtId="166" fontId="5" fillId="0" borderId="0" xfId="3" applyNumberFormat="1" applyFont="1" applyFill="1" applyBorder="1"/>
    <xf numFmtId="44" fontId="5" fillId="0" borderId="0" xfId="0" applyNumberFormat="1" applyFont="1"/>
    <xf numFmtId="0" fontId="5" fillId="0" borderId="0" xfId="0" quotePrefix="1" applyFont="1"/>
    <xf numFmtId="43" fontId="21" fillId="0" borderId="0" xfId="9" applyFont="1" applyFill="1" applyBorder="1"/>
    <xf numFmtId="44" fontId="5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9" fontId="5" fillId="0" borderId="0" xfId="3" applyFont="1" applyFill="1" applyBorder="1" applyAlignment="1">
      <alignment horizontal="right"/>
    </xf>
    <xf numFmtId="44" fontId="19" fillId="0" borderId="0" xfId="0" applyNumberFormat="1" applyFont="1" applyAlignment="1">
      <alignment horizontal="right"/>
    </xf>
    <xf numFmtId="44" fontId="2" fillId="0" borderId="0" xfId="0" applyNumberFormat="1" applyFont="1" applyAlignment="1">
      <alignment horizontal="right"/>
    </xf>
    <xf numFmtId="44" fontId="5" fillId="0" borderId="0" xfId="10" applyFont="1" applyFill="1" applyBorder="1" applyAlignment="1">
      <alignment horizontal="right"/>
    </xf>
    <xf numFmtId="44" fontId="5" fillId="0" borderId="1" xfId="0" applyNumberFormat="1" applyFont="1" applyBorder="1" applyAlignment="1">
      <alignment horizontal="right"/>
    </xf>
    <xf numFmtId="44" fontId="5" fillId="0" borderId="1" xfId="10" applyFont="1" applyFill="1" applyBorder="1" applyAlignment="1">
      <alignment horizontal="right"/>
    </xf>
    <xf numFmtId="166" fontId="5" fillId="0" borderId="0" xfId="3" applyNumberFormat="1" applyFont="1" applyFill="1" applyBorder="1" applyAlignment="1">
      <alignment horizontal="right"/>
    </xf>
    <xf numFmtId="166" fontId="9" fillId="0" borderId="0" xfId="3" applyNumberFormat="1" applyFont="1" applyFill="1" applyBorder="1" applyAlignment="1">
      <alignment horizontal="right"/>
    </xf>
    <xf numFmtId="9" fontId="20" fillId="0" borderId="0" xfId="4" applyNumberFormat="1" applyFont="1" applyAlignment="1">
      <alignment horizontal="right"/>
    </xf>
    <xf numFmtId="9" fontId="5" fillId="0" borderId="0" xfId="9" applyNumberFormat="1" applyFont="1" applyFill="1" applyBorder="1" applyAlignment="1">
      <alignment horizontal="right"/>
    </xf>
    <xf numFmtId="9" fontId="11" fillId="0" borderId="0" xfId="9" applyNumberFormat="1" applyFont="1" applyFill="1" applyBorder="1" applyAlignment="1">
      <alignment horizontal="right"/>
    </xf>
    <xf numFmtId="9" fontId="1" fillId="0" borderId="0" xfId="3" applyFont="1" applyFill="1" applyBorder="1" applyAlignment="1">
      <alignment horizontal="right"/>
    </xf>
    <xf numFmtId="9" fontId="20" fillId="0" borderId="0" xfId="3" applyFont="1" applyFill="1" applyBorder="1" applyAlignment="1">
      <alignment horizontal="right"/>
    </xf>
    <xf numFmtId="9" fontId="21" fillId="0" borderId="0" xfId="3" applyFont="1" applyFill="1" applyBorder="1" applyAlignment="1">
      <alignment horizontal="right"/>
    </xf>
    <xf numFmtId="44" fontId="1" fillId="0" borderId="0" xfId="0" applyNumberFormat="1" applyFont="1" applyAlignment="1">
      <alignment horizontal="right"/>
    </xf>
    <xf numFmtId="44" fontId="5" fillId="0" borderId="0" xfId="3" applyNumberFormat="1" applyFont="1" applyFill="1" applyBorder="1" applyAlignment="1">
      <alignment horizontal="right"/>
    </xf>
    <xf numFmtId="44" fontId="20" fillId="0" borderId="0" xfId="0" applyNumberFormat="1" applyFont="1" applyAlignment="1">
      <alignment horizontal="right"/>
    </xf>
    <xf numFmtId="44" fontId="5" fillId="0" borderId="0" xfId="9" applyNumberFormat="1" applyFont="1" applyFill="1" applyBorder="1" applyAlignment="1">
      <alignment horizontal="right"/>
    </xf>
    <xf numFmtId="44" fontId="11" fillId="0" borderId="0" xfId="9" applyNumberFormat="1" applyFont="1" applyFill="1" applyBorder="1" applyAlignment="1">
      <alignment horizontal="right"/>
    </xf>
    <xf numFmtId="166" fontId="5" fillId="0" borderId="0" xfId="3" applyNumberFormat="1" applyFont="1" applyFill="1" applyBorder="1" applyAlignment="1">
      <alignment horizontal="center"/>
    </xf>
    <xf numFmtId="44" fontId="5" fillId="0" borderId="0" xfId="1" applyNumberFormat="1" applyFont="1" applyBorder="1"/>
    <xf numFmtId="10" fontId="5" fillId="0" borderId="0" xfId="1" applyNumberFormat="1" applyFont="1"/>
    <xf numFmtId="10" fontId="5" fillId="0" borderId="0" xfId="1" applyNumberFormat="1" applyFont="1" applyBorder="1"/>
    <xf numFmtId="165" fontId="11" fillId="0" borderId="0" xfId="0" applyNumberFormat="1" applyFont="1"/>
    <xf numFmtId="164" fontId="5" fillId="0" borderId="0" xfId="2" applyNumberFormat="1" applyFont="1" applyBorder="1"/>
    <xf numFmtId="0" fontId="9" fillId="0" borderId="0" xfId="0" applyFont="1"/>
    <xf numFmtId="44" fontId="5" fillId="0" borderId="0" xfId="2" applyFont="1"/>
    <xf numFmtId="10" fontId="5" fillId="0" borderId="0" xfId="3" applyNumberFormat="1" applyFont="1"/>
    <xf numFmtId="44" fontId="9" fillId="0" borderId="0" xfId="0" applyNumberFormat="1" applyFont="1"/>
    <xf numFmtId="10" fontId="5" fillId="0" borderId="1" xfId="0" applyNumberFormat="1" applyFont="1" applyBorder="1"/>
    <xf numFmtId="165" fontId="9" fillId="0" borderId="0" xfId="1" applyNumberFormat="1" applyFont="1"/>
    <xf numFmtId="44" fontId="9" fillId="0" borderId="0" xfId="1" applyNumberFormat="1" applyFont="1" applyBorder="1"/>
    <xf numFmtId="164" fontId="9" fillId="0" borderId="0" xfId="2" applyNumberFormat="1" applyFont="1" applyBorder="1"/>
    <xf numFmtId="165" fontId="5" fillId="0" borderId="7" xfId="5" applyNumberFormat="1" applyFont="1" applyFill="1" applyBorder="1" applyAlignment="1">
      <alignment horizontal="center"/>
    </xf>
    <xf numFmtId="165" fontId="5" fillId="0" borderId="8" xfId="5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NumberFormat="1" applyFont="1"/>
    <xf numFmtId="164" fontId="12" fillId="0" borderId="0" xfId="2" applyNumberFormat="1" applyFont="1"/>
    <xf numFmtId="164" fontId="5" fillId="0" borderId="1" xfId="6" applyNumberFormat="1" applyFont="1" applyBorder="1"/>
    <xf numFmtId="165" fontId="5" fillId="0" borderId="0" xfId="5" applyNumberFormat="1" applyFont="1" applyFill="1" applyBorder="1"/>
    <xf numFmtId="165" fontId="5" fillId="0" borderId="0" xfId="5" applyNumberFormat="1" applyFont="1" applyAlignment="1">
      <alignment horizontal="center" vertical="center"/>
    </xf>
    <xf numFmtId="165" fontId="5" fillId="0" borderId="8" xfId="5" applyNumberFormat="1" applyFont="1" applyBorder="1" applyAlignment="1">
      <alignment horizontal="center" vertical="center"/>
    </xf>
    <xf numFmtId="0" fontId="6" fillId="0" borderId="0" xfId="0" applyFont="1" applyAlignment="1">
      <alignment horizontal="centerContinuous"/>
    </xf>
    <xf numFmtId="0" fontId="10" fillId="0" borderId="0" xfId="0" applyFont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3" fontId="5" fillId="0" borderId="0" xfId="5" applyFont="1"/>
    <xf numFmtId="165" fontId="5" fillId="0" borderId="0" xfId="5" applyNumberFormat="1" applyFont="1" applyAlignment="1">
      <alignment horizontal="right"/>
    </xf>
    <xf numFmtId="165" fontId="5" fillId="0" borderId="1" xfId="5" applyNumberFormat="1" applyFont="1" applyBorder="1" applyAlignment="1">
      <alignment horizontal="right"/>
    </xf>
    <xf numFmtId="43" fontId="5" fillId="0" borderId="0" xfId="0" applyNumberFormat="1" applyFont="1"/>
    <xf numFmtId="165" fontId="5" fillId="0" borderId="0" xfId="5" applyNumberFormat="1" applyFont="1" applyFill="1"/>
    <xf numFmtId="166" fontId="5" fillId="0" borderId="0" xfId="7" applyNumberFormat="1" applyFont="1" applyFill="1"/>
    <xf numFmtId="0" fontId="23" fillId="0" borderId="0" xfId="0" applyFont="1"/>
    <xf numFmtId="37" fontId="5" fillId="0" borderId="1" xfId="0" applyNumberFormat="1" applyFont="1" applyBorder="1" applyAlignment="1">
      <alignment horizontal="center"/>
    </xf>
    <xf numFmtId="3" fontId="5" fillId="0" borderId="0" xfId="5" applyNumberFormat="1" applyFont="1" applyFill="1"/>
    <xf numFmtId="37" fontId="5" fillId="0" borderId="1" xfId="0" applyNumberFormat="1" applyFont="1" applyBorder="1"/>
    <xf numFmtId="3" fontId="5" fillId="0" borderId="1" xfId="5" applyNumberFormat="1" applyFont="1" applyFill="1" applyBorder="1"/>
    <xf numFmtId="165" fontId="5" fillId="0" borderId="1" xfId="5" applyNumberFormat="1" applyFont="1" applyFill="1" applyBorder="1"/>
    <xf numFmtId="44" fontId="5" fillId="0" borderId="0" xfId="6" applyFont="1"/>
    <xf numFmtId="0" fontId="5" fillId="0" borderId="1" xfId="0" applyFont="1" applyBorder="1"/>
    <xf numFmtId="44" fontId="5" fillId="0" borderId="1" xfId="6" applyFont="1" applyBorder="1"/>
    <xf numFmtId="166" fontId="5" fillId="0" borderId="0" xfId="7" applyNumberFormat="1" applyFont="1"/>
    <xf numFmtId="44" fontId="5" fillId="0" borderId="0" xfId="6" applyFont="1" applyBorder="1"/>
    <xf numFmtId="0" fontId="22" fillId="0" borderId="0" xfId="0" applyFont="1"/>
    <xf numFmtId="0" fontId="5" fillId="0" borderId="6" xfId="0" applyFont="1" applyBorder="1"/>
    <xf numFmtId="0" fontId="5" fillId="0" borderId="8" xfId="0" applyFont="1" applyBorder="1"/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center"/>
    </xf>
    <xf numFmtId="165" fontId="5" fillId="0" borderId="0" xfId="5" applyNumberFormat="1" applyFont="1" applyBorder="1" applyAlignment="1"/>
    <xf numFmtId="44" fontId="5" fillId="0" borderId="0" xfId="6" applyFont="1" applyBorder="1" applyAlignment="1"/>
    <xf numFmtId="44" fontId="5" fillId="0" borderId="7" xfId="0" applyNumberFormat="1" applyFont="1" applyBorder="1"/>
    <xf numFmtId="10" fontId="5" fillId="0" borderId="8" xfId="7" applyNumberFormat="1" applyFont="1" applyBorder="1" applyAlignment="1">
      <alignment horizontal="center"/>
    </xf>
    <xf numFmtId="44" fontId="22" fillId="0" borderId="0" xfId="0" applyNumberFormat="1" applyFont="1"/>
    <xf numFmtId="43" fontId="22" fillId="0" borderId="0" xfId="5" applyFont="1" applyAlignment="1"/>
    <xf numFmtId="165" fontId="5" fillId="0" borderId="1" xfId="5" applyNumberFormat="1" applyFont="1" applyBorder="1" applyAlignment="1"/>
    <xf numFmtId="165" fontId="22" fillId="0" borderId="0" xfId="5" applyNumberFormat="1" applyFont="1" applyAlignment="1"/>
    <xf numFmtId="165" fontId="5" fillId="0" borderId="0" xfId="5" applyNumberFormat="1" applyFont="1" applyAlignment="1"/>
    <xf numFmtId="166" fontId="5" fillId="0" borderId="0" xfId="7" applyNumberFormat="1" applyFont="1" applyAlignment="1"/>
    <xf numFmtId="43" fontId="5" fillId="0" borderId="0" xfId="5" applyFont="1" applyAlignment="1"/>
    <xf numFmtId="10" fontId="5" fillId="0" borderId="8" xfId="3" applyNumberFormat="1" applyFont="1" applyBorder="1" applyAlignment="1">
      <alignment horizontal="center"/>
    </xf>
    <xf numFmtId="43" fontId="5" fillId="0" borderId="6" xfId="1" applyFont="1" applyBorder="1" applyAlignment="1">
      <alignment horizontal="center"/>
    </xf>
    <xf numFmtId="44" fontId="5" fillId="0" borderId="0" xfId="2" applyFont="1" applyBorder="1" applyAlignment="1"/>
    <xf numFmtId="44" fontId="5" fillId="0" borderId="7" xfId="2" applyFont="1" applyBorder="1"/>
    <xf numFmtId="0" fontId="5" fillId="0" borderId="0" xfId="0" applyFont="1" applyAlignment="1">
      <alignment horizontal="left"/>
    </xf>
    <xf numFmtId="0" fontId="22" fillId="0" borderId="7" xfId="0" applyFont="1" applyBorder="1"/>
    <xf numFmtId="0" fontId="22" fillId="0" borderId="8" xfId="0" applyFont="1" applyBorder="1"/>
    <xf numFmtId="43" fontId="5" fillId="0" borderId="7" xfId="1" applyFont="1" applyBorder="1" applyAlignment="1">
      <alignment horizontal="right"/>
    </xf>
    <xf numFmtId="43" fontId="5" fillId="0" borderId="8" xfId="1" applyFont="1" applyBorder="1" applyAlignment="1">
      <alignment horizontal="right"/>
    </xf>
    <xf numFmtId="10" fontId="5" fillId="0" borderId="8" xfId="3" applyNumberFormat="1" applyFont="1" applyBorder="1" applyAlignment="1">
      <alignment horizontal="right"/>
    </xf>
    <xf numFmtId="43" fontId="5" fillId="0" borderId="0" xfId="1" applyFont="1" applyBorder="1" applyAlignment="1">
      <alignment horizontal="center"/>
    </xf>
    <xf numFmtId="10" fontId="5" fillId="0" borderId="0" xfId="3" applyNumberFormat="1" applyFont="1" applyBorder="1" applyAlignment="1">
      <alignment horizontal="center"/>
    </xf>
    <xf numFmtId="10" fontId="5" fillId="0" borderId="10" xfId="3" applyNumberFormat="1" applyFont="1" applyBorder="1" applyAlignment="1">
      <alignment horizontal="center"/>
    </xf>
    <xf numFmtId="165" fontId="5" fillId="0" borderId="0" xfId="1" applyNumberFormat="1" applyFont="1" applyFill="1" applyBorder="1"/>
    <xf numFmtId="43" fontId="5" fillId="0" borderId="8" xfId="1" quotePrefix="1" applyFont="1" applyFill="1" applyBorder="1" applyAlignment="1">
      <alignment horizontal="center"/>
    </xf>
    <xf numFmtId="43" fontId="5" fillId="0" borderId="7" xfId="1" applyFont="1" applyFill="1" applyBorder="1"/>
    <xf numFmtId="10" fontId="5" fillId="0" borderId="0" xfId="3" applyNumberFormat="1" applyFont="1" applyFill="1" applyBorder="1"/>
    <xf numFmtId="166" fontId="5" fillId="0" borderId="8" xfId="3" applyNumberFormat="1" applyFont="1" applyFill="1" applyBorder="1"/>
    <xf numFmtId="165" fontId="6" fillId="0" borderId="0" xfId="1" applyNumberFormat="1" applyFont="1" applyAlignment="1">
      <alignment horizontal="center" vertical="center"/>
    </xf>
    <xf numFmtId="165" fontId="12" fillId="0" borderId="7" xfId="5" applyNumberFormat="1" applyFont="1" applyBorder="1" applyAlignment="1">
      <alignment horizontal="center" vertical="center"/>
    </xf>
    <xf numFmtId="165" fontId="12" fillId="0" borderId="8" xfId="5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</cellXfs>
  <cellStyles count="11">
    <cellStyle name="Comma" xfId="1" builtinId="3"/>
    <cellStyle name="Comma 2" xfId="5" xr:uid="{00000000-0005-0000-0000-000001000000}"/>
    <cellStyle name="Comma 3" xfId="9" xr:uid="{00000000-0005-0000-0000-000002000000}"/>
    <cellStyle name="Currency" xfId="2" builtinId="4"/>
    <cellStyle name="Currency 2" xfId="6" xr:uid="{00000000-0005-0000-0000-000004000000}"/>
    <cellStyle name="Currency 3" xfId="10" xr:uid="{00000000-0005-0000-0000-000005000000}"/>
    <cellStyle name="Normal" xfId="0" builtinId="0"/>
    <cellStyle name="Normal 2" xfId="4" xr:uid="{00000000-0005-0000-0000-000007000000}"/>
    <cellStyle name="Normal 3" xfId="8" xr:uid="{00000000-0005-0000-0000-000008000000}"/>
    <cellStyle name="Percent" xfId="3" builtinId="5"/>
    <cellStyle name="Percent 2" xfId="7" xr:uid="{00000000-0005-0000-0000-00000A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showGridLines="0" tabSelected="1" workbookViewId="0">
      <selection activeCell="A4" sqref="A4"/>
    </sheetView>
  </sheetViews>
  <sheetFormatPr defaultColWidth="8.77734375" defaultRowHeight="14.25" x14ac:dyDescent="0.45"/>
  <cols>
    <col min="1" max="1" width="3.6640625" style="7" customWidth="1"/>
    <col min="2" max="2" width="2.6640625" style="7" customWidth="1"/>
    <col min="3" max="3" width="29.44140625" style="7" customWidth="1"/>
    <col min="4" max="4" width="11.33203125" style="7" customWidth="1"/>
    <col min="5" max="5" width="11.5546875" style="7" customWidth="1"/>
    <col min="6" max="6" width="5.33203125" style="7" customWidth="1"/>
    <col min="7" max="7" width="11.5546875" style="7" customWidth="1"/>
    <col min="8" max="8" width="3.5546875" style="7" customWidth="1"/>
    <col min="9" max="11" width="11.33203125" style="7" customWidth="1"/>
    <col min="12" max="12" width="10.88671875" style="7" customWidth="1"/>
    <col min="13" max="16384" width="8.77734375" style="7"/>
  </cols>
  <sheetData>
    <row r="1" spans="1:12" ht="18" x14ac:dyDescent="0.45">
      <c r="A1" s="236" t="s">
        <v>30</v>
      </c>
      <c r="B1" s="236"/>
      <c r="C1" s="236"/>
      <c r="D1" s="236"/>
      <c r="E1" s="236"/>
      <c r="F1" s="236"/>
      <c r="G1" s="236"/>
      <c r="H1" s="46"/>
      <c r="I1" s="46"/>
      <c r="J1" s="46"/>
      <c r="K1" s="46"/>
    </row>
    <row r="2" spans="1:12" ht="15.75" x14ac:dyDescent="0.45">
      <c r="A2" s="47" t="s">
        <v>135</v>
      </c>
      <c r="B2" s="45"/>
      <c r="C2" s="45"/>
      <c r="D2" s="45"/>
      <c r="E2" s="45"/>
      <c r="F2" s="45"/>
      <c r="G2" s="45"/>
      <c r="H2" s="46"/>
      <c r="I2" s="46"/>
      <c r="J2" s="46"/>
      <c r="K2" s="46"/>
      <c r="L2" s="46"/>
    </row>
    <row r="3" spans="1:12" x14ac:dyDescent="0.45">
      <c r="A3" s="40"/>
      <c r="B3" s="45"/>
      <c r="C3" s="45"/>
      <c r="D3" s="45"/>
      <c r="E3" s="45"/>
      <c r="F3" s="45"/>
      <c r="G3" s="45"/>
      <c r="H3" s="46"/>
      <c r="I3" s="46"/>
      <c r="J3" s="46"/>
      <c r="K3" s="46"/>
    </row>
    <row r="4" spans="1:12" ht="16.5" x14ac:dyDescent="0.45">
      <c r="A4" s="46"/>
      <c r="B4" s="46"/>
      <c r="C4" s="46"/>
      <c r="D4" s="48" t="s">
        <v>31</v>
      </c>
      <c r="E4" s="48" t="s">
        <v>32</v>
      </c>
      <c r="F4" s="48" t="s">
        <v>33</v>
      </c>
      <c r="G4" s="48" t="s">
        <v>34</v>
      </c>
      <c r="H4" s="46"/>
      <c r="I4" s="61" t="s">
        <v>40</v>
      </c>
      <c r="J4" s="46"/>
      <c r="K4" s="46"/>
    </row>
    <row r="5" spans="1:12" x14ac:dyDescent="0.45">
      <c r="A5" s="49" t="s">
        <v>14</v>
      </c>
      <c r="B5" s="46"/>
      <c r="C5" s="46"/>
      <c r="D5" s="46"/>
      <c r="F5" s="46"/>
      <c r="G5" s="46"/>
      <c r="H5" s="46"/>
      <c r="J5" s="46"/>
      <c r="K5" s="46"/>
    </row>
    <row r="6" spans="1:12" x14ac:dyDescent="0.45">
      <c r="A6" s="46"/>
      <c r="B6" s="46" t="s">
        <v>42</v>
      </c>
      <c r="C6" s="46"/>
      <c r="D6" s="46">
        <v>2502135</v>
      </c>
      <c r="E6" s="46">
        <f>ExBA!G13</f>
        <v>67499.271579999477</v>
      </c>
      <c r="F6" s="50" t="s">
        <v>172</v>
      </c>
      <c r="G6" s="46">
        <f>D6+E6</f>
        <v>2569634.2715799995</v>
      </c>
      <c r="H6" s="51"/>
      <c r="I6" s="46"/>
      <c r="J6" s="46"/>
      <c r="K6" s="46"/>
    </row>
    <row r="7" spans="1:12" x14ac:dyDescent="0.45">
      <c r="A7" s="46"/>
      <c r="B7" s="46" t="s">
        <v>15</v>
      </c>
      <c r="C7" s="46"/>
      <c r="D7" s="46">
        <v>512317</v>
      </c>
      <c r="E7" s="46"/>
      <c r="F7" s="50"/>
      <c r="G7" s="46">
        <f>D7+E7</f>
        <v>512317</v>
      </c>
      <c r="H7" s="51"/>
      <c r="I7" s="46"/>
      <c r="J7" s="46"/>
    </row>
    <row r="8" spans="1:12" x14ac:dyDescent="0.45">
      <c r="A8" s="46"/>
      <c r="B8" s="46" t="s">
        <v>16</v>
      </c>
      <c r="C8" s="46"/>
      <c r="D8" s="46"/>
      <c r="E8" s="46"/>
      <c r="F8" s="50"/>
      <c r="G8" s="46"/>
      <c r="H8" s="53"/>
      <c r="I8" s="46"/>
      <c r="J8" s="46"/>
      <c r="K8" s="46"/>
    </row>
    <row r="9" spans="1:12" x14ac:dyDescent="0.45">
      <c r="A9" s="46"/>
      <c r="B9" s="46"/>
      <c r="C9" s="46" t="s">
        <v>41</v>
      </c>
      <c r="D9" s="46">
        <v>67097</v>
      </c>
      <c r="E9" s="46"/>
      <c r="F9" s="50"/>
      <c r="G9" s="46">
        <f>D9+E9</f>
        <v>67097</v>
      </c>
      <c r="H9" s="51"/>
      <c r="I9" s="46"/>
      <c r="J9" s="46"/>
      <c r="K9" s="46"/>
    </row>
    <row r="10" spans="1:12" x14ac:dyDescent="0.45">
      <c r="A10" s="46"/>
      <c r="C10" s="46" t="s">
        <v>17</v>
      </c>
      <c r="D10" s="46">
        <v>12420</v>
      </c>
      <c r="E10" s="46"/>
      <c r="F10" s="50"/>
      <c r="G10" s="46">
        <f>D10+E10</f>
        <v>12420</v>
      </c>
      <c r="H10" s="51"/>
      <c r="J10" s="46"/>
      <c r="K10" s="46"/>
    </row>
    <row r="11" spans="1:12" ht="16.5" x14ac:dyDescent="0.45">
      <c r="A11" s="46"/>
      <c r="C11" s="46" t="s">
        <v>51</v>
      </c>
      <c r="D11" s="69">
        <v>36587</v>
      </c>
      <c r="E11" s="46"/>
      <c r="F11" s="50"/>
      <c r="G11" s="69">
        <f>D11+E11</f>
        <v>36587</v>
      </c>
      <c r="H11" s="52"/>
      <c r="I11" s="46"/>
      <c r="J11" s="46"/>
      <c r="K11" s="46"/>
    </row>
    <row r="12" spans="1:12" x14ac:dyDescent="0.45">
      <c r="A12" s="54" t="s">
        <v>18</v>
      </c>
      <c r="B12" s="46"/>
      <c r="C12" s="46"/>
      <c r="D12" s="46">
        <f>SUM(D6:D11)</f>
        <v>3130556</v>
      </c>
      <c r="E12" s="46"/>
      <c r="F12" s="50"/>
      <c r="G12" s="46">
        <f>SUM(G6:G11)</f>
        <v>3198055.2715799995</v>
      </c>
      <c r="H12" s="53"/>
      <c r="J12" s="46"/>
      <c r="K12" s="46"/>
    </row>
    <row r="13" spans="1:12" x14ac:dyDescent="0.45">
      <c r="A13" s="46"/>
      <c r="B13" s="46"/>
      <c r="C13" s="46"/>
      <c r="D13" s="46"/>
      <c r="E13" s="46"/>
      <c r="F13" s="50"/>
      <c r="G13" s="46"/>
      <c r="H13" s="53"/>
      <c r="I13" s="46"/>
      <c r="J13" s="46"/>
      <c r="K13" s="46"/>
    </row>
    <row r="14" spans="1:12" x14ac:dyDescent="0.45">
      <c r="A14" s="49" t="s">
        <v>19</v>
      </c>
      <c r="B14" s="46"/>
      <c r="C14" s="46"/>
      <c r="D14" s="46"/>
      <c r="E14" s="46"/>
      <c r="F14" s="50"/>
      <c r="G14" s="46"/>
      <c r="H14" s="53"/>
      <c r="I14" s="46"/>
      <c r="J14" s="46"/>
      <c r="K14" s="46"/>
    </row>
    <row r="15" spans="1:12" x14ac:dyDescent="0.45">
      <c r="A15" s="46"/>
      <c r="B15" s="46" t="s">
        <v>35</v>
      </c>
      <c r="C15" s="46"/>
      <c r="D15" s="46"/>
      <c r="E15" s="46"/>
      <c r="F15" s="50"/>
      <c r="G15" s="46"/>
      <c r="H15" s="53"/>
      <c r="I15" s="46"/>
      <c r="J15" s="46"/>
      <c r="K15" s="46"/>
    </row>
    <row r="16" spans="1:12" x14ac:dyDescent="0.45">
      <c r="A16" s="46"/>
      <c r="B16" s="46"/>
      <c r="C16" s="46" t="s">
        <v>2</v>
      </c>
      <c r="D16" s="46">
        <v>622678</v>
      </c>
      <c r="E16" s="126"/>
      <c r="F16" s="55"/>
      <c r="G16" s="46">
        <f>SUM(D16:E16)</f>
        <v>622678</v>
      </c>
      <c r="H16" s="51"/>
      <c r="I16" s="46"/>
      <c r="J16" s="46"/>
      <c r="K16" s="46"/>
    </row>
    <row r="17" spans="1:11" x14ac:dyDescent="0.45">
      <c r="A17" s="46"/>
      <c r="B17" s="46"/>
      <c r="C17" s="46" t="s">
        <v>3</v>
      </c>
      <c r="D17" s="46">
        <v>6200</v>
      </c>
      <c r="E17" s="126"/>
      <c r="F17" s="50"/>
      <c r="G17" s="46">
        <f t="shared" ref="G17:G28" si="0">D17+E17</f>
        <v>6200</v>
      </c>
      <c r="H17" s="51"/>
    </row>
    <row r="18" spans="1:11" x14ac:dyDescent="0.45">
      <c r="A18" s="46"/>
      <c r="B18" s="46"/>
      <c r="C18" s="46" t="s">
        <v>4</v>
      </c>
      <c r="D18" s="46">
        <v>75009</v>
      </c>
      <c r="E18" s="126">
        <f>Medical!C14</f>
        <v>-15710.429999999993</v>
      </c>
      <c r="F18" s="55" t="s">
        <v>173</v>
      </c>
      <c r="G18" s="46">
        <f>D18+E18</f>
        <v>59298.570000000007</v>
      </c>
      <c r="H18" s="51"/>
      <c r="I18" s="46"/>
      <c r="J18" s="46"/>
      <c r="K18" s="46"/>
    </row>
    <row r="19" spans="1:11" x14ac:dyDescent="0.45">
      <c r="A19" s="46"/>
      <c r="B19" s="46"/>
      <c r="C19" s="46" t="s">
        <v>5</v>
      </c>
      <c r="D19" s="46">
        <v>50552</v>
      </c>
      <c r="E19" s="126">
        <f>-'Purchased Water'!D34</f>
        <v>-4535.3949371864364</v>
      </c>
      <c r="F19" s="55" t="s">
        <v>174</v>
      </c>
      <c r="G19" s="46">
        <f>SUM(D19:E19)</f>
        <v>46016.605062813564</v>
      </c>
      <c r="H19" s="56"/>
    </row>
    <row r="20" spans="1:11" x14ac:dyDescent="0.45">
      <c r="A20" s="46"/>
      <c r="B20" s="46"/>
      <c r="C20" s="46" t="s">
        <v>6</v>
      </c>
      <c r="D20" s="46">
        <v>199422</v>
      </c>
      <c r="E20" s="46">
        <f>-'Purchased Water'!D35</f>
        <v>-17891.627020960466</v>
      </c>
      <c r="F20" s="55" t="s">
        <v>174</v>
      </c>
      <c r="G20" s="46">
        <f t="shared" si="0"/>
        <v>181530.37297903953</v>
      </c>
      <c r="H20" s="57"/>
      <c r="J20" s="46"/>
      <c r="K20" s="46"/>
    </row>
    <row r="21" spans="1:11" x14ac:dyDescent="0.45">
      <c r="A21" s="46"/>
      <c r="B21" s="46"/>
      <c r="C21" s="46" t="s">
        <v>67</v>
      </c>
      <c r="D21" s="46">
        <v>213278</v>
      </c>
      <c r="E21" s="46">
        <f>-'Purchased Water'!D36</f>
        <v>-19134.751570921999</v>
      </c>
      <c r="F21" s="55" t="s">
        <v>174</v>
      </c>
      <c r="G21" s="46">
        <f t="shared" si="0"/>
        <v>194143.248429078</v>
      </c>
      <c r="H21" s="57"/>
      <c r="J21" s="46"/>
      <c r="K21" s="46"/>
    </row>
    <row r="22" spans="1:11" x14ac:dyDescent="0.45">
      <c r="A22" s="46"/>
      <c r="B22" s="46"/>
      <c r="C22" s="46" t="s">
        <v>7</v>
      </c>
      <c r="D22" s="46">
        <v>548579</v>
      </c>
      <c r="E22" s="46"/>
      <c r="F22" s="55"/>
      <c r="G22" s="46">
        <f t="shared" si="0"/>
        <v>548579</v>
      </c>
      <c r="H22" s="51"/>
      <c r="I22" s="46"/>
      <c r="J22" s="46"/>
      <c r="K22" s="46"/>
    </row>
    <row r="23" spans="1:11" x14ac:dyDescent="0.45">
      <c r="A23" s="46"/>
      <c r="B23" s="46"/>
      <c r="C23" s="46" t="s">
        <v>8</v>
      </c>
      <c r="D23" s="46">
        <f>36028+10544+23339</f>
        <v>69911</v>
      </c>
      <c r="E23" s="46"/>
      <c r="F23" s="55"/>
      <c r="G23" s="46">
        <f t="shared" si="0"/>
        <v>69911</v>
      </c>
      <c r="H23" s="51"/>
      <c r="I23" s="46"/>
      <c r="J23" s="46"/>
      <c r="K23" s="46"/>
    </row>
    <row r="24" spans="1:11" x14ac:dyDescent="0.45">
      <c r="A24" s="46"/>
      <c r="B24" s="46"/>
      <c r="C24" s="46" t="s">
        <v>10</v>
      </c>
      <c r="D24" s="46">
        <v>20541</v>
      </c>
      <c r="E24" s="46"/>
      <c r="F24" s="55"/>
      <c r="G24" s="46">
        <f t="shared" si="0"/>
        <v>20541</v>
      </c>
      <c r="H24" s="53"/>
      <c r="I24" s="46"/>
      <c r="J24" s="46"/>
      <c r="K24" s="46"/>
    </row>
    <row r="25" spans="1:11" x14ac:dyDescent="0.45">
      <c r="A25" s="46"/>
      <c r="B25" s="46"/>
      <c r="C25" s="46" t="s">
        <v>36</v>
      </c>
      <c r="D25" s="46">
        <v>60792</v>
      </c>
      <c r="E25" s="46"/>
      <c r="F25" s="55"/>
      <c r="G25" s="46">
        <f t="shared" si="0"/>
        <v>60792</v>
      </c>
      <c r="H25" s="53"/>
      <c r="I25" s="46"/>
      <c r="J25" s="46"/>
      <c r="K25" s="46"/>
    </row>
    <row r="26" spans="1:11" x14ac:dyDescent="0.45">
      <c r="A26" s="46"/>
      <c r="B26" s="46"/>
      <c r="C26" s="46" t="s">
        <v>52</v>
      </c>
      <c r="D26" s="46">
        <v>1145</v>
      </c>
      <c r="E26" s="46"/>
      <c r="F26" s="55"/>
      <c r="G26" s="46">
        <f t="shared" si="0"/>
        <v>1145</v>
      </c>
      <c r="H26" s="53"/>
      <c r="I26" s="46"/>
      <c r="J26" s="46"/>
      <c r="K26" s="46"/>
    </row>
    <row r="27" spans="1:11" x14ac:dyDescent="0.45">
      <c r="A27" s="46"/>
      <c r="B27" s="46"/>
      <c r="C27" s="46" t="s">
        <v>53</v>
      </c>
      <c r="D27" s="46">
        <v>-611</v>
      </c>
      <c r="E27" s="46"/>
      <c r="F27" s="50"/>
      <c r="G27" s="46">
        <f t="shared" si="0"/>
        <v>-611</v>
      </c>
      <c r="H27" s="53"/>
      <c r="I27" s="46"/>
      <c r="J27" s="46"/>
      <c r="K27" s="46"/>
    </row>
    <row r="28" spans="1:11" ht="16.5" x14ac:dyDescent="0.45">
      <c r="A28" s="46"/>
      <c r="B28" s="46"/>
      <c r="C28" s="46" t="s">
        <v>9</v>
      </c>
      <c r="D28" s="69">
        <v>82844</v>
      </c>
      <c r="E28" s="68"/>
      <c r="F28" s="55"/>
      <c r="G28" s="69">
        <f t="shared" si="0"/>
        <v>82844</v>
      </c>
      <c r="H28" s="53"/>
      <c r="I28" s="46"/>
      <c r="J28" s="46"/>
      <c r="K28" s="46"/>
    </row>
    <row r="29" spans="1:11" x14ac:dyDescent="0.45">
      <c r="A29" s="46"/>
      <c r="B29" s="46" t="s">
        <v>37</v>
      </c>
      <c r="C29" s="46"/>
      <c r="D29" s="46">
        <f>SUM(D16:D28)</f>
        <v>1950340</v>
      </c>
      <c r="E29" s="46"/>
      <c r="F29" s="50"/>
      <c r="G29" s="46">
        <f>SUM(G16:G28)</f>
        <v>1893067.7964709313</v>
      </c>
      <c r="H29" s="53"/>
      <c r="I29" s="46"/>
      <c r="J29" s="46"/>
      <c r="K29" s="46"/>
    </row>
    <row r="30" spans="1:11" ht="4.1500000000000004" customHeight="1" x14ac:dyDescent="0.45">
      <c r="A30" s="46"/>
      <c r="B30" s="46"/>
      <c r="C30" s="46"/>
      <c r="D30" s="46"/>
      <c r="E30" s="46"/>
      <c r="F30" s="50"/>
      <c r="G30" s="46"/>
      <c r="H30" s="53"/>
      <c r="I30" s="46"/>
      <c r="J30" s="46"/>
      <c r="K30" s="46"/>
    </row>
    <row r="31" spans="1:11" x14ac:dyDescent="0.45">
      <c r="A31" s="46"/>
      <c r="B31" s="46" t="s">
        <v>20</v>
      </c>
      <c r="C31" s="46"/>
      <c r="D31" s="46">
        <v>720392</v>
      </c>
      <c r="E31" s="46"/>
      <c r="F31" s="50"/>
      <c r="G31" s="46">
        <f>D31+E31</f>
        <v>720392</v>
      </c>
      <c r="H31" s="53"/>
      <c r="I31" s="46"/>
      <c r="J31" s="46"/>
    </row>
    <row r="32" spans="1:11" ht="16.5" x14ac:dyDescent="0.45">
      <c r="A32" s="46"/>
      <c r="B32" s="46" t="s">
        <v>1</v>
      </c>
      <c r="C32" s="46"/>
      <c r="D32" s="69">
        <v>45329</v>
      </c>
      <c r="E32" s="68"/>
      <c r="F32" s="70"/>
      <c r="G32" s="69">
        <f>D32+E32</f>
        <v>45329</v>
      </c>
      <c r="H32" s="53"/>
      <c r="I32" s="46"/>
      <c r="J32" s="46"/>
    </row>
    <row r="33" spans="1:11" ht="16.5" x14ac:dyDescent="0.45">
      <c r="A33" s="54" t="s">
        <v>0</v>
      </c>
      <c r="B33" s="46"/>
      <c r="C33" s="46"/>
      <c r="D33" s="69">
        <f>SUM(D29:D32)</f>
        <v>2716061</v>
      </c>
      <c r="E33" s="68"/>
      <c r="F33" s="70"/>
      <c r="G33" s="69">
        <f>SUM(G29:G32)</f>
        <v>2658788.7964709313</v>
      </c>
      <c r="H33" s="53"/>
      <c r="I33" s="46"/>
      <c r="J33" s="46"/>
      <c r="K33" s="46"/>
    </row>
    <row r="34" spans="1:11" ht="4.1500000000000004" customHeight="1" x14ac:dyDescent="0.45">
      <c r="A34" s="54"/>
      <c r="B34" s="46"/>
      <c r="C34" s="46"/>
      <c r="D34" s="71"/>
      <c r="E34" s="46"/>
      <c r="F34" s="50"/>
      <c r="G34" s="46"/>
      <c r="H34" s="46"/>
      <c r="I34" s="46"/>
      <c r="J34" s="46"/>
      <c r="K34" s="46"/>
    </row>
    <row r="35" spans="1:11" x14ac:dyDescent="0.45">
      <c r="A35" s="54" t="s">
        <v>38</v>
      </c>
      <c r="B35" s="46"/>
      <c r="C35" s="46"/>
      <c r="D35" s="46">
        <f>D12-D33</f>
        <v>414495</v>
      </c>
      <c r="E35" s="46"/>
      <c r="F35" s="50"/>
      <c r="G35" s="46">
        <f>G12-G33</f>
        <v>539266.47510906821</v>
      </c>
      <c r="H35" s="46"/>
      <c r="I35" s="46"/>
      <c r="K35" s="46"/>
    </row>
    <row r="36" spans="1:11" x14ac:dyDescent="0.45">
      <c r="A36" s="46"/>
      <c r="B36" s="46"/>
      <c r="C36" s="46"/>
      <c r="D36" s="46"/>
      <c r="E36" s="46"/>
      <c r="F36" s="50"/>
      <c r="G36" s="46"/>
      <c r="H36" s="46"/>
      <c r="I36" s="46"/>
      <c r="J36" s="46"/>
      <c r="K36" s="46"/>
    </row>
    <row r="37" spans="1:11" ht="18" x14ac:dyDescent="0.45">
      <c r="A37" s="236" t="s">
        <v>21</v>
      </c>
      <c r="B37" s="236"/>
      <c r="C37" s="236"/>
      <c r="D37" s="236"/>
      <c r="E37" s="236"/>
      <c r="F37" s="236"/>
      <c r="G37" s="236"/>
      <c r="H37" s="46"/>
      <c r="I37" s="58"/>
      <c r="J37" s="59"/>
      <c r="K37" s="46"/>
    </row>
    <row r="38" spans="1:11" x14ac:dyDescent="0.45">
      <c r="A38" s="54" t="s">
        <v>39</v>
      </c>
      <c r="B38" s="46"/>
      <c r="C38" s="46"/>
      <c r="D38" s="60"/>
      <c r="E38" s="46"/>
      <c r="F38" s="55"/>
      <c r="G38" s="7">
        <f>G33</f>
        <v>2658788.7964709313</v>
      </c>
      <c r="H38" s="46"/>
      <c r="J38" s="46"/>
      <c r="K38" s="46"/>
    </row>
    <row r="39" spans="1:11" x14ac:dyDescent="0.45">
      <c r="A39" s="46" t="s">
        <v>22</v>
      </c>
      <c r="B39" s="46"/>
      <c r="C39" s="46" t="s">
        <v>68</v>
      </c>
      <c r="D39" s="60"/>
      <c r="E39" s="46"/>
      <c r="F39" s="55"/>
      <c r="G39" s="7">
        <f>'Debt Service'!M24</f>
        <v>895999.6</v>
      </c>
      <c r="H39" s="46"/>
      <c r="J39" s="46"/>
      <c r="K39" s="46"/>
    </row>
    <row r="40" spans="1:11" x14ac:dyDescent="0.45">
      <c r="A40" s="46"/>
      <c r="B40" s="46"/>
      <c r="C40" s="46" t="s">
        <v>69</v>
      </c>
      <c r="D40" s="60"/>
      <c r="E40" s="46"/>
      <c r="F40" s="55"/>
      <c r="G40" s="7">
        <f>'Debt Service'!M26</f>
        <v>179199.92</v>
      </c>
      <c r="H40" s="46"/>
      <c r="J40" s="46"/>
      <c r="K40" s="46"/>
    </row>
    <row r="41" spans="1:11" x14ac:dyDescent="0.45">
      <c r="A41" s="54" t="s">
        <v>56</v>
      </c>
      <c r="B41" s="46"/>
      <c r="C41" s="46"/>
      <c r="D41" s="60"/>
      <c r="E41" s="46"/>
      <c r="F41" s="55"/>
      <c r="G41" s="7">
        <f>G38+G39+G40</f>
        <v>3733988.3164709313</v>
      </c>
      <c r="H41" s="46"/>
      <c r="J41" s="46"/>
      <c r="K41" s="46"/>
    </row>
    <row r="42" spans="1:11" x14ac:dyDescent="0.45">
      <c r="A42" s="46" t="s">
        <v>23</v>
      </c>
      <c r="B42" s="46"/>
      <c r="C42" s="46" t="s">
        <v>24</v>
      </c>
      <c r="D42" s="60"/>
      <c r="E42" s="46"/>
      <c r="F42" s="55"/>
      <c r="G42" s="7">
        <f>SUM(G9:G11)</f>
        <v>116104</v>
      </c>
      <c r="H42" s="46"/>
      <c r="J42" s="46"/>
      <c r="K42" s="46"/>
    </row>
    <row r="43" spans="1:11" x14ac:dyDescent="0.45">
      <c r="A43" s="46"/>
      <c r="B43" s="46"/>
      <c r="C43" s="46" t="s">
        <v>12</v>
      </c>
      <c r="D43" s="60"/>
      <c r="E43" s="46"/>
      <c r="F43" s="55"/>
      <c r="G43" s="29">
        <v>13902</v>
      </c>
      <c r="H43" s="46"/>
      <c r="I43" s="29"/>
      <c r="J43" s="46"/>
      <c r="K43" s="46"/>
    </row>
    <row r="44" spans="1:11" x14ac:dyDescent="0.45">
      <c r="A44" s="54" t="s">
        <v>54</v>
      </c>
      <c r="B44" s="46"/>
      <c r="C44" s="46"/>
      <c r="D44" s="60"/>
      <c r="E44" s="46"/>
      <c r="F44" s="55"/>
      <c r="G44" s="7">
        <f>G41-G42-G43</f>
        <v>3603982.3164709313</v>
      </c>
      <c r="H44" s="46"/>
      <c r="J44" s="46"/>
      <c r="K44" s="46"/>
    </row>
    <row r="45" spans="1:11" ht="16.5" x14ac:dyDescent="0.75">
      <c r="A45" s="46" t="s">
        <v>23</v>
      </c>
      <c r="B45" s="46"/>
      <c r="C45" s="46" t="s">
        <v>55</v>
      </c>
      <c r="D45" s="60"/>
      <c r="E45" s="46"/>
      <c r="F45" s="55"/>
      <c r="G45" s="25">
        <f>G6+G7</f>
        <v>3081951.2715799995</v>
      </c>
      <c r="H45" s="46"/>
      <c r="I45" s="29"/>
      <c r="J45" s="46"/>
      <c r="K45" s="46"/>
    </row>
    <row r="46" spans="1:11" x14ac:dyDescent="0.45">
      <c r="A46" s="54" t="s">
        <v>57</v>
      </c>
      <c r="B46" s="46"/>
      <c r="C46" s="46"/>
      <c r="D46" s="60"/>
      <c r="E46" s="46"/>
      <c r="F46" s="55"/>
      <c r="G46" s="46">
        <f>G44-G45</f>
        <v>522031.04489093181</v>
      </c>
      <c r="H46" s="46"/>
      <c r="I46" s="46"/>
      <c r="J46" s="46"/>
      <c r="K46" s="46"/>
    </row>
    <row r="47" spans="1:11" ht="4.1500000000000004" customHeight="1" x14ac:dyDescent="0.45">
      <c r="A47" s="46"/>
      <c r="B47" s="46"/>
      <c r="C47" s="46"/>
      <c r="D47" s="60"/>
      <c r="E47" s="46"/>
      <c r="F47" s="55"/>
      <c r="G47" s="46"/>
      <c r="H47" s="46"/>
      <c r="I47" s="46"/>
      <c r="J47" s="46"/>
      <c r="K47" s="46"/>
    </row>
    <row r="48" spans="1:11" x14ac:dyDescent="0.45">
      <c r="A48" s="54" t="s">
        <v>58</v>
      </c>
      <c r="B48" s="46"/>
      <c r="C48" s="46"/>
      <c r="D48" s="60"/>
      <c r="E48" s="46"/>
      <c r="F48" s="55"/>
      <c r="G48" s="62">
        <f>IF(G46&lt;0,0,G46/G45)</f>
        <v>0.16938328964017213</v>
      </c>
      <c r="H48" s="46"/>
      <c r="I48" s="46"/>
      <c r="J48" s="46"/>
      <c r="K48" s="46"/>
    </row>
    <row r="51" spans="1:7" x14ac:dyDescent="0.45">
      <c r="A51" s="54"/>
      <c r="B51" s="46"/>
      <c r="C51" s="46"/>
      <c r="D51" s="60"/>
      <c r="E51" s="46"/>
      <c r="F51" s="55"/>
      <c r="G51" s="46"/>
    </row>
    <row r="52" spans="1:7" x14ac:dyDescent="0.45">
      <c r="A52" s="46"/>
      <c r="B52" s="46"/>
      <c r="C52" s="46"/>
      <c r="D52" s="60"/>
      <c r="E52" s="46"/>
      <c r="F52" s="55"/>
      <c r="G52" s="46"/>
    </row>
    <row r="53" spans="1:7" x14ac:dyDescent="0.45">
      <c r="A53" s="54"/>
      <c r="B53" s="46"/>
      <c r="C53" s="46"/>
      <c r="D53" s="60"/>
      <c r="E53" s="46"/>
      <c r="F53" s="55"/>
      <c r="G53" s="46"/>
    </row>
  </sheetData>
  <mergeCells count="2">
    <mergeCell ref="A37:G37"/>
    <mergeCell ref="A1:G1"/>
  </mergeCells>
  <printOptions horizontalCentered="1"/>
  <pageMargins left="0.45" right="0.25" top="0.5" bottom="0.5" header="0.3" footer="0.3"/>
  <pageSetup orientation="portrait" horizontalDpi="4294967293" r:id="rId1"/>
  <rowBreaks count="2" manualBreakCount="2">
    <brk id="35" max="16383" man="1"/>
    <brk id="36" max="16383" man="1"/>
  </rowBreaks>
  <ignoredErrors>
    <ignoredError sqref="G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workbookViewId="0">
      <selection activeCell="C15" sqref="C15"/>
    </sheetView>
  </sheetViews>
  <sheetFormatPr defaultColWidth="8.88671875" defaultRowHeight="14.25" x14ac:dyDescent="0.45"/>
  <cols>
    <col min="1" max="1" width="12.6640625" style="1" customWidth="1"/>
    <col min="2" max="2" width="11.5546875" style="135" bestFit="1" customWidth="1"/>
    <col min="3" max="3" width="9.88671875" style="135" customWidth="1"/>
    <col min="4" max="4" width="9.77734375" style="143" customWidth="1"/>
    <col min="5" max="5" width="9.77734375" style="136" customWidth="1"/>
    <col min="6" max="6" width="11.44140625" style="135" customWidth="1"/>
    <col min="7" max="7" width="10.6640625" style="137" customWidth="1"/>
    <col min="8" max="8" width="10.109375" style="135" customWidth="1"/>
    <col min="9" max="9" width="10.5546875" style="1" customWidth="1"/>
    <col min="10" max="11" width="8.88671875" style="1"/>
    <col min="12" max="12" width="10.109375" style="1" customWidth="1"/>
    <col min="13" max="13" width="9" style="1" bestFit="1" customWidth="1"/>
    <col min="14" max="14" width="9.77734375" style="1" bestFit="1" customWidth="1"/>
    <col min="15" max="16384" width="8.88671875" style="1"/>
  </cols>
  <sheetData>
    <row r="1" spans="1:12" x14ac:dyDescent="0.45">
      <c r="A1" s="1" t="s">
        <v>101</v>
      </c>
    </row>
    <row r="2" spans="1:12" x14ac:dyDescent="0.45">
      <c r="B2" s="138"/>
    </row>
    <row r="3" spans="1:12" x14ac:dyDescent="0.45">
      <c r="C3" s="135" t="s">
        <v>102</v>
      </c>
      <c r="F3" s="135" t="s">
        <v>103</v>
      </c>
      <c r="G3" s="137" t="s">
        <v>104</v>
      </c>
      <c r="H3" s="135" t="s">
        <v>104</v>
      </c>
    </row>
    <row r="4" spans="1:12" x14ac:dyDescent="0.45">
      <c r="B4" s="139" t="s">
        <v>102</v>
      </c>
      <c r="C4" s="135" t="s">
        <v>105</v>
      </c>
      <c r="D4" s="143" t="s">
        <v>105</v>
      </c>
      <c r="E4" s="136" t="s">
        <v>106</v>
      </c>
      <c r="F4" s="135" t="s">
        <v>107</v>
      </c>
      <c r="G4" s="137" t="s">
        <v>108</v>
      </c>
      <c r="H4" s="135" t="s">
        <v>108</v>
      </c>
    </row>
    <row r="5" spans="1:12" x14ac:dyDescent="0.45">
      <c r="B5" s="135" t="s">
        <v>109</v>
      </c>
      <c r="C5" s="135" t="s">
        <v>110</v>
      </c>
      <c r="D5" s="143" t="s">
        <v>111</v>
      </c>
      <c r="E5" s="136" t="s">
        <v>111</v>
      </c>
      <c r="F5" s="135" t="s">
        <v>109</v>
      </c>
      <c r="G5" s="137" t="s">
        <v>112</v>
      </c>
      <c r="H5" s="135" t="s">
        <v>113</v>
      </c>
      <c r="I5" s="20"/>
    </row>
    <row r="6" spans="1:12" x14ac:dyDescent="0.45">
      <c r="A6" s="1" t="s">
        <v>116</v>
      </c>
      <c r="B6" s="135">
        <v>0</v>
      </c>
      <c r="C6" s="135">
        <v>0</v>
      </c>
      <c r="D6" s="143">
        <v>0</v>
      </c>
      <c r="E6" s="136">
        <v>1</v>
      </c>
      <c r="F6" s="135">
        <v>66063</v>
      </c>
      <c r="G6" s="137">
        <v>0.79</v>
      </c>
      <c r="H6" s="135">
        <f>F6*G6</f>
        <v>52189.770000000004</v>
      </c>
      <c r="I6" s="20"/>
    </row>
    <row r="7" spans="1:12" x14ac:dyDescent="0.45">
      <c r="A7" s="1" t="s">
        <v>118</v>
      </c>
      <c r="B7" s="135">
        <v>0</v>
      </c>
      <c r="C7" s="135">
        <v>0</v>
      </c>
      <c r="D7" s="143">
        <v>0</v>
      </c>
      <c r="E7" s="136">
        <v>1</v>
      </c>
      <c r="F7" s="135">
        <f t="shared" ref="F7" si="0">B7*12</f>
        <v>0</v>
      </c>
      <c r="G7" s="148">
        <v>1</v>
      </c>
      <c r="H7" s="135">
        <f t="shared" ref="H7:H9" si="1">F7*G7</f>
        <v>0</v>
      </c>
      <c r="I7" s="41"/>
    </row>
    <row r="8" spans="1:12" x14ac:dyDescent="0.45">
      <c r="A8" s="1" t="s">
        <v>117</v>
      </c>
      <c r="B8" s="135">
        <v>0</v>
      </c>
      <c r="C8" s="140">
        <v>0</v>
      </c>
      <c r="D8" s="143">
        <v>0</v>
      </c>
      <c r="E8" s="137">
        <v>1</v>
      </c>
      <c r="F8" s="135">
        <v>4593</v>
      </c>
      <c r="G8" s="137">
        <v>0.6</v>
      </c>
      <c r="H8" s="135">
        <f t="shared" si="1"/>
        <v>2755.7999999999997</v>
      </c>
      <c r="I8" s="132"/>
      <c r="K8" s="2"/>
      <c r="L8" s="133"/>
    </row>
    <row r="9" spans="1:12" x14ac:dyDescent="0.45">
      <c r="A9" s="1" t="s">
        <v>119</v>
      </c>
      <c r="B9" s="141">
        <v>0</v>
      </c>
      <c r="C9" s="142">
        <v>0</v>
      </c>
      <c r="D9" s="143">
        <v>0</v>
      </c>
      <c r="E9" s="137">
        <v>1</v>
      </c>
      <c r="F9" s="141">
        <v>6367</v>
      </c>
      <c r="G9" s="137">
        <v>1</v>
      </c>
      <c r="H9" s="141">
        <f t="shared" si="1"/>
        <v>6367</v>
      </c>
    </row>
    <row r="10" spans="1:12" x14ac:dyDescent="0.45">
      <c r="A10" s="129" t="s">
        <v>48</v>
      </c>
      <c r="B10" s="135">
        <f>SUM(B6:B9)</f>
        <v>0</v>
      </c>
      <c r="C10" s="135">
        <f>SUM(C6:C9)</f>
        <v>0</v>
      </c>
      <c r="F10" s="135">
        <f>SUM(F6:F9)</f>
        <v>77023</v>
      </c>
      <c r="G10" s="149"/>
      <c r="H10" s="151">
        <f>SUM(H6:H9)</f>
        <v>61312.570000000007</v>
      </c>
      <c r="I10" s="41"/>
    </row>
    <row r="11" spans="1:12" x14ac:dyDescent="0.45">
      <c r="C11" s="140"/>
      <c r="E11" s="137"/>
      <c r="H11" s="152"/>
      <c r="I11" s="132"/>
    </row>
    <row r="12" spans="1:12" x14ac:dyDescent="0.45">
      <c r="A12" s="1" t="s">
        <v>114</v>
      </c>
      <c r="C12" s="140">
        <f>H10</f>
        <v>61312.570000000007</v>
      </c>
      <c r="E12" s="137"/>
      <c r="H12" s="152"/>
      <c r="I12" s="130"/>
    </row>
    <row r="13" spans="1:12" ht="16.5" x14ac:dyDescent="0.75">
      <c r="A13" s="1" t="s">
        <v>120</v>
      </c>
      <c r="C13" s="140">
        <f>-F10</f>
        <v>-77023</v>
      </c>
      <c r="E13" s="137"/>
      <c r="G13" s="150"/>
      <c r="H13" s="152"/>
      <c r="I13" s="134"/>
    </row>
    <row r="14" spans="1:12" x14ac:dyDescent="0.45">
      <c r="A14" s="1" t="s">
        <v>115</v>
      </c>
      <c r="C14" s="135">
        <f>C12+C13</f>
        <v>-15710.429999999993</v>
      </c>
      <c r="D14" s="156"/>
    </row>
    <row r="15" spans="1:12" x14ac:dyDescent="0.45">
      <c r="I15" s="132"/>
    </row>
    <row r="16" spans="1:12" x14ac:dyDescent="0.45">
      <c r="I16" s="132"/>
    </row>
    <row r="17" spans="1:12" x14ac:dyDescent="0.45">
      <c r="I17" s="132"/>
    </row>
    <row r="18" spans="1:12" x14ac:dyDescent="0.45">
      <c r="E18" s="145"/>
      <c r="H18" s="153"/>
      <c r="I18" s="41"/>
      <c r="K18" s="131"/>
      <c r="L18" s="131"/>
    </row>
    <row r="19" spans="1:12" x14ac:dyDescent="0.45">
      <c r="D19" s="144"/>
      <c r="E19" s="146"/>
      <c r="H19" s="154"/>
      <c r="I19" s="127"/>
      <c r="K19" s="2"/>
    </row>
    <row r="20" spans="1:12" ht="16.5" x14ac:dyDescent="0.75">
      <c r="E20" s="147"/>
      <c r="H20" s="155"/>
      <c r="I20" s="128"/>
    </row>
    <row r="21" spans="1:12" x14ac:dyDescent="0.45">
      <c r="E21" s="146"/>
      <c r="H21" s="154"/>
      <c r="I21" s="127"/>
    </row>
    <row r="26" spans="1:12" x14ac:dyDescent="0.45">
      <c r="A26" s="14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30B1-5320-458A-B984-AF0BD6A9981A}">
  <sheetPr>
    <pageSetUpPr fitToPage="1"/>
  </sheetPr>
  <dimension ref="B1:P27"/>
  <sheetViews>
    <sheetView showGridLines="0" workbookViewId="0">
      <selection activeCell="B2" sqref="B2:N27"/>
    </sheetView>
  </sheetViews>
  <sheetFormatPr defaultRowHeight="15" x14ac:dyDescent="0.4"/>
  <cols>
    <col min="1" max="1" width="1.77734375" customWidth="1"/>
    <col min="2" max="2" width="18.44140625" customWidth="1"/>
    <col min="3" max="12" width="7.77734375" customWidth="1"/>
    <col min="13" max="13" width="10.6640625" customWidth="1"/>
    <col min="14" max="14" width="0.77734375" customWidth="1"/>
    <col min="15" max="15" width="2.33203125" customWidth="1"/>
    <col min="16" max="16" width="9.6640625" customWidth="1"/>
  </cols>
  <sheetData>
    <row r="1" spans="2:16" ht="15.4" x14ac:dyDescent="0.4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2:16" ht="15.4" x14ac:dyDescent="0.45">
      <c r="B2" s="72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4"/>
      <c r="O2" s="17"/>
      <c r="P2" s="17"/>
    </row>
    <row r="3" spans="2:16" ht="18" x14ac:dyDescent="0.55000000000000004">
      <c r="B3" s="75" t="s">
        <v>29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66"/>
      <c r="O3" s="17"/>
      <c r="P3" s="17"/>
    </row>
    <row r="4" spans="2:16" ht="18" x14ac:dyDescent="0.55000000000000004">
      <c r="B4" s="77" t="s">
        <v>70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66"/>
      <c r="O4" s="17"/>
      <c r="P4" s="17"/>
    </row>
    <row r="5" spans="2:16" ht="15.75" x14ac:dyDescent="0.45">
      <c r="B5" s="79" t="s">
        <v>135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66"/>
      <c r="O5" s="17"/>
      <c r="P5" s="17"/>
    </row>
    <row r="6" spans="2:16" ht="15.75" x14ac:dyDescent="0.5">
      <c r="B6" s="80" t="s">
        <v>138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66"/>
      <c r="O6" s="17"/>
      <c r="P6" s="17"/>
    </row>
    <row r="7" spans="2:16" ht="15.4" x14ac:dyDescent="0.45">
      <c r="B7" s="82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66"/>
      <c r="O7" s="17"/>
      <c r="P7" s="17"/>
    </row>
    <row r="8" spans="2:16" ht="15.4" x14ac:dyDescent="0.45">
      <c r="B8" s="83"/>
      <c r="C8" s="84"/>
      <c r="D8" s="85"/>
      <c r="E8" s="84"/>
      <c r="F8" s="86"/>
      <c r="G8" s="84"/>
      <c r="H8" s="86"/>
      <c r="I8" s="84"/>
      <c r="J8" s="86"/>
      <c r="K8" s="84"/>
      <c r="L8" s="86"/>
      <c r="M8" s="85"/>
      <c r="N8" s="74"/>
      <c r="O8" s="17"/>
      <c r="P8" s="17"/>
    </row>
    <row r="9" spans="2:16" ht="16.5" x14ac:dyDescent="0.45">
      <c r="B9" s="87"/>
      <c r="C9" s="237" t="s">
        <v>71</v>
      </c>
      <c r="D9" s="238"/>
      <c r="E9" s="237" t="s">
        <v>72</v>
      </c>
      <c r="F9" s="238"/>
      <c r="G9" s="237" t="s">
        <v>73</v>
      </c>
      <c r="H9" s="238"/>
      <c r="I9" s="237" t="s">
        <v>136</v>
      </c>
      <c r="J9" s="238"/>
      <c r="K9" s="237" t="s">
        <v>137</v>
      </c>
      <c r="L9" s="238"/>
      <c r="M9" s="17"/>
      <c r="N9" s="66"/>
      <c r="O9" s="17"/>
      <c r="P9" s="17"/>
    </row>
    <row r="10" spans="2:16" ht="16.5" x14ac:dyDescent="0.45">
      <c r="B10" s="87"/>
      <c r="C10" s="88"/>
      <c r="D10" s="89" t="s">
        <v>74</v>
      </c>
      <c r="E10" s="90"/>
      <c r="F10" s="89" t="s">
        <v>74</v>
      </c>
      <c r="G10" s="90"/>
      <c r="H10" s="89" t="s">
        <v>74</v>
      </c>
      <c r="I10" s="90"/>
      <c r="J10" s="89" t="s">
        <v>74</v>
      </c>
      <c r="K10" s="90"/>
      <c r="L10" s="89" t="s">
        <v>74</v>
      </c>
      <c r="M10" s="17"/>
      <c r="N10" s="66"/>
      <c r="O10" s="17"/>
      <c r="P10" s="17"/>
    </row>
    <row r="11" spans="2:16" ht="16.5" x14ac:dyDescent="0.45">
      <c r="B11" s="87"/>
      <c r="C11" s="88" t="s">
        <v>75</v>
      </c>
      <c r="D11" s="91" t="s">
        <v>76</v>
      </c>
      <c r="E11" s="88" t="s">
        <v>75</v>
      </c>
      <c r="F11" s="91" t="s">
        <v>76</v>
      </c>
      <c r="G11" s="88" t="s">
        <v>75</v>
      </c>
      <c r="H11" s="91" t="s">
        <v>76</v>
      </c>
      <c r="I11" s="88" t="s">
        <v>75</v>
      </c>
      <c r="J11" s="91" t="s">
        <v>76</v>
      </c>
      <c r="K11" s="88" t="s">
        <v>75</v>
      </c>
      <c r="L11" s="91" t="s">
        <v>76</v>
      </c>
      <c r="M11" s="92" t="s">
        <v>64</v>
      </c>
      <c r="N11" s="66"/>
      <c r="O11" s="17"/>
      <c r="P11" s="17"/>
    </row>
    <row r="12" spans="2:16" ht="15.4" x14ac:dyDescent="0.45">
      <c r="B12" s="87" t="s">
        <v>139</v>
      </c>
      <c r="C12" s="177">
        <v>45000</v>
      </c>
      <c r="D12" s="178">
        <v>11078</v>
      </c>
      <c r="E12" s="177">
        <v>45000</v>
      </c>
      <c r="F12" s="178">
        <v>9143</v>
      </c>
      <c r="G12" s="177">
        <v>45000</v>
      </c>
      <c r="H12" s="178">
        <v>7208</v>
      </c>
      <c r="I12" s="177">
        <v>50000</v>
      </c>
      <c r="J12" s="178">
        <v>5134</v>
      </c>
      <c r="K12" s="177">
        <v>50000</v>
      </c>
      <c r="L12" s="178">
        <v>2921</v>
      </c>
      <c r="M12" s="97">
        <f t="shared" ref="M12:M19" si="0">SUM(C12:L12)</f>
        <v>270484</v>
      </c>
      <c r="N12" s="66"/>
      <c r="O12" s="17"/>
      <c r="P12" s="17"/>
    </row>
    <row r="13" spans="2:16" ht="15.4" x14ac:dyDescent="0.45">
      <c r="B13" s="87" t="s">
        <v>140</v>
      </c>
      <c r="C13" s="177">
        <v>250000</v>
      </c>
      <c r="D13" s="178">
        <v>54378</v>
      </c>
      <c r="E13" s="177">
        <v>270000</v>
      </c>
      <c r="F13" s="178">
        <v>42573</v>
      </c>
      <c r="G13" s="177">
        <v>275000</v>
      </c>
      <c r="H13" s="178">
        <v>32574</v>
      </c>
      <c r="I13" s="177">
        <v>285000</v>
      </c>
      <c r="J13" s="178">
        <v>23678</v>
      </c>
      <c r="K13" s="177">
        <v>280000</v>
      </c>
      <c r="L13" s="178">
        <v>14355</v>
      </c>
      <c r="M13" s="97">
        <f t="shared" si="0"/>
        <v>1527558</v>
      </c>
      <c r="N13" s="66"/>
      <c r="O13" s="17"/>
      <c r="P13" s="17"/>
    </row>
    <row r="14" spans="2:16" ht="15.4" x14ac:dyDescent="0.45">
      <c r="B14" s="87" t="s">
        <v>140</v>
      </c>
      <c r="C14" s="177">
        <v>70000</v>
      </c>
      <c r="D14" s="178">
        <v>56721</v>
      </c>
      <c r="E14" s="177">
        <v>75000</v>
      </c>
      <c r="F14" s="178">
        <v>53429</v>
      </c>
      <c r="G14" s="177">
        <v>75000</v>
      </c>
      <c r="H14" s="178">
        <v>50673</v>
      </c>
      <c r="I14" s="177">
        <v>75000</v>
      </c>
      <c r="J14" s="178">
        <v>48291</v>
      </c>
      <c r="K14" s="177">
        <v>80000</v>
      </c>
      <c r="L14" s="178">
        <v>45734</v>
      </c>
      <c r="M14" s="97">
        <f t="shared" si="0"/>
        <v>629848</v>
      </c>
      <c r="N14" s="66"/>
      <c r="O14" s="17"/>
      <c r="P14" s="17"/>
    </row>
    <row r="15" spans="2:16" ht="15.4" x14ac:dyDescent="0.45">
      <c r="B15" s="93" t="s">
        <v>141</v>
      </c>
      <c r="C15" s="94">
        <v>15201</v>
      </c>
      <c r="D15" s="95">
        <v>3379</v>
      </c>
      <c r="E15" s="94">
        <v>15507</v>
      </c>
      <c r="F15" s="96">
        <v>3043</v>
      </c>
      <c r="G15" s="94">
        <v>15818</v>
      </c>
      <c r="H15" s="96">
        <v>2700</v>
      </c>
      <c r="I15" s="94">
        <v>16136</v>
      </c>
      <c r="J15" s="96">
        <v>2351</v>
      </c>
      <c r="K15" s="170">
        <v>16461</v>
      </c>
      <c r="L15" s="171">
        <v>1994</v>
      </c>
      <c r="M15" s="97">
        <f t="shared" ref="M15" si="1">SUM(C15:L15)</f>
        <v>92590</v>
      </c>
      <c r="N15" s="66"/>
      <c r="O15" s="17"/>
      <c r="P15" s="17"/>
    </row>
    <row r="16" spans="2:16" ht="15.4" x14ac:dyDescent="0.45">
      <c r="B16" s="93" t="s">
        <v>142</v>
      </c>
      <c r="C16" s="94">
        <v>46321</v>
      </c>
      <c r="D16" s="95">
        <v>13747</v>
      </c>
      <c r="E16" s="94">
        <v>47136</v>
      </c>
      <c r="F16" s="64">
        <v>12817</v>
      </c>
      <c r="G16" s="94">
        <v>47964</v>
      </c>
      <c r="H16" s="64">
        <v>11870</v>
      </c>
      <c r="I16" s="94">
        <v>48807</v>
      </c>
      <c r="J16" s="64">
        <v>10906</v>
      </c>
      <c r="K16" s="170">
        <v>49664</v>
      </c>
      <c r="L16" s="171">
        <v>9926</v>
      </c>
      <c r="M16" s="97">
        <f t="shared" si="0"/>
        <v>299158</v>
      </c>
      <c r="N16" s="66"/>
      <c r="O16" s="17"/>
      <c r="P16" s="17"/>
    </row>
    <row r="17" spans="2:16" ht="15.4" x14ac:dyDescent="0.45">
      <c r="B17" s="93" t="s">
        <v>143</v>
      </c>
      <c r="C17" s="94">
        <v>12370</v>
      </c>
      <c r="D17" s="95">
        <v>8278</v>
      </c>
      <c r="E17" s="94">
        <v>12713</v>
      </c>
      <c r="F17" s="64">
        <v>7911</v>
      </c>
      <c r="G17" s="94">
        <v>13065</v>
      </c>
      <c r="H17" s="64">
        <v>7533</v>
      </c>
      <c r="I17" s="94">
        <v>13427</v>
      </c>
      <c r="J17" s="64">
        <v>7145</v>
      </c>
      <c r="K17" s="170">
        <v>13798</v>
      </c>
      <c r="L17" s="171">
        <v>6746</v>
      </c>
      <c r="M17" s="97">
        <f t="shared" si="0"/>
        <v>102986</v>
      </c>
      <c r="N17" s="66"/>
      <c r="O17" s="17"/>
      <c r="P17" s="17"/>
    </row>
    <row r="18" spans="2:16" ht="15.4" x14ac:dyDescent="0.45">
      <c r="B18" s="93" t="s">
        <v>144</v>
      </c>
      <c r="C18" s="94">
        <v>80000</v>
      </c>
      <c r="D18" s="95">
        <v>67969</v>
      </c>
      <c r="E18" s="94">
        <v>85000</v>
      </c>
      <c r="F18" s="64">
        <v>63844</v>
      </c>
      <c r="G18" s="94">
        <v>90000</v>
      </c>
      <c r="H18" s="64">
        <v>59469</v>
      </c>
      <c r="I18" s="94">
        <v>95000</v>
      </c>
      <c r="J18" s="64">
        <v>54844</v>
      </c>
      <c r="K18" s="170">
        <v>100000</v>
      </c>
      <c r="L18" s="171">
        <v>49969</v>
      </c>
      <c r="M18" s="97">
        <f t="shared" si="0"/>
        <v>746095</v>
      </c>
      <c r="N18" s="66"/>
      <c r="O18" s="17"/>
      <c r="P18" s="17"/>
    </row>
    <row r="19" spans="2:16" ht="15.4" x14ac:dyDescent="0.45">
      <c r="B19" s="93" t="s">
        <v>145</v>
      </c>
      <c r="C19" s="94">
        <v>94583</v>
      </c>
      <c r="D19" s="95">
        <v>67574</v>
      </c>
      <c r="E19" s="94">
        <v>99583</v>
      </c>
      <c r="F19" s="64">
        <v>62609</v>
      </c>
      <c r="G19" s="94">
        <v>104583</v>
      </c>
      <c r="H19" s="64">
        <v>57381</v>
      </c>
      <c r="I19" s="94">
        <v>109583</v>
      </c>
      <c r="J19" s="64">
        <v>51890</v>
      </c>
      <c r="K19" s="170">
        <v>114583</v>
      </c>
      <c r="L19" s="171">
        <v>48910</v>
      </c>
      <c r="M19" s="97">
        <f t="shared" si="0"/>
        <v>811279</v>
      </c>
      <c r="N19" s="66"/>
      <c r="O19" s="17"/>
      <c r="P19" s="17"/>
    </row>
    <row r="20" spans="2:16" ht="15.4" x14ac:dyDescent="0.45">
      <c r="B20" s="98"/>
      <c r="C20" s="99"/>
      <c r="D20" s="100"/>
      <c r="E20" s="99"/>
      <c r="F20" s="100"/>
      <c r="G20" s="99"/>
      <c r="H20" s="100"/>
      <c r="I20" s="99"/>
      <c r="J20" s="100"/>
      <c r="K20" s="99"/>
      <c r="L20" s="101"/>
      <c r="M20" s="97"/>
      <c r="N20" s="66"/>
      <c r="O20" s="17"/>
      <c r="P20" s="17"/>
    </row>
    <row r="21" spans="2:16" ht="15.4" x14ac:dyDescent="0.45">
      <c r="B21" s="67" t="s">
        <v>64</v>
      </c>
      <c r="C21" s="102">
        <f t="shared" ref="C21:J21" si="2">SUM(C12:C20)</f>
        <v>613475</v>
      </c>
      <c r="D21" s="103">
        <f t="shared" si="2"/>
        <v>283124</v>
      </c>
      <c r="E21" s="102">
        <f t="shared" si="2"/>
        <v>649939</v>
      </c>
      <c r="F21" s="103">
        <f t="shared" si="2"/>
        <v>255369</v>
      </c>
      <c r="G21" s="102">
        <f t="shared" si="2"/>
        <v>666430</v>
      </c>
      <c r="H21" s="103">
        <f t="shared" si="2"/>
        <v>229408</v>
      </c>
      <c r="I21" s="102">
        <f t="shared" si="2"/>
        <v>692953</v>
      </c>
      <c r="J21" s="103">
        <f t="shared" si="2"/>
        <v>204239</v>
      </c>
      <c r="K21" s="102">
        <f>SUM(K12:K20)</f>
        <v>704506</v>
      </c>
      <c r="L21" s="103">
        <f>SUM(L12:L20)</f>
        <v>180555</v>
      </c>
      <c r="M21" s="104">
        <f>SUM(M12:M20)</f>
        <v>4479998</v>
      </c>
      <c r="N21" s="66"/>
      <c r="O21" s="17"/>
      <c r="P21" s="17">
        <f>SUM(C21:L21)</f>
        <v>4479998</v>
      </c>
    </row>
    <row r="22" spans="2:16" ht="15.4" x14ac:dyDescent="0.45">
      <c r="B22" s="105"/>
      <c r="C22" s="106"/>
      <c r="D22" s="107"/>
      <c r="E22" s="106"/>
      <c r="F22" s="108"/>
      <c r="G22" s="106"/>
      <c r="H22" s="108"/>
      <c r="I22" s="106"/>
      <c r="J22" s="109"/>
      <c r="K22" s="106"/>
      <c r="L22" s="108"/>
      <c r="M22" s="107"/>
      <c r="N22" s="63"/>
      <c r="O22" s="17"/>
      <c r="P22" s="17"/>
    </row>
    <row r="23" spans="2:16" ht="15.4" x14ac:dyDescent="0.45">
      <c r="B23" s="110"/>
      <c r="C23" s="111"/>
      <c r="D23" s="111"/>
      <c r="E23" s="111"/>
      <c r="F23" s="111"/>
      <c r="G23" s="111"/>
      <c r="H23" s="111"/>
      <c r="I23" s="111"/>
      <c r="J23" s="112"/>
      <c r="K23" s="112"/>
      <c r="L23" s="112"/>
      <c r="M23" s="111"/>
      <c r="N23" s="66"/>
      <c r="O23" s="17"/>
      <c r="P23" s="17"/>
    </row>
    <row r="24" spans="2:16" ht="15.4" x14ac:dyDescent="0.45">
      <c r="B24" s="113"/>
      <c r="C24" s="114"/>
      <c r="D24" s="115"/>
      <c r="E24" s="114"/>
      <c r="F24" s="114"/>
      <c r="G24" s="114"/>
      <c r="H24" s="114"/>
      <c r="I24" s="115" t="s">
        <v>77</v>
      </c>
      <c r="J24" s="17"/>
      <c r="K24" s="116"/>
      <c r="L24" s="117"/>
      <c r="M24" s="114">
        <f>M21/5</f>
        <v>895999.6</v>
      </c>
      <c r="N24" s="66"/>
      <c r="O24" s="17"/>
      <c r="P24" s="17"/>
    </row>
    <row r="25" spans="2:16" ht="15.4" x14ac:dyDescent="0.45">
      <c r="B25" s="19"/>
      <c r="C25" s="115"/>
      <c r="D25" s="17"/>
      <c r="E25" s="115"/>
      <c r="F25" s="115"/>
      <c r="G25" s="115"/>
      <c r="H25" s="115"/>
      <c r="I25" s="115"/>
      <c r="J25" s="17"/>
      <c r="K25" s="23"/>
      <c r="L25" s="116"/>
      <c r="M25" s="28"/>
      <c r="N25" s="66"/>
      <c r="O25" s="17"/>
      <c r="P25" s="17"/>
    </row>
    <row r="26" spans="2:16" ht="15.4" x14ac:dyDescent="0.45">
      <c r="B26" s="113"/>
      <c r="C26" s="115"/>
      <c r="D26" s="115"/>
      <c r="E26" s="115"/>
      <c r="F26" s="115"/>
      <c r="G26" s="115"/>
      <c r="H26" s="115"/>
      <c r="I26" s="115" t="s">
        <v>78</v>
      </c>
      <c r="J26" s="17"/>
      <c r="K26" s="116"/>
      <c r="L26" s="115"/>
      <c r="M26" s="114">
        <f>M24*0.2</f>
        <v>179199.92</v>
      </c>
      <c r="N26" s="66"/>
      <c r="O26" s="17"/>
      <c r="P26" s="17">
        <f>M26+M24</f>
        <v>1075199.52</v>
      </c>
    </row>
    <row r="27" spans="2:16" ht="15.4" x14ac:dyDescent="0.45">
      <c r="B27" s="118"/>
      <c r="C27" s="119"/>
      <c r="D27" s="119"/>
      <c r="E27" s="119"/>
      <c r="F27" s="119" t="s">
        <v>121</v>
      </c>
      <c r="G27" s="119"/>
      <c r="H27" s="119"/>
      <c r="I27" s="119"/>
      <c r="J27" s="119"/>
      <c r="K27" s="119"/>
      <c r="L27" s="119"/>
      <c r="M27" s="119"/>
      <c r="N27" s="63"/>
      <c r="O27" s="17"/>
      <c r="P27" s="17"/>
    </row>
  </sheetData>
  <mergeCells count="5">
    <mergeCell ref="C9:D9"/>
    <mergeCell ref="E9:F9"/>
    <mergeCell ref="G9:H9"/>
    <mergeCell ref="I9:J9"/>
    <mergeCell ref="K9:L9"/>
  </mergeCells>
  <pageMargins left="0.7" right="0.7" top="0.75" bottom="0.75" header="0.3" footer="0.3"/>
  <pageSetup scale="91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52889-0321-45D3-A9A4-AE60C9D6113F}">
  <dimension ref="A1:I43"/>
  <sheetViews>
    <sheetView showGridLines="0" workbookViewId="0">
      <selection activeCell="A2" sqref="A2"/>
    </sheetView>
  </sheetViews>
  <sheetFormatPr defaultColWidth="8.88671875" defaultRowHeight="14.25" x14ac:dyDescent="0.45"/>
  <cols>
    <col min="1" max="1" width="22" style="1" customWidth="1"/>
    <col min="2" max="2" width="9.88671875" style="7" bestFit="1" customWidth="1"/>
    <col min="3" max="3" width="9.6640625" style="7" bestFit="1" customWidth="1"/>
    <col min="4" max="4" width="10.44140625" style="1" bestFit="1" customWidth="1"/>
    <col min="5" max="16384" width="8.88671875" style="1"/>
  </cols>
  <sheetData>
    <row r="1" spans="1:3" x14ac:dyDescent="0.45">
      <c r="A1" s="162" t="s">
        <v>130</v>
      </c>
    </row>
    <row r="2" spans="1:3" x14ac:dyDescent="0.45">
      <c r="A2" s="162"/>
    </row>
    <row r="3" spans="1:3" x14ac:dyDescent="0.45">
      <c r="A3" s="162"/>
    </row>
    <row r="4" spans="1:3" x14ac:dyDescent="0.45">
      <c r="A4" s="162" t="s">
        <v>130</v>
      </c>
    </row>
    <row r="5" spans="1:3" x14ac:dyDescent="0.45">
      <c r="A5" s="1" t="s">
        <v>85</v>
      </c>
      <c r="C5" s="7">
        <v>453374</v>
      </c>
    </row>
    <row r="6" spans="1:3" x14ac:dyDescent="0.45">
      <c r="A6" s="1" t="s">
        <v>86</v>
      </c>
      <c r="C6" s="5">
        <v>18419</v>
      </c>
    </row>
    <row r="7" spans="1:3" x14ac:dyDescent="0.45">
      <c r="A7" s="1" t="s">
        <v>87</v>
      </c>
      <c r="C7" s="7">
        <f>C5+C6</f>
        <v>471793</v>
      </c>
    </row>
    <row r="9" spans="1:3" x14ac:dyDescent="0.45">
      <c r="A9" s="1" t="s">
        <v>80</v>
      </c>
      <c r="C9" s="7">
        <v>301799</v>
      </c>
    </row>
    <row r="11" spans="1:3" x14ac:dyDescent="0.45">
      <c r="A11" s="1" t="s">
        <v>81</v>
      </c>
    </row>
    <row r="12" spans="1:3" x14ac:dyDescent="0.45">
      <c r="A12" s="1" t="s">
        <v>90</v>
      </c>
      <c r="B12" s="7">
        <v>26334</v>
      </c>
    </row>
    <row r="13" spans="1:3" x14ac:dyDescent="0.45">
      <c r="A13" s="1" t="s">
        <v>91</v>
      </c>
      <c r="B13" s="7">
        <v>29174</v>
      </c>
    </row>
    <row r="14" spans="1:3" x14ac:dyDescent="0.45">
      <c r="A14" s="1" t="s">
        <v>92</v>
      </c>
      <c r="B14" s="7">
        <v>0</v>
      </c>
    </row>
    <row r="15" spans="1:3" x14ac:dyDescent="0.45">
      <c r="A15" s="1" t="s">
        <v>93</v>
      </c>
      <c r="B15" s="7">
        <v>1389</v>
      </c>
    </row>
    <row r="16" spans="1:3" x14ac:dyDescent="0.45">
      <c r="A16" s="1" t="s">
        <v>88</v>
      </c>
      <c r="C16" s="7">
        <f>SUM(B12:B15)</f>
        <v>56897</v>
      </c>
    </row>
    <row r="18" spans="1:7" x14ac:dyDescent="0.45">
      <c r="A18" s="1" t="s">
        <v>89</v>
      </c>
    </row>
    <row r="19" spans="1:7" x14ac:dyDescent="0.45">
      <c r="A19" s="1" t="s">
        <v>94</v>
      </c>
      <c r="B19" s="7">
        <v>0</v>
      </c>
    </row>
    <row r="20" spans="1:7" x14ac:dyDescent="0.45">
      <c r="A20" s="1" t="s">
        <v>95</v>
      </c>
      <c r="B20" s="7">
        <v>38442</v>
      </c>
    </row>
    <row r="21" spans="1:7" x14ac:dyDescent="0.45">
      <c r="A21" s="1" t="s">
        <v>96</v>
      </c>
      <c r="B21" s="7">
        <v>70228</v>
      </c>
    </row>
    <row r="22" spans="1:7" x14ac:dyDescent="0.45">
      <c r="A22" s="1" t="s">
        <v>126</v>
      </c>
    </row>
    <row r="23" spans="1:7" x14ac:dyDescent="0.45">
      <c r="A23" s="1" t="s">
        <v>97</v>
      </c>
      <c r="B23" s="7">
        <v>4427</v>
      </c>
    </row>
    <row r="24" spans="1:7" x14ac:dyDescent="0.45">
      <c r="A24" s="1" t="s">
        <v>98</v>
      </c>
      <c r="C24" s="5">
        <f>SUM(B19:B23)</f>
        <v>113097</v>
      </c>
    </row>
    <row r="25" spans="1:7" x14ac:dyDescent="0.45">
      <c r="A25" s="1" t="s">
        <v>99</v>
      </c>
      <c r="C25" s="7">
        <f>C9+C16+C24</f>
        <v>471793</v>
      </c>
    </row>
    <row r="27" spans="1:7" x14ac:dyDescent="0.45">
      <c r="D27" s="42">
        <f>C24/C7</f>
        <v>0.2397174184441058</v>
      </c>
      <c r="E27" s="1" t="s">
        <v>82</v>
      </c>
    </row>
    <row r="28" spans="1:7" x14ac:dyDescent="0.45">
      <c r="D28" s="166">
        <v>0.15</v>
      </c>
      <c r="E28" s="1" t="s">
        <v>83</v>
      </c>
    </row>
    <row r="29" spans="1:7" x14ac:dyDescent="0.45">
      <c r="D29" s="42">
        <f>D27-D28</f>
        <v>8.9717418444105801E-2</v>
      </c>
      <c r="E29" s="1" t="s">
        <v>84</v>
      </c>
      <c r="G29" s="20"/>
    </row>
    <row r="30" spans="1:7" x14ac:dyDescent="0.45">
      <c r="D30" s="42"/>
      <c r="G30" s="20"/>
    </row>
    <row r="31" spans="1:7" x14ac:dyDescent="0.45">
      <c r="D31" s="42"/>
      <c r="G31" s="20"/>
    </row>
    <row r="32" spans="1:7" x14ac:dyDescent="0.45">
      <c r="A32" s="162"/>
      <c r="B32" s="167"/>
      <c r="C32" s="167"/>
      <c r="D32" s="165"/>
      <c r="E32" s="162"/>
      <c r="G32" s="20"/>
    </row>
    <row r="33" spans="1:9" s="162" customFormat="1" x14ac:dyDescent="0.45">
      <c r="A33" s="162" t="s">
        <v>134</v>
      </c>
      <c r="B33" s="167"/>
      <c r="C33" s="167"/>
      <c r="I33" s="172"/>
    </row>
    <row r="34" spans="1:9" x14ac:dyDescent="0.45">
      <c r="A34" s="1" t="s">
        <v>133</v>
      </c>
      <c r="B34" s="163">
        <f>SAO!D19</f>
        <v>50552</v>
      </c>
      <c r="C34" s="158">
        <f>D29</f>
        <v>8.9717418444105801E-2</v>
      </c>
      <c r="D34" s="173">
        <f t="shared" ref="D34:D36" si="0">B34*C34</f>
        <v>4535.3949371864364</v>
      </c>
      <c r="E34" s="162" t="s">
        <v>127</v>
      </c>
      <c r="F34" s="162"/>
      <c r="G34" s="162"/>
      <c r="H34" s="162"/>
      <c r="I34" s="172" t="s">
        <v>132</v>
      </c>
    </row>
    <row r="35" spans="1:9" x14ac:dyDescent="0.45">
      <c r="A35" s="1" t="str">
        <f>SAO!C20</f>
        <v>Purchased Power</v>
      </c>
      <c r="B35" s="163">
        <f>SAO!D20</f>
        <v>199422</v>
      </c>
      <c r="C35" s="158">
        <f>D29</f>
        <v>8.9717418444105801E-2</v>
      </c>
      <c r="D35" s="173">
        <f t="shared" si="0"/>
        <v>17891.627020960466</v>
      </c>
      <c r="E35" s="162" t="s">
        <v>128</v>
      </c>
      <c r="F35" s="162"/>
      <c r="G35" s="162"/>
      <c r="H35" s="162"/>
      <c r="I35" s="172" t="s">
        <v>132</v>
      </c>
    </row>
    <row r="36" spans="1:9" ht="16.5" x14ac:dyDescent="0.75">
      <c r="A36" s="1" t="str">
        <f>SAO!C21</f>
        <v>Chemicals</v>
      </c>
      <c r="B36" s="7">
        <f>SAO!D21</f>
        <v>213278</v>
      </c>
      <c r="C36" s="159">
        <f>D29</f>
        <v>8.9717418444105801E-2</v>
      </c>
      <c r="D36" s="174">
        <f t="shared" si="0"/>
        <v>19134.751570921999</v>
      </c>
      <c r="E36" s="162" t="s">
        <v>129</v>
      </c>
      <c r="F36" s="162"/>
      <c r="G36" s="162"/>
      <c r="H36" s="162"/>
      <c r="I36" s="172" t="s">
        <v>132</v>
      </c>
    </row>
    <row r="37" spans="1:9" x14ac:dyDescent="0.45">
      <c r="A37" s="162" t="s">
        <v>122</v>
      </c>
      <c r="B37" s="167"/>
      <c r="C37" s="168"/>
      <c r="D37" s="169">
        <f>SUM(D34:D36)</f>
        <v>41561.773529068902</v>
      </c>
    </row>
    <row r="38" spans="1:9" x14ac:dyDescent="0.45">
      <c r="A38" s="162"/>
      <c r="B38" s="167"/>
      <c r="C38" s="168"/>
      <c r="D38" s="169"/>
    </row>
    <row r="39" spans="1:9" x14ac:dyDescent="0.45">
      <c r="C39" s="157"/>
      <c r="D39" s="161"/>
    </row>
    <row r="40" spans="1:9" x14ac:dyDescent="0.45">
      <c r="A40" s="162" t="s">
        <v>131</v>
      </c>
      <c r="C40" s="157"/>
      <c r="D40" s="161"/>
    </row>
    <row r="41" spans="1:9" x14ac:dyDescent="0.45">
      <c r="A41" s="1" t="s">
        <v>122</v>
      </c>
      <c r="C41" s="157"/>
      <c r="D41" s="161">
        <f>D37</f>
        <v>41561.773529068902</v>
      </c>
    </row>
    <row r="42" spans="1:9" ht="16.5" x14ac:dyDescent="0.75">
      <c r="A42" s="1" t="s">
        <v>125</v>
      </c>
      <c r="C42" s="6"/>
      <c r="D42" s="160">
        <f>43729+509+255</f>
        <v>44493</v>
      </c>
    </row>
    <row r="43" spans="1:9" x14ac:dyDescent="0.45">
      <c r="A43" s="162" t="s">
        <v>123</v>
      </c>
      <c r="B43" s="167"/>
      <c r="C43" s="168"/>
      <c r="D43" s="165">
        <f>D41/D42</f>
        <v>0.93411937898251185</v>
      </c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U46"/>
  <sheetViews>
    <sheetView showGridLines="0" workbookViewId="0">
      <selection activeCell="Q22" sqref="Q22"/>
    </sheetView>
  </sheetViews>
  <sheetFormatPr defaultColWidth="8.88671875" defaultRowHeight="15.75" customHeight="1" outlineLevelRow="1" x14ac:dyDescent="0.5"/>
  <cols>
    <col min="1" max="1" width="2.109375" style="200" customWidth="1"/>
    <col min="2" max="2" width="1.109375" style="200" customWidth="1"/>
    <col min="3" max="3" width="4.77734375" style="200" customWidth="1"/>
    <col min="4" max="4" width="6.77734375" style="200" customWidth="1"/>
    <col min="5" max="5" width="6.33203125" style="200" customWidth="1"/>
    <col min="6" max="6" width="8" style="200" customWidth="1"/>
    <col min="7" max="7" width="13.33203125" style="200" customWidth="1"/>
    <col min="8" max="8" width="1.21875" style="200" customWidth="1"/>
    <col min="9" max="9" width="4.77734375" style="200" customWidth="1"/>
    <col min="10" max="10" width="7" style="200" customWidth="1"/>
    <col min="11" max="11" width="6.33203125" style="200" customWidth="1"/>
    <col min="12" max="12" width="8.33203125" style="200" customWidth="1"/>
    <col min="13" max="13" width="13.33203125" style="200" customWidth="1"/>
    <col min="14" max="14" width="8.5546875" style="200" bestFit="1" customWidth="1"/>
    <col min="15" max="15" width="6.5546875" style="200" bestFit="1" customWidth="1"/>
    <col min="16" max="16" width="2.6640625" style="200" customWidth="1"/>
    <col min="17" max="207" width="9.6640625" style="200" customWidth="1"/>
    <col min="208" max="16384" width="8.88671875" style="200"/>
  </cols>
  <sheetData>
    <row r="2" spans="2:18" ht="15.75" customHeight="1" x14ac:dyDescent="0.55000000000000004"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2:18" ht="15.75" customHeight="1" x14ac:dyDescent="0.55000000000000004">
      <c r="B3" s="44"/>
      <c r="C3" s="239" t="s">
        <v>162</v>
      </c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40"/>
      <c r="O3" s="241"/>
    </row>
    <row r="4" spans="2:18" ht="15.75" customHeight="1" x14ac:dyDescent="0.55000000000000004">
      <c r="B4" s="44"/>
      <c r="C4" s="239" t="s">
        <v>135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40"/>
      <c r="O4" s="241"/>
      <c r="P4" s="31"/>
      <c r="Q4" s="31"/>
      <c r="R4" s="31"/>
    </row>
    <row r="5" spans="2:18" ht="15.75" customHeight="1" x14ac:dyDescent="0.5">
      <c r="B5" s="120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201"/>
    </row>
    <row r="6" spans="2:18" ht="15.75" customHeight="1" x14ac:dyDescent="0.5">
      <c r="B6" s="44"/>
      <c r="C6" s="1"/>
      <c r="D6" s="1"/>
      <c r="E6" s="1"/>
      <c r="F6" s="1"/>
      <c r="G6" s="202"/>
      <c r="H6" s="44"/>
      <c r="I6" s="1"/>
      <c r="J6" s="1"/>
      <c r="K6" s="1"/>
      <c r="L6" s="1"/>
      <c r="M6" s="202"/>
      <c r="N6" s="44"/>
      <c r="O6" s="202"/>
    </row>
    <row r="7" spans="2:18" ht="15.75" customHeight="1" x14ac:dyDescent="0.5">
      <c r="B7" s="44"/>
      <c r="C7" s="242" t="s">
        <v>163</v>
      </c>
      <c r="D7" s="242"/>
      <c r="E7" s="242"/>
      <c r="F7" s="242"/>
      <c r="G7" s="243"/>
      <c r="H7" s="1"/>
      <c r="I7" s="242" t="s">
        <v>164</v>
      </c>
      <c r="J7" s="242"/>
      <c r="K7" s="242"/>
      <c r="L7" s="242"/>
      <c r="M7" s="243"/>
      <c r="N7" s="204" t="s">
        <v>100</v>
      </c>
      <c r="O7" s="203" t="s">
        <v>165</v>
      </c>
    </row>
    <row r="8" spans="2:18" ht="15.75" customHeight="1" x14ac:dyDescent="0.5">
      <c r="B8" s="44"/>
      <c r="C8" s="1"/>
      <c r="D8" s="1"/>
      <c r="E8" s="1"/>
      <c r="F8" s="1"/>
      <c r="G8" s="202"/>
      <c r="H8" s="1"/>
      <c r="I8" s="1"/>
      <c r="J8" s="1"/>
      <c r="K8" s="1"/>
      <c r="L8" s="1"/>
      <c r="M8" s="202"/>
      <c r="N8" s="44"/>
      <c r="O8" s="202"/>
    </row>
    <row r="9" spans="2:18" ht="15.75" customHeight="1" x14ac:dyDescent="0.5">
      <c r="B9" s="44"/>
      <c r="C9" s="205" t="str">
        <f>ExBA!C6</f>
        <v>5/8" X 3/4" Meters</v>
      </c>
      <c r="D9" s="1"/>
      <c r="E9" s="1"/>
      <c r="F9" s="1"/>
      <c r="G9" s="202"/>
      <c r="H9" s="1"/>
      <c r="I9" s="205" t="str">
        <f>C9</f>
        <v>5/8" X 3/4" Meters</v>
      </c>
      <c r="J9" s="1"/>
      <c r="K9" s="1"/>
      <c r="L9" s="206"/>
      <c r="M9" s="202"/>
      <c r="N9" s="44"/>
      <c r="O9" s="202"/>
    </row>
    <row r="10" spans="2:18" ht="15.75" customHeight="1" outlineLevel="1" x14ac:dyDescent="0.5">
      <c r="B10" s="44"/>
      <c r="C10" s="21" t="s">
        <v>166</v>
      </c>
      <c r="D10" s="207">
        <f>ExBA!B19</f>
        <v>1000</v>
      </c>
      <c r="E10" s="1" t="s">
        <v>167</v>
      </c>
      <c r="F10" s="208">
        <f>ExBA!E27</f>
        <v>24.76</v>
      </c>
      <c r="G10" s="202" t="s">
        <v>168</v>
      </c>
      <c r="H10" s="1"/>
      <c r="I10" s="21" t="s">
        <v>166</v>
      </c>
      <c r="J10" s="207">
        <f>D10</f>
        <v>1000</v>
      </c>
      <c r="K10" s="1" t="s">
        <v>167</v>
      </c>
      <c r="L10" s="208">
        <f>PrBA!E27</f>
        <v>28.953930251490664</v>
      </c>
      <c r="M10" s="202" t="s">
        <v>168</v>
      </c>
      <c r="N10" s="209">
        <f>L10-F10</f>
        <v>4.1939302514906629</v>
      </c>
      <c r="O10" s="210">
        <f>N10/F10</f>
        <v>0.16938328964017216</v>
      </c>
      <c r="R10" s="211"/>
    </row>
    <row r="11" spans="2:18" ht="15.75" customHeight="1" outlineLevel="1" x14ac:dyDescent="0.5">
      <c r="B11" s="44"/>
      <c r="C11" s="21" t="s">
        <v>169</v>
      </c>
      <c r="D11" s="207">
        <f>ExBA!B20</f>
        <v>9000</v>
      </c>
      <c r="E11" s="1" t="s">
        <v>167</v>
      </c>
      <c r="F11" s="26">
        <f>ExBA!E28</f>
        <v>14.08</v>
      </c>
      <c r="G11" s="202" t="s">
        <v>170</v>
      </c>
      <c r="H11" s="1"/>
      <c r="I11" s="21" t="s">
        <v>169</v>
      </c>
      <c r="J11" s="207">
        <f t="shared" ref="J11:J13" si="0">D11</f>
        <v>9000</v>
      </c>
      <c r="K11" s="1" t="s">
        <v>167</v>
      </c>
      <c r="L11" s="26">
        <f>PrBA!E28</f>
        <v>16.464916718133622</v>
      </c>
      <c r="M11" s="202" t="s">
        <v>170</v>
      </c>
      <c r="N11" s="27">
        <f>L11-F11</f>
        <v>2.3849167181336224</v>
      </c>
      <c r="O11" s="218">
        <f>N11/F11</f>
        <v>0.16938328964017205</v>
      </c>
      <c r="R11" s="212"/>
    </row>
    <row r="12" spans="2:18" ht="15.75" customHeight="1" outlineLevel="1" x14ac:dyDescent="0.5">
      <c r="B12" s="44"/>
      <c r="C12" s="21" t="s">
        <v>169</v>
      </c>
      <c r="D12" s="207">
        <f>ExBA!B21</f>
        <v>10000</v>
      </c>
      <c r="E12" s="1" t="s">
        <v>167</v>
      </c>
      <c r="F12" s="26">
        <f>ExBA!E29</f>
        <v>12.06</v>
      </c>
      <c r="G12" s="202" t="s">
        <v>170</v>
      </c>
      <c r="H12" s="1"/>
      <c r="I12" s="21" t="s">
        <v>169</v>
      </c>
      <c r="J12" s="207">
        <f t="shared" si="0"/>
        <v>10000</v>
      </c>
      <c r="K12" s="1" t="s">
        <v>167</v>
      </c>
      <c r="L12" s="26">
        <f>PrBA!E29</f>
        <v>14.102762473060476</v>
      </c>
      <c r="M12" s="202" t="s">
        <v>170</v>
      </c>
      <c r="N12" s="27">
        <f>L12-F12</f>
        <v>2.0427624730604759</v>
      </c>
      <c r="O12" s="218">
        <f>N12/F12</f>
        <v>0.16938328964017213</v>
      </c>
      <c r="R12" s="212"/>
    </row>
    <row r="13" spans="2:18" ht="15.75" customHeight="1" outlineLevel="1" x14ac:dyDescent="0.5">
      <c r="B13" s="44"/>
      <c r="C13" s="21" t="s">
        <v>171</v>
      </c>
      <c r="D13" s="207">
        <f>ExBA!B22</f>
        <v>20000</v>
      </c>
      <c r="E13" s="1" t="s">
        <v>167</v>
      </c>
      <c r="F13" s="26">
        <f>ExBA!E30</f>
        <v>9.52</v>
      </c>
      <c r="G13" s="202" t="s">
        <v>170</v>
      </c>
      <c r="H13" s="1"/>
      <c r="I13" s="21" t="s">
        <v>171</v>
      </c>
      <c r="J13" s="207">
        <f t="shared" si="0"/>
        <v>20000</v>
      </c>
      <c r="K13" s="1" t="s">
        <v>167</v>
      </c>
      <c r="L13" s="26">
        <f>PrBA!E30</f>
        <v>11.132528917374438</v>
      </c>
      <c r="M13" s="202" t="s">
        <v>170</v>
      </c>
      <c r="N13" s="27">
        <f>L13-F13</f>
        <v>1.6125289173744388</v>
      </c>
      <c r="O13" s="218">
        <f>N13/F13</f>
        <v>0.16938328964017216</v>
      </c>
      <c r="R13" s="212"/>
    </row>
    <row r="14" spans="2:18" ht="15.75" customHeight="1" outlineLevel="1" x14ac:dyDescent="0.5">
      <c r="B14" s="44"/>
      <c r="C14" s="207"/>
      <c r="D14" s="1"/>
      <c r="E14" s="1"/>
      <c r="F14" s="1"/>
      <c r="G14" s="202"/>
      <c r="H14" s="1"/>
      <c r="I14" s="207"/>
      <c r="J14" s="1"/>
      <c r="K14" s="1"/>
      <c r="L14" s="1"/>
      <c r="M14" s="202"/>
      <c r="N14" s="44"/>
      <c r="O14" s="202"/>
    </row>
    <row r="15" spans="2:18" ht="15.75" customHeight="1" outlineLevel="1" x14ac:dyDescent="0.5">
      <c r="B15" s="44"/>
      <c r="C15" s="205" t="str">
        <f>ExBA!C7</f>
        <v>1" Meters</v>
      </c>
      <c r="D15" s="1"/>
      <c r="E15" s="1"/>
      <c r="F15" s="1"/>
      <c r="G15" s="202"/>
      <c r="H15" s="1"/>
      <c r="I15" s="205" t="str">
        <f>C15</f>
        <v>1" Meters</v>
      </c>
      <c r="J15" s="1"/>
      <c r="K15" s="1"/>
      <c r="L15" s="1"/>
      <c r="M15" s="202"/>
      <c r="N15" s="44"/>
      <c r="O15" s="202"/>
    </row>
    <row r="16" spans="2:18" ht="15.75" customHeight="1" outlineLevel="1" x14ac:dyDescent="0.5">
      <c r="B16" s="44"/>
      <c r="C16" s="21" t="s">
        <v>166</v>
      </c>
      <c r="D16" s="207">
        <f>ExBA!B36</f>
        <v>5000</v>
      </c>
      <c r="E16" s="1" t="s">
        <v>167</v>
      </c>
      <c r="F16" s="208">
        <f>ExBA!E44</f>
        <v>81.08</v>
      </c>
      <c r="G16" s="202" t="s">
        <v>168</v>
      </c>
      <c r="H16" s="1"/>
      <c r="I16" s="21" t="s">
        <v>166</v>
      </c>
      <c r="J16" s="207">
        <f>D16</f>
        <v>5000</v>
      </c>
      <c r="K16" s="1" t="s">
        <v>167</v>
      </c>
      <c r="L16" s="208">
        <f>PrBA!E44</f>
        <v>94.813597124025151</v>
      </c>
      <c r="M16" s="202" t="s">
        <v>168</v>
      </c>
      <c r="N16" s="209">
        <f>L16-F16</f>
        <v>13.733597124025152</v>
      </c>
      <c r="O16" s="210">
        <f>N16/F16</f>
        <v>0.16938328964017207</v>
      </c>
    </row>
    <row r="17" spans="2:15" ht="15.75" customHeight="1" outlineLevel="1" x14ac:dyDescent="0.5">
      <c r="B17" s="44"/>
      <c r="C17" s="21" t="s">
        <v>169</v>
      </c>
      <c r="D17" s="207">
        <f>ExBA!B37</f>
        <v>5000</v>
      </c>
      <c r="E17" s="1" t="s">
        <v>167</v>
      </c>
      <c r="F17" s="26">
        <f>ExBA!E45</f>
        <v>14.08</v>
      </c>
      <c r="G17" s="202" t="s">
        <v>170</v>
      </c>
      <c r="H17" s="1"/>
      <c r="I17" s="21" t="s">
        <v>169</v>
      </c>
      <c r="J17" s="207">
        <f t="shared" ref="J17:J19" si="1">D17</f>
        <v>5000</v>
      </c>
      <c r="K17" s="1" t="s">
        <v>167</v>
      </c>
      <c r="L17" s="26">
        <f>PrBA!E45</f>
        <v>16.464916718133622</v>
      </c>
      <c r="M17" s="202" t="s">
        <v>170</v>
      </c>
      <c r="N17" s="27">
        <f>L17-F17</f>
        <v>2.3849167181336224</v>
      </c>
      <c r="O17" s="218">
        <f>N17/F17</f>
        <v>0.16938328964017205</v>
      </c>
    </row>
    <row r="18" spans="2:15" ht="15.75" customHeight="1" outlineLevel="1" x14ac:dyDescent="0.5">
      <c r="B18" s="44"/>
      <c r="C18" s="21" t="s">
        <v>169</v>
      </c>
      <c r="D18" s="207">
        <f>ExBA!B29</f>
        <v>10000</v>
      </c>
      <c r="E18" s="1" t="s">
        <v>167</v>
      </c>
      <c r="F18" s="26">
        <f>ExBA!E46</f>
        <v>12.06</v>
      </c>
      <c r="G18" s="202" t="s">
        <v>170</v>
      </c>
      <c r="H18" s="1"/>
      <c r="I18" s="21" t="s">
        <v>169</v>
      </c>
      <c r="J18" s="207">
        <f t="shared" si="1"/>
        <v>10000</v>
      </c>
      <c r="K18" s="1" t="s">
        <v>167</v>
      </c>
      <c r="L18" s="26">
        <f>PrBA!E46</f>
        <v>14.102762473060476</v>
      </c>
      <c r="M18" s="202" t="s">
        <v>170</v>
      </c>
      <c r="N18" s="27">
        <f>L18-F18</f>
        <v>2.0427624730604759</v>
      </c>
      <c r="O18" s="218">
        <f>N18/F18</f>
        <v>0.16938328964017213</v>
      </c>
    </row>
    <row r="19" spans="2:15" ht="15.75" customHeight="1" outlineLevel="1" x14ac:dyDescent="0.5">
      <c r="B19" s="44"/>
      <c r="C19" s="21" t="s">
        <v>171</v>
      </c>
      <c r="D19" s="207">
        <f>ExBA!B39</f>
        <v>20000</v>
      </c>
      <c r="E19" s="1" t="s">
        <v>167</v>
      </c>
      <c r="F19" s="26">
        <f>ExBA!E47</f>
        <v>9.52</v>
      </c>
      <c r="G19" s="202" t="s">
        <v>170</v>
      </c>
      <c r="H19" s="1"/>
      <c r="I19" s="21" t="s">
        <v>171</v>
      </c>
      <c r="J19" s="207">
        <f t="shared" si="1"/>
        <v>20000</v>
      </c>
      <c r="K19" s="1" t="s">
        <v>167</v>
      </c>
      <c r="L19" s="26">
        <f>PrBA!E47</f>
        <v>11.132528917374438</v>
      </c>
      <c r="M19" s="202" t="s">
        <v>170</v>
      </c>
      <c r="N19" s="27">
        <f>L19-F19</f>
        <v>1.6125289173744388</v>
      </c>
      <c r="O19" s="218">
        <f>N19/F19</f>
        <v>0.16938328964017216</v>
      </c>
    </row>
    <row r="20" spans="2:15" ht="15.75" customHeight="1" outlineLevel="1" x14ac:dyDescent="0.5">
      <c r="B20" s="44"/>
      <c r="C20" s="205" t="str">
        <f>ExBA!C8</f>
        <v>2" Meters</v>
      </c>
      <c r="D20" s="1"/>
      <c r="E20" s="1"/>
      <c r="F20" s="1"/>
      <c r="G20" s="202"/>
      <c r="H20" s="1"/>
      <c r="I20" s="205" t="str">
        <f>C20</f>
        <v>2" Meters</v>
      </c>
      <c r="J20" s="1"/>
      <c r="K20" s="1"/>
      <c r="L20" s="1"/>
      <c r="M20" s="202"/>
      <c r="N20" s="44"/>
      <c r="O20" s="202"/>
    </row>
    <row r="21" spans="2:15" ht="15.75" customHeight="1" outlineLevel="1" x14ac:dyDescent="0.5">
      <c r="B21" s="44"/>
      <c r="C21" s="21" t="s">
        <v>166</v>
      </c>
      <c r="D21" s="207">
        <f>ExBA!B53</f>
        <v>15000</v>
      </c>
      <c r="E21" s="1" t="s">
        <v>167</v>
      </c>
      <c r="F21" s="208">
        <f>ExBA!E60</f>
        <v>211.78</v>
      </c>
      <c r="G21" s="202" t="s">
        <v>168</v>
      </c>
      <c r="H21" s="1"/>
      <c r="I21" s="21" t="s">
        <v>166</v>
      </c>
      <c r="J21" s="207">
        <f>D21</f>
        <v>15000</v>
      </c>
      <c r="K21" s="1" t="s">
        <v>167</v>
      </c>
      <c r="L21" s="208">
        <f>PrBA!E60</f>
        <v>247.65199307999566</v>
      </c>
      <c r="M21" s="202" t="s">
        <v>168</v>
      </c>
      <c r="N21" s="209">
        <f>L21-F21</f>
        <v>35.871993079995661</v>
      </c>
      <c r="O21" s="210">
        <f>N21/F21</f>
        <v>0.16938328964017216</v>
      </c>
    </row>
    <row r="22" spans="2:15" ht="15.75" customHeight="1" outlineLevel="1" x14ac:dyDescent="0.5">
      <c r="B22" s="44"/>
      <c r="C22" s="21" t="s">
        <v>169</v>
      </c>
      <c r="D22" s="207">
        <f>ExBA!B54</f>
        <v>5000</v>
      </c>
      <c r="E22" s="1" t="s">
        <v>167</v>
      </c>
      <c r="F22" s="26">
        <f>ExBA!E61</f>
        <v>12.06</v>
      </c>
      <c r="G22" s="202" t="s">
        <v>170</v>
      </c>
      <c r="H22" s="1"/>
      <c r="I22" s="21" t="s">
        <v>169</v>
      </c>
      <c r="J22" s="207">
        <f t="shared" ref="J22:J23" si="2">D22</f>
        <v>5000</v>
      </c>
      <c r="K22" s="1" t="s">
        <v>167</v>
      </c>
      <c r="L22" s="26">
        <f>PrBA!E61</f>
        <v>14.102762473060476</v>
      </c>
      <c r="M22" s="202" t="s">
        <v>170</v>
      </c>
      <c r="N22" s="27">
        <f>L22-F22</f>
        <v>2.0427624730604759</v>
      </c>
      <c r="O22" s="218">
        <f>N22/F22</f>
        <v>0.16938328964017213</v>
      </c>
    </row>
    <row r="23" spans="2:15" ht="15.75" customHeight="1" outlineLevel="1" x14ac:dyDescent="0.5">
      <c r="B23" s="44"/>
      <c r="C23" s="21" t="s">
        <v>171</v>
      </c>
      <c r="D23" s="207">
        <f>ExBA!B55</f>
        <v>20000</v>
      </c>
      <c r="E23" s="1" t="s">
        <v>167</v>
      </c>
      <c r="F23" s="26">
        <f>ExBA!E62</f>
        <v>9.52</v>
      </c>
      <c r="G23" s="202" t="s">
        <v>170</v>
      </c>
      <c r="H23" s="1"/>
      <c r="I23" s="21" t="s">
        <v>171</v>
      </c>
      <c r="J23" s="207">
        <f t="shared" si="2"/>
        <v>20000</v>
      </c>
      <c r="K23" s="1" t="s">
        <v>167</v>
      </c>
      <c r="L23" s="26">
        <f>PrBA!E62</f>
        <v>11.132528917374438</v>
      </c>
      <c r="M23" s="202" t="s">
        <v>170</v>
      </c>
      <c r="N23" s="27">
        <f>L23-F23</f>
        <v>1.6125289173744388</v>
      </c>
      <c r="O23" s="218">
        <f>N23/F23</f>
        <v>0.16938328964017216</v>
      </c>
    </row>
    <row r="24" spans="2:15" ht="15.75" customHeight="1" x14ac:dyDescent="0.5">
      <c r="B24" s="223"/>
      <c r="G24" s="224"/>
      <c r="M24" s="224"/>
      <c r="O24" s="224"/>
    </row>
    <row r="25" spans="2:15" ht="15.75" customHeight="1" outlineLevel="1" x14ac:dyDescent="0.5">
      <c r="B25" s="44"/>
      <c r="C25" s="205" t="s">
        <v>179</v>
      </c>
      <c r="D25" s="207"/>
      <c r="E25" s="1"/>
      <c r="F25" s="26"/>
      <c r="G25" s="202"/>
      <c r="H25" s="1"/>
      <c r="I25" s="205" t="s">
        <v>179</v>
      </c>
      <c r="J25" s="207"/>
      <c r="K25" s="1"/>
      <c r="L25" s="26"/>
      <c r="M25" s="202"/>
      <c r="N25" s="27"/>
      <c r="O25" s="218"/>
    </row>
    <row r="26" spans="2:15" ht="15.75" customHeight="1" outlineLevel="1" x14ac:dyDescent="0.5">
      <c r="B26" s="44"/>
      <c r="C26" s="21" t="s">
        <v>166</v>
      </c>
      <c r="D26" s="207">
        <v>50000</v>
      </c>
      <c r="E26" s="1" t="s">
        <v>167</v>
      </c>
      <c r="F26" s="26" t="s">
        <v>181</v>
      </c>
      <c r="G26" s="202" t="s">
        <v>168</v>
      </c>
      <c r="H26" s="1"/>
      <c r="I26" s="21" t="s">
        <v>166</v>
      </c>
      <c r="J26" s="207">
        <v>50000</v>
      </c>
      <c r="K26" s="1" t="s">
        <v>167</v>
      </c>
      <c r="L26" s="26">
        <v>652.04999999999995</v>
      </c>
      <c r="M26" s="202" t="s">
        <v>168</v>
      </c>
      <c r="N26" s="225" t="s">
        <v>181</v>
      </c>
      <c r="O26" s="226" t="s">
        <v>181</v>
      </c>
    </row>
    <row r="27" spans="2:15" ht="15.75" customHeight="1" outlineLevel="1" x14ac:dyDescent="0.5">
      <c r="B27" s="44"/>
      <c r="C27" s="21" t="s">
        <v>171</v>
      </c>
      <c r="D27" s="207">
        <v>50000</v>
      </c>
      <c r="E27" s="1" t="s">
        <v>167</v>
      </c>
      <c r="F27" s="26" t="s">
        <v>181</v>
      </c>
      <c r="G27" s="202" t="s">
        <v>170</v>
      </c>
      <c r="H27" s="1"/>
      <c r="I27" s="21" t="s">
        <v>171</v>
      </c>
      <c r="J27" s="207">
        <v>50000</v>
      </c>
      <c r="K27" s="1" t="s">
        <v>167</v>
      </c>
      <c r="L27" s="26">
        <v>11.13</v>
      </c>
      <c r="M27" s="202" t="s">
        <v>170</v>
      </c>
      <c r="N27" s="225" t="s">
        <v>181</v>
      </c>
      <c r="O27" s="226" t="s">
        <v>181</v>
      </c>
    </row>
    <row r="28" spans="2:15" ht="15.75" customHeight="1" outlineLevel="1" x14ac:dyDescent="0.5">
      <c r="B28" s="44"/>
      <c r="C28" s="205" t="s">
        <v>180</v>
      </c>
      <c r="D28" s="207"/>
      <c r="E28" s="1"/>
      <c r="F28" s="26"/>
      <c r="G28" s="202"/>
      <c r="H28" s="1"/>
      <c r="I28" s="205" t="s">
        <v>180</v>
      </c>
      <c r="J28" s="207"/>
      <c r="K28" s="1"/>
      <c r="L28" s="26"/>
      <c r="M28" s="202"/>
      <c r="N28" s="225"/>
      <c r="O28" s="227"/>
    </row>
    <row r="29" spans="2:15" ht="15.75" customHeight="1" outlineLevel="1" x14ac:dyDescent="0.5">
      <c r="B29" s="44"/>
      <c r="C29" s="21" t="s">
        <v>166</v>
      </c>
      <c r="D29" s="207">
        <v>75000</v>
      </c>
      <c r="E29" s="1" t="s">
        <v>167</v>
      </c>
      <c r="F29" s="26" t="s">
        <v>181</v>
      </c>
      <c r="G29" s="202" t="s">
        <v>168</v>
      </c>
      <c r="H29" s="1"/>
      <c r="I29" s="21" t="s">
        <v>166</v>
      </c>
      <c r="J29" s="207">
        <v>75000</v>
      </c>
      <c r="K29" s="1" t="s">
        <v>167</v>
      </c>
      <c r="L29" s="26">
        <v>930.3</v>
      </c>
      <c r="M29" s="202" t="s">
        <v>168</v>
      </c>
      <c r="N29" s="225" t="s">
        <v>181</v>
      </c>
      <c r="O29" s="226" t="s">
        <v>181</v>
      </c>
    </row>
    <row r="30" spans="2:15" ht="15.75" customHeight="1" outlineLevel="1" x14ac:dyDescent="0.5">
      <c r="B30" s="44"/>
      <c r="C30" s="21" t="s">
        <v>171</v>
      </c>
      <c r="D30" s="207">
        <v>75000</v>
      </c>
      <c r="E30" s="1" t="s">
        <v>167</v>
      </c>
      <c r="F30" s="26" t="s">
        <v>181</v>
      </c>
      <c r="G30" s="202" t="s">
        <v>170</v>
      </c>
      <c r="H30" s="1"/>
      <c r="I30" s="21" t="s">
        <v>171</v>
      </c>
      <c r="J30" s="207">
        <v>75000</v>
      </c>
      <c r="K30" s="1" t="s">
        <v>167</v>
      </c>
      <c r="L30" s="26">
        <v>11.13</v>
      </c>
      <c r="M30" s="202" t="s">
        <v>170</v>
      </c>
      <c r="N30" s="225" t="s">
        <v>181</v>
      </c>
      <c r="O30" s="226" t="s">
        <v>181</v>
      </c>
    </row>
    <row r="31" spans="2:15" ht="15.75" customHeight="1" outlineLevel="1" x14ac:dyDescent="0.5">
      <c r="B31" s="44"/>
      <c r="C31" s="21"/>
      <c r="D31" s="207"/>
      <c r="E31" s="1"/>
      <c r="F31" s="26"/>
      <c r="G31" s="202"/>
      <c r="H31" s="1"/>
      <c r="I31" s="21"/>
      <c r="J31" s="207"/>
      <c r="K31" s="1"/>
      <c r="L31" s="26"/>
      <c r="M31" s="202"/>
      <c r="N31" s="27"/>
      <c r="O31" s="218"/>
    </row>
    <row r="32" spans="2:15" ht="15.75" customHeight="1" outlineLevel="1" x14ac:dyDescent="0.5">
      <c r="B32" s="44"/>
      <c r="C32" s="205" t="s">
        <v>175</v>
      </c>
      <c r="D32" s="207"/>
      <c r="E32" s="1"/>
      <c r="F32" s="26"/>
      <c r="G32" s="202"/>
      <c r="H32" s="1"/>
      <c r="I32" s="205" t="s">
        <v>175</v>
      </c>
      <c r="J32" s="207"/>
      <c r="K32" s="1"/>
      <c r="L32" s="26"/>
      <c r="M32" s="202"/>
      <c r="N32" s="27"/>
      <c r="O32" s="218"/>
    </row>
    <row r="33" spans="2:21" ht="15.75" customHeight="1" outlineLevel="1" x14ac:dyDescent="0.5">
      <c r="B33" s="44"/>
      <c r="C33" s="21"/>
      <c r="D33" s="207"/>
      <c r="E33" s="1"/>
      <c r="F33" s="220">
        <v>9.52</v>
      </c>
      <c r="G33" s="202" t="s">
        <v>170</v>
      </c>
      <c r="H33" s="1"/>
      <c r="I33" s="21"/>
      <c r="J33" s="207"/>
      <c r="K33" s="1"/>
      <c r="L33" s="220">
        <f>F33*(1+PrBA!K5)</f>
        <v>11.132528917374438</v>
      </c>
      <c r="M33" s="202" t="s">
        <v>170</v>
      </c>
      <c r="N33" s="221">
        <f>L33-F33</f>
        <v>1.6125289173744388</v>
      </c>
      <c r="O33" s="218">
        <f>N33/F33</f>
        <v>0.16938328964017216</v>
      </c>
    </row>
    <row r="34" spans="2:21" ht="15.75" customHeight="1" outlineLevel="1" x14ac:dyDescent="0.5">
      <c r="B34" s="44"/>
      <c r="C34" s="205" t="s">
        <v>176</v>
      </c>
      <c r="D34" s="207"/>
      <c r="E34" s="1"/>
      <c r="F34" s="26"/>
      <c r="G34" s="202"/>
      <c r="H34" s="1"/>
      <c r="I34" s="205" t="s">
        <v>176</v>
      </c>
      <c r="J34" s="207"/>
      <c r="K34" s="1"/>
      <c r="L34" s="26"/>
      <c r="M34" s="202"/>
      <c r="N34" s="27"/>
      <c r="O34" s="218"/>
    </row>
    <row r="35" spans="2:21" ht="15.75" customHeight="1" outlineLevel="1" x14ac:dyDescent="0.5">
      <c r="B35" s="44"/>
      <c r="C35" s="21"/>
      <c r="D35" s="207"/>
      <c r="E35" s="1"/>
      <c r="F35" s="220">
        <v>3.34</v>
      </c>
      <c r="G35" s="202" t="s">
        <v>170</v>
      </c>
      <c r="H35" s="1"/>
      <c r="I35" s="21"/>
      <c r="J35" s="207"/>
      <c r="K35" s="1"/>
      <c r="L35" s="220">
        <f>F35*(1+PrBA!K5)</f>
        <v>3.905740187398175</v>
      </c>
      <c r="M35" s="202" t="s">
        <v>170</v>
      </c>
      <c r="N35" s="221">
        <f>L35-F35</f>
        <v>0.56574018739817511</v>
      </c>
      <c r="O35" s="218">
        <f>N35/F35</f>
        <v>0.16938328964017219</v>
      </c>
    </row>
    <row r="36" spans="2:21" ht="15.75" customHeight="1" outlineLevel="1" x14ac:dyDescent="0.5">
      <c r="B36" s="44"/>
      <c r="C36" s="21"/>
      <c r="D36" s="207"/>
      <c r="E36" s="1"/>
      <c r="F36" s="220"/>
      <c r="G36" s="202"/>
      <c r="H36" s="1"/>
      <c r="I36" s="21"/>
      <c r="J36" s="207"/>
      <c r="K36" s="1"/>
      <c r="L36" s="220"/>
      <c r="M36" s="202"/>
      <c r="N36" s="221"/>
      <c r="O36" s="218"/>
    </row>
    <row r="37" spans="2:21" ht="15.75" customHeight="1" outlineLevel="1" x14ac:dyDescent="0.5">
      <c r="B37" s="44"/>
      <c r="C37" s="205" t="s">
        <v>177</v>
      </c>
      <c r="D37" s="207"/>
      <c r="E37" s="1"/>
      <c r="F37" s="220"/>
      <c r="G37" s="202"/>
      <c r="H37" s="1"/>
      <c r="I37" s="205" t="s">
        <v>177</v>
      </c>
      <c r="J37" s="207"/>
      <c r="K37" s="1"/>
      <c r="L37" s="220"/>
      <c r="M37" s="202"/>
      <c r="N37" s="221"/>
      <c r="O37" s="218"/>
    </row>
    <row r="38" spans="2:21" ht="15.75" customHeight="1" outlineLevel="1" x14ac:dyDescent="0.5">
      <c r="B38" s="44"/>
      <c r="C38" s="222" t="s">
        <v>178</v>
      </c>
      <c r="D38" s="207"/>
      <c r="E38" s="1"/>
      <c r="F38" s="220">
        <v>750</v>
      </c>
      <c r="G38" s="202"/>
      <c r="H38" s="1"/>
      <c r="I38" s="222" t="s">
        <v>178</v>
      </c>
      <c r="J38" s="207"/>
      <c r="K38" s="1"/>
      <c r="L38" s="220">
        <v>1114</v>
      </c>
      <c r="M38" s="202"/>
      <c r="N38" s="221">
        <f>L38-F38</f>
        <v>364</v>
      </c>
      <c r="O38" s="218">
        <f>N38/F38</f>
        <v>0.48533333333333334</v>
      </c>
    </row>
    <row r="39" spans="2:21" ht="15.75" customHeight="1" outlineLevel="1" x14ac:dyDescent="0.5">
      <c r="B39" s="44"/>
      <c r="C39" s="222" t="s">
        <v>27</v>
      </c>
      <c r="D39" s="207"/>
      <c r="E39" s="1"/>
      <c r="F39" s="26">
        <v>850</v>
      </c>
      <c r="G39" s="202"/>
      <c r="H39" s="1"/>
      <c r="I39" s="222" t="s">
        <v>27</v>
      </c>
      <c r="J39" s="207"/>
      <c r="K39" s="1"/>
      <c r="L39" s="26">
        <v>1462</v>
      </c>
      <c r="M39" s="202"/>
      <c r="N39" s="27">
        <f>L39-F39</f>
        <v>612</v>
      </c>
      <c r="O39" s="218">
        <f>N39/F39</f>
        <v>0.72</v>
      </c>
    </row>
    <row r="40" spans="2:21" ht="15.75" customHeight="1" x14ac:dyDescent="0.5">
      <c r="B40" s="120"/>
      <c r="C40" s="213"/>
      <c r="D40" s="196"/>
      <c r="E40" s="196"/>
      <c r="F40" s="196"/>
      <c r="G40" s="201"/>
      <c r="H40" s="196"/>
      <c r="I40" s="196"/>
      <c r="J40" s="196"/>
      <c r="K40" s="196"/>
      <c r="L40" s="196"/>
      <c r="M40" s="201"/>
      <c r="N40" s="38"/>
      <c r="O40" s="219"/>
    </row>
    <row r="41" spans="2:21" ht="15.75" customHeight="1" x14ac:dyDescent="0.5">
      <c r="C41" s="214"/>
    </row>
    <row r="42" spans="2:21" ht="15.75" customHeight="1" x14ac:dyDescent="0.5">
      <c r="C42" s="214"/>
      <c r="Q42" s="1"/>
      <c r="R42" s="1"/>
      <c r="S42" s="206"/>
      <c r="T42" s="206"/>
      <c r="U42" s="206"/>
    </row>
    <row r="43" spans="2:21" ht="15.75" customHeight="1" x14ac:dyDescent="0.5">
      <c r="C43" s="214"/>
      <c r="Q43" s="215"/>
      <c r="R43" s="1"/>
      <c r="S43" s="132"/>
      <c r="T43" s="132"/>
      <c r="U43" s="216"/>
    </row>
    <row r="44" spans="2:21" ht="15.75" customHeight="1" x14ac:dyDescent="0.5">
      <c r="C44" s="214"/>
      <c r="Q44" s="215"/>
      <c r="R44" s="1"/>
      <c r="S44" s="217"/>
      <c r="T44" s="217"/>
      <c r="U44" s="216"/>
    </row>
    <row r="45" spans="2:21" ht="15.75" customHeight="1" x14ac:dyDescent="0.5">
      <c r="C45" s="214"/>
      <c r="Q45" s="215"/>
      <c r="R45" s="1"/>
      <c r="S45" s="217"/>
      <c r="T45" s="217"/>
      <c r="U45" s="216"/>
    </row>
    <row r="46" spans="2:21" ht="15.75" customHeight="1" x14ac:dyDescent="0.5">
      <c r="P46" s="214"/>
      <c r="Q46" s="215"/>
      <c r="R46" s="1"/>
      <c r="S46" s="217"/>
      <c r="T46" s="217"/>
      <c r="U46" s="216"/>
    </row>
  </sheetData>
  <mergeCells count="5">
    <mergeCell ref="C3:O3"/>
    <mergeCell ref="C4:O4"/>
    <mergeCell ref="C7:G7"/>
    <mergeCell ref="I7:M7"/>
    <mergeCell ref="B2:O2"/>
  </mergeCells>
  <printOptions horizontalCentered="1"/>
  <pageMargins left="0.55000000000000004" right="0.55000000000000004" top="1.6" bottom="0.5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15"/>
  <sheetViews>
    <sheetView showGridLines="0" workbookViewId="0">
      <selection activeCell="B1" sqref="B1:I13"/>
    </sheetView>
  </sheetViews>
  <sheetFormatPr defaultColWidth="8.88671875" defaultRowHeight="14.25" x14ac:dyDescent="0.45"/>
  <cols>
    <col min="1" max="1" width="9" style="7" customWidth="1"/>
    <col min="2" max="2" width="1.77734375" style="7" customWidth="1"/>
    <col min="3" max="8" width="9.77734375" style="7" customWidth="1"/>
    <col min="9" max="9" width="1.77734375" style="7" customWidth="1"/>
    <col min="10" max="16384" width="8.88671875" style="7"/>
  </cols>
  <sheetData>
    <row r="1" spans="2:11" x14ac:dyDescent="0.45">
      <c r="B1" s="8"/>
      <c r="C1" s="9"/>
      <c r="D1" s="9"/>
      <c r="E1" s="9"/>
      <c r="F1" s="9"/>
      <c r="G1" s="9"/>
      <c r="H1" s="9"/>
      <c r="I1" s="10"/>
    </row>
    <row r="2" spans="2:11" ht="18" x14ac:dyDescent="0.55000000000000004">
      <c r="B2" s="11"/>
      <c r="C2" s="247" t="s">
        <v>124</v>
      </c>
      <c r="D2" s="247"/>
      <c r="E2" s="247"/>
      <c r="F2" s="247"/>
      <c r="G2" s="247"/>
      <c r="H2" s="247"/>
      <c r="I2" s="248"/>
    </row>
    <row r="3" spans="2:11" ht="15.75" x14ac:dyDescent="0.45">
      <c r="B3" s="11"/>
      <c r="C3" s="249" t="s">
        <v>135</v>
      </c>
      <c r="D3" s="249"/>
      <c r="E3" s="249"/>
      <c r="F3" s="249"/>
      <c r="G3" s="249"/>
      <c r="H3" s="249"/>
      <c r="I3" s="250"/>
    </row>
    <row r="4" spans="2:11" x14ac:dyDescent="0.45">
      <c r="B4" s="13"/>
      <c r="C4" s="5"/>
      <c r="D4" s="5"/>
      <c r="E4" s="5"/>
      <c r="F4" s="5"/>
      <c r="G4" s="5"/>
      <c r="H4" s="5"/>
      <c r="I4" s="14"/>
    </row>
    <row r="5" spans="2:11" ht="6" customHeight="1" x14ac:dyDescent="0.45">
      <c r="B5" s="11"/>
      <c r="C5" s="6"/>
      <c r="D5" s="12"/>
      <c r="E5" s="32"/>
      <c r="F5" s="33"/>
      <c r="G5" s="33"/>
      <c r="H5" s="33"/>
      <c r="I5" s="34"/>
      <c r="J5" s="31"/>
      <c r="K5" s="31"/>
    </row>
    <row r="6" spans="2:11" ht="16.5" x14ac:dyDescent="0.75">
      <c r="B6" s="11"/>
      <c r="C6" s="15" t="s">
        <v>13</v>
      </c>
      <c r="D6" s="30" t="s">
        <v>59</v>
      </c>
      <c r="E6" s="35" t="s">
        <v>25</v>
      </c>
      <c r="F6" s="15" t="s">
        <v>11</v>
      </c>
      <c r="G6" s="15"/>
      <c r="H6" s="15"/>
      <c r="I6" s="30"/>
    </row>
    <row r="7" spans="2:11" ht="16.5" x14ac:dyDescent="0.75">
      <c r="B7" s="11"/>
      <c r="C7" s="15" t="s">
        <v>65</v>
      </c>
      <c r="D7" s="30" t="s">
        <v>62</v>
      </c>
      <c r="E7" s="35" t="s">
        <v>60</v>
      </c>
      <c r="F7" s="15" t="s">
        <v>60</v>
      </c>
      <c r="G7" s="15" t="s">
        <v>26</v>
      </c>
      <c r="H7" s="15" t="s">
        <v>61</v>
      </c>
      <c r="I7" s="30"/>
    </row>
    <row r="8" spans="2:11" x14ac:dyDescent="0.45">
      <c r="B8" s="11"/>
      <c r="C8" s="231">
        <v>4000</v>
      </c>
      <c r="D8" s="232" t="s">
        <v>63</v>
      </c>
      <c r="E8" s="233">
        <f>Rates!F10+Rates!F11+Rates!F11+Rates!F11</f>
        <v>67</v>
      </c>
      <c r="F8" s="233">
        <f>Rates!L10+Rates!L11+Rates!L11+Rates!L11</f>
        <v>78.348680405891528</v>
      </c>
      <c r="G8" s="129">
        <f t="shared" ref="G8:G9" si="0">F8-E8</f>
        <v>11.348680405891528</v>
      </c>
      <c r="H8" s="234">
        <f t="shared" ref="H8:H10" si="1">G8/E8</f>
        <v>0.16938328964017207</v>
      </c>
      <c r="I8" s="235"/>
    </row>
    <row r="9" spans="2:11" x14ac:dyDescent="0.45">
      <c r="B9" s="11"/>
      <c r="C9" s="6">
        <v>5000</v>
      </c>
      <c r="D9" s="36" t="s">
        <v>27</v>
      </c>
      <c r="E9" s="27">
        <f>Rates!F16</f>
        <v>81.08</v>
      </c>
      <c r="F9" s="27">
        <f>Rates!L16</f>
        <v>94.813597124025151</v>
      </c>
      <c r="G9" s="16">
        <f t="shared" si="0"/>
        <v>13.733597124025152</v>
      </c>
      <c r="H9" s="65">
        <f t="shared" si="1"/>
        <v>0.16938328964017207</v>
      </c>
      <c r="I9" s="39"/>
    </row>
    <row r="10" spans="2:11" x14ac:dyDescent="0.45">
      <c r="B10" s="11"/>
      <c r="C10" s="6">
        <v>25000</v>
      </c>
      <c r="D10" s="36" t="s">
        <v>28</v>
      </c>
      <c r="E10" s="27">
        <f>Rates!F21+Rates!F22+Rates!F22+Rates!F22+Rates!F22+Rates!F22+Rates!F23+Rates!F23+Rates!F23+Rates!F23+Rates!F23</f>
        <v>319.67999999999989</v>
      </c>
      <c r="F10" s="27">
        <f>Rates!L21+Rates!L22+Rates!L22+Rates!L22+Rates!L22+Rates!L22+Rates!L23+Rates!L23+Rates!L23+Rates!L23+Rates!L23</f>
        <v>373.82845003217017</v>
      </c>
      <c r="G10" s="16">
        <f t="shared" ref="G10" si="2">F10-E10</f>
        <v>54.148450032170274</v>
      </c>
      <c r="H10" s="65">
        <f t="shared" si="1"/>
        <v>0.16938328964017232</v>
      </c>
      <c r="I10" s="39"/>
    </row>
    <row r="11" spans="2:11" x14ac:dyDescent="0.45">
      <c r="B11" s="11"/>
      <c r="C11" s="6">
        <v>180000</v>
      </c>
      <c r="D11" s="20" t="s">
        <v>182</v>
      </c>
      <c r="E11" s="230" t="s">
        <v>181</v>
      </c>
      <c r="F11" s="16">
        <v>2321.5500000000002</v>
      </c>
      <c r="G11" s="228" t="s">
        <v>181</v>
      </c>
      <c r="H11" s="229" t="s">
        <v>181</v>
      </c>
      <c r="I11" s="39"/>
    </row>
    <row r="12" spans="2:11" x14ac:dyDescent="0.45">
      <c r="B12" s="11"/>
      <c r="C12" s="6">
        <v>180000</v>
      </c>
      <c r="D12" s="20" t="s">
        <v>183</v>
      </c>
      <c r="E12" s="230" t="s">
        <v>181</v>
      </c>
      <c r="F12" s="16">
        <v>2098.9499999999998</v>
      </c>
      <c r="G12" s="228" t="s">
        <v>181</v>
      </c>
      <c r="H12" s="229" t="s">
        <v>181</v>
      </c>
      <c r="I12" s="39"/>
    </row>
    <row r="13" spans="2:11" ht="6" customHeight="1" x14ac:dyDescent="0.45">
      <c r="B13" s="13"/>
      <c r="C13" s="5"/>
      <c r="D13" s="4"/>
      <c r="E13" s="38"/>
      <c r="F13" s="37"/>
      <c r="G13" s="37"/>
      <c r="H13" s="5"/>
      <c r="I13" s="14"/>
    </row>
    <row r="15" spans="2:11" x14ac:dyDescent="0.45">
      <c r="D15" s="43" t="s">
        <v>66</v>
      </c>
    </row>
  </sheetData>
  <mergeCells count="2">
    <mergeCell ref="C2:I2"/>
    <mergeCell ref="C3:I3"/>
  </mergeCells>
  <printOptions horizontalCentered="1"/>
  <pageMargins left="0.7" right="0.7" top="1.1000000000000001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EF004-73BD-4C2A-85DA-B682B48EA656}">
  <sheetPr>
    <pageSetUpPr fitToPage="1"/>
  </sheetPr>
  <dimension ref="A1:S100"/>
  <sheetViews>
    <sheetView showGridLines="0" topLeftCell="A21" workbookViewId="0">
      <selection sqref="A1:I64"/>
    </sheetView>
  </sheetViews>
  <sheetFormatPr defaultColWidth="8.88671875" defaultRowHeight="14.25" x14ac:dyDescent="0.45"/>
  <cols>
    <col min="1" max="1" width="8.44140625" style="1" customWidth="1"/>
    <col min="2" max="2" width="8.6640625" style="1" customWidth="1"/>
    <col min="3" max="3" width="8" style="1" customWidth="1"/>
    <col min="4" max="4" width="11.5546875" style="17" customWidth="1"/>
    <col min="5" max="5" width="9.77734375" style="1" customWidth="1"/>
    <col min="6" max="6" width="10.33203125" style="1" customWidth="1"/>
    <col min="7" max="7" width="10.5546875" style="1" customWidth="1"/>
    <col min="8" max="9" width="9.77734375" style="1" customWidth="1"/>
    <col min="10" max="11" width="9.88671875" style="1" bestFit="1" customWidth="1"/>
    <col min="12" max="12" width="10.5546875" style="17" bestFit="1" customWidth="1"/>
    <col min="13" max="13" width="9" style="1" bestFit="1" customWidth="1"/>
    <col min="14" max="14" width="9.21875" style="1" bestFit="1" customWidth="1"/>
    <col min="15" max="15" width="9.6640625" style="1" customWidth="1"/>
    <col min="16" max="16" width="11.44140625" style="1" customWidth="1"/>
    <col min="17" max="17" width="9" style="1" bestFit="1" customWidth="1"/>
    <col min="18" max="16384" width="8.88671875" style="1"/>
  </cols>
  <sheetData>
    <row r="1" spans="1:19" ht="18" x14ac:dyDescent="0.55000000000000004">
      <c r="A1" s="179" t="s">
        <v>146</v>
      </c>
      <c r="B1" s="24"/>
      <c r="C1" s="24"/>
      <c r="D1" s="81"/>
      <c r="E1" s="24"/>
      <c r="F1" s="24"/>
      <c r="G1" s="24"/>
      <c r="H1" s="24"/>
      <c r="I1" s="24"/>
    </row>
    <row r="2" spans="1:19" ht="18" x14ac:dyDescent="0.45">
      <c r="A2" s="251" t="s">
        <v>135</v>
      </c>
      <c r="B2" s="251"/>
      <c r="C2" s="251"/>
      <c r="D2" s="251"/>
      <c r="E2" s="251"/>
      <c r="F2" s="251"/>
      <c r="G2" s="251"/>
      <c r="H2" s="251"/>
      <c r="I2" s="251"/>
    </row>
    <row r="3" spans="1:19" x14ac:dyDescent="0.45">
      <c r="M3" s="17"/>
      <c r="Q3" s="17"/>
    </row>
    <row r="4" spans="1:19" ht="16.5" x14ac:dyDescent="0.75">
      <c r="C4" s="180" t="s">
        <v>147</v>
      </c>
      <c r="M4" s="123"/>
      <c r="Q4" s="160"/>
    </row>
    <row r="5" spans="1:19" x14ac:dyDescent="0.45">
      <c r="C5" s="181"/>
      <c r="D5" s="22"/>
      <c r="E5" s="182" t="s">
        <v>148</v>
      </c>
      <c r="F5" s="182" t="s">
        <v>149</v>
      </c>
      <c r="G5" s="182" t="s">
        <v>150</v>
      </c>
      <c r="H5" s="20"/>
      <c r="J5" s="183"/>
      <c r="K5" s="17"/>
      <c r="L5" s="183"/>
      <c r="M5" s="17"/>
      <c r="Q5" s="2"/>
    </row>
    <row r="6" spans="1:19" x14ac:dyDescent="0.45">
      <c r="C6" s="1" t="s">
        <v>157</v>
      </c>
      <c r="E6" s="17">
        <f>C23</f>
        <v>43729</v>
      </c>
      <c r="F6" s="184">
        <f>D23</f>
        <v>128922548</v>
      </c>
      <c r="G6" s="28">
        <f>F31</f>
        <v>2360912.7706999998</v>
      </c>
      <c r="H6" s="28"/>
      <c r="J6" s="183"/>
      <c r="K6" s="2"/>
    </row>
    <row r="7" spans="1:19" x14ac:dyDescent="0.45">
      <c r="C7" s="1" t="s">
        <v>158</v>
      </c>
      <c r="E7" s="17">
        <f>C48</f>
        <v>509</v>
      </c>
      <c r="F7" s="184">
        <f>D48</f>
        <v>4252439</v>
      </c>
      <c r="G7" s="17">
        <f>F48</f>
        <v>70851.198319999996</v>
      </c>
      <c r="H7" s="17"/>
      <c r="J7" s="183"/>
      <c r="K7" s="17"/>
    </row>
    <row r="8" spans="1:19" x14ac:dyDescent="0.45">
      <c r="C8" s="1" t="s">
        <v>159</v>
      </c>
      <c r="E8" s="22">
        <f>C63</f>
        <v>255</v>
      </c>
      <c r="F8" s="185">
        <f>D63</f>
        <v>10666793</v>
      </c>
      <c r="G8" s="22">
        <f>F63</f>
        <v>137870.30255999998</v>
      </c>
      <c r="H8" s="17"/>
      <c r="J8" s="183"/>
      <c r="K8" s="17"/>
    </row>
    <row r="9" spans="1:19" x14ac:dyDescent="0.45">
      <c r="C9" s="1" t="s">
        <v>151</v>
      </c>
      <c r="E9" s="2">
        <f>SUM(E6:E8)</f>
        <v>44493</v>
      </c>
      <c r="F9" s="23">
        <f>SUM(F6:F8)</f>
        <v>143841780</v>
      </c>
      <c r="G9" s="122">
        <f>SUM(G6:G8)</f>
        <v>2569634.2715799995</v>
      </c>
      <c r="H9" s="122"/>
      <c r="J9" s="183"/>
      <c r="K9" s="2"/>
      <c r="M9" s="186"/>
    </row>
    <row r="10" spans="1:19" x14ac:dyDescent="0.45">
      <c r="C10" s="1" t="s">
        <v>152</v>
      </c>
      <c r="E10" s="2"/>
      <c r="F10" s="23"/>
      <c r="G10" s="122">
        <v>0</v>
      </c>
      <c r="H10" s="122"/>
      <c r="J10" s="183"/>
      <c r="K10" s="2"/>
      <c r="M10" s="186"/>
    </row>
    <row r="11" spans="1:19" x14ac:dyDescent="0.45">
      <c r="C11" s="1" t="s">
        <v>153</v>
      </c>
      <c r="E11" s="2"/>
      <c r="F11" s="23"/>
      <c r="G11" s="175">
        <f>G9+G10</f>
        <v>2569634.2715799995</v>
      </c>
      <c r="H11" s="122"/>
      <c r="J11" s="183"/>
      <c r="K11" s="2"/>
      <c r="M11" s="186"/>
    </row>
    <row r="12" spans="1:19" x14ac:dyDescent="0.45">
      <c r="C12" s="1" t="s">
        <v>154</v>
      </c>
      <c r="E12" s="2"/>
      <c r="F12" s="23"/>
      <c r="G12" s="175">
        <f>-SAO!D6</f>
        <v>-2502135</v>
      </c>
      <c r="H12" s="122"/>
      <c r="J12" s="183"/>
      <c r="K12" s="186"/>
    </row>
    <row r="13" spans="1:19" x14ac:dyDescent="0.45">
      <c r="C13" s="1" t="s">
        <v>155</v>
      </c>
      <c r="D13" s="187"/>
      <c r="F13" s="18"/>
      <c r="G13" s="123">
        <f>G11+G12</f>
        <v>67499.271579999477</v>
      </c>
      <c r="H13" s="188">
        <f>G13/G12</f>
        <v>-2.6976670555345524E-2</v>
      </c>
      <c r="I13" s="123"/>
      <c r="J13" s="183"/>
      <c r="O13" s="2"/>
    </row>
    <row r="14" spans="1:19" x14ac:dyDescent="0.45">
      <c r="D14" s="187"/>
      <c r="F14" s="18"/>
      <c r="G14" s="176"/>
      <c r="I14" s="123"/>
      <c r="J14" s="183"/>
    </row>
    <row r="15" spans="1:19" x14ac:dyDescent="0.45">
      <c r="D15" s="187"/>
      <c r="F15" s="18"/>
      <c r="G15" s="187"/>
      <c r="I15" s="123"/>
    </row>
    <row r="16" spans="1:19" ht="15.75" x14ac:dyDescent="0.5">
      <c r="A16" s="189" t="str">
        <f>C6</f>
        <v>5/8" X 3/4" Meters</v>
      </c>
      <c r="N16"/>
      <c r="O16"/>
      <c r="P16"/>
      <c r="Q16"/>
      <c r="R16"/>
      <c r="S16"/>
    </row>
    <row r="17" spans="1:19" ht="15.4" x14ac:dyDescent="0.45">
      <c r="E17" s="20" t="s">
        <v>43</v>
      </c>
      <c r="F17" s="20" t="s">
        <v>79</v>
      </c>
      <c r="G17" s="20" t="s">
        <v>79</v>
      </c>
      <c r="H17" s="20" t="s">
        <v>44</v>
      </c>
      <c r="K17"/>
      <c r="L17"/>
      <c r="M17"/>
      <c r="N17"/>
      <c r="O17"/>
      <c r="P17"/>
    </row>
    <row r="18" spans="1:19" ht="15.4" x14ac:dyDescent="0.45">
      <c r="B18" s="182" t="s">
        <v>45</v>
      </c>
      <c r="C18" s="190" t="s">
        <v>46</v>
      </c>
      <c r="D18" s="119" t="s">
        <v>47</v>
      </c>
      <c r="E18" s="190">
        <f>B19</f>
        <v>1000</v>
      </c>
      <c r="F18" s="190">
        <f>B20</f>
        <v>9000</v>
      </c>
      <c r="G18" s="190">
        <f>B21</f>
        <v>10000</v>
      </c>
      <c r="H18" s="190">
        <f>B22</f>
        <v>20000</v>
      </c>
      <c r="I18" s="182" t="s">
        <v>48</v>
      </c>
      <c r="K18"/>
      <c r="L18"/>
      <c r="M18"/>
      <c r="N18"/>
      <c r="O18"/>
      <c r="P18"/>
    </row>
    <row r="19" spans="1:19" ht="15.4" x14ac:dyDescent="0.45">
      <c r="A19" s="21" t="s">
        <v>43</v>
      </c>
      <c r="B19" s="124">
        <v>1000</v>
      </c>
      <c r="C19" s="191">
        <v>13701</v>
      </c>
      <c r="D19" s="187">
        <v>4081635</v>
      </c>
      <c r="E19" s="187">
        <f>D19</f>
        <v>4081635</v>
      </c>
      <c r="F19" s="187">
        <v>0</v>
      </c>
      <c r="G19" s="187">
        <v>0</v>
      </c>
      <c r="H19" s="187">
        <v>0</v>
      </c>
      <c r="I19" s="187">
        <f>SUM(E19:H19)</f>
        <v>4081635</v>
      </c>
      <c r="K19"/>
      <c r="L19"/>
      <c r="M19"/>
      <c r="N19"/>
      <c r="O19"/>
      <c r="P19"/>
    </row>
    <row r="20" spans="1:19" ht="15.4" x14ac:dyDescent="0.45">
      <c r="A20" s="21" t="s">
        <v>79</v>
      </c>
      <c r="B20" s="124">
        <v>9000</v>
      </c>
      <c r="C20" s="191">
        <v>28521</v>
      </c>
      <c r="D20" s="187">
        <v>93040275</v>
      </c>
      <c r="E20" s="187">
        <f>C20*E$18</f>
        <v>28521000</v>
      </c>
      <c r="F20" s="187">
        <f>D20-E20</f>
        <v>64519275</v>
      </c>
      <c r="G20" s="187">
        <v>0</v>
      </c>
      <c r="H20" s="187">
        <v>0</v>
      </c>
      <c r="I20" s="187">
        <f>SUM(E20:H20)</f>
        <v>93040275</v>
      </c>
      <c r="K20"/>
      <c r="L20"/>
      <c r="M20"/>
      <c r="N20"/>
      <c r="O20"/>
      <c r="P20"/>
    </row>
    <row r="21" spans="1:19" ht="15.4" x14ac:dyDescent="0.45">
      <c r="A21" s="21" t="s">
        <v>79</v>
      </c>
      <c r="B21" s="124">
        <v>10000</v>
      </c>
      <c r="C21" s="191">
        <v>1121</v>
      </c>
      <c r="D21" s="187">
        <v>15030561</v>
      </c>
      <c r="E21" s="187">
        <f>C21*E$18</f>
        <v>1121000</v>
      </c>
      <c r="F21" s="187">
        <f>$C21*F$18</f>
        <v>10089000</v>
      </c>
      <c r="G21" s="187">
        <f>D21-(F21+E21)</f>
        <v>3820561</v>
      </c>
      <c r="H21" s="187">
        <v>0</v>
      </c>
      <c r="I21" s="187">
        <f>SUM(E21:H21)</f>
        <v>15030561</v>
      </c>
      <c r="K21"/>
      <c r="L21"/>
      <c r="M21"/>
      <c r="N21"/>
      <c r="O21"/>
      <c r="P21"/>
    </row>
    <row r="22" spans="1:19" ht="15.4" x14ac:dyDescent="0.45">
      <c r="A22" s="21" t="s">
        <v>44</v>
      </c>
      <c r="B22" s="192">
        <v>20000</v>
      </c>
      <c r="C22" s="193">
        <v>386</v>
      </c>
      <c r="D22" s="194">
        <v>16770077</v>
      </c>
      <c r="E22" s="194">
        <f>C22*E$18</f>
        <v>386000</v>
      </c>
      <c r="F22" s="194">
        <f>$C22*F$18</f>
        <v>3474000</v>
      </c>
      <c r="G22" s="194">
        <f>$C22*G$18</f>
        <v>3860000</v>
      </c>
      <c r="H22" s="194">
        <f>D22-E22-F22-G22</f>
        <v>9050077</v>
      </c>
      <c r="I22" s="194">
        <f>SUM(E22:H22)</f>
        <v>16770077</v>
      </c>
      <c r="K22"/>
      <c r="L22"/>
      <c r="M22"/>
      <c r="N22"/>
      <c r="O22"/>
      <c r="P22"/>
    </row>
    <row r="23" spans="1:19" ht="15.4" x14ac:dyDescent="0.45">
      <c r="A23" s="21"/>
      <c r="B23" s="124" t="s">
        <v>48</v>
      </c>
      <c r="C23" s="23">
        <f t="shared" ref="C23:I23" si="0">SUM(C19:C22)</f>
        <v>43729</v>
      </c>
      <c r="D23" s="23">
        <f t="shared" si="0"/>
        <v>128922548</v>
      </c>
      <c r="E23" s="23">
        <f t="shared" si="0"/>
        <v>34109635</v>
      </c>
      <c r="F23" s="23">
        <f t="shared" si="0"/>
        <v>78082275</v>
      </c>
      <c r="G23" s="23">
        <f t="shared" si="0"/>
        <v>7680561</v>
      </c>
      <c r="H23" s="23">
        <f t="shared" si="0"/>
        <v>9050077</v>
      </c>
      <c r="I23" s="23">
        <f t="shared" si="0"/>
        <v>128922548</v>
      </c>
      <c r="J23" s="17"/>
      <c r="K23"/>
      <c r="L23"/>
      <c r="M23"/>
      <c r="N23"/>
      <c r="O23"/>
      <c r="P23"/>
    </row>
    <row r="24" spans="1:19" ht="15.4" x14ac:dyDescent="0.45">
      <c r="A24" s="21"/>
      <c r="B24" s="124"/>
      <c r="E24" s="124"/>
      <c r="F24" s="124"/>
      <c r="G24" s="124"/>
      <c r="H24" s="124"/>
      <c r="I24" s="124"/>
      <c r="N24"/>
      <c r="O24"/>
      <c r="P24"/>
      <c r="Q24"/>
      <c r="R24"/>
      <c r="S24"/>
    </row>
    <row r="25" spans="1:19" ht="15.4" x14ac:dyDescent="0.45">
      <c r="A25" s="125" t="s">
        <v>156</v>
      </c>
      <c r="B25" s="125"/>
      <c r="E25" s="124"/>
      <c r="F25" s="124"/>
      <c r="G25" s="124"/>
      <c r="H25" s="124"/>
      <c r="I25" s="124"/>
      <c r="N25"/>
      <c r="O25"/>
      <c r="P25"/>
      <c r="Q25"/>
      <c r="R25"/>
      <c r="S25"/>
    </row>
    <row r="26" spans="1:19" ht="15.4" x14ac:dyDescent="0.45">
      <c r="A26" s="21"/>
      <c r="B26" s="182"/>
      <c r="C26" s="190" t="s">
        <v>46</v>
      </c>
      <c r="D26" s="119" t="s">
        <v>47</v>
      </c>
      <c r="E26" s="190" t="s">
        <v>49</v>
      </c>
      <c r="F26" s="190" t="s">
        <v>50</v>
      </c>
      <c r="G26" s="124"/>
      <c r="H26" s="124"/>
      <c r="I26" s="124"/>
      <c r="N26"/>
      <c r="O26"/>
      <c r="P26"/>
      <c r="Q26"/>
      <c r="R26"/>
      <c r="S26"/>
    </row>
    <row r="27" spans="1:19" ht="15.4" x14ac:dyDescent="0.45">
      <c r="A27" s="21" t="s">
        <v>43</v>
      </c>
      <c r="B27" s="124">
        <f>B19</f>
        <v>1000</v>
      </c>
      <c r="C27" s="17">
        <f>C23</f>
        <v>43729</v>
      </c>
      <c r="D27" s="187">
        <f>E23</f>
        <v>34109635</v>
      </c>
      <c r="E27" s="195">
        <v>24.76</v>
      </c>
      <c r="F27" s="28">
        <f>E27*C27</f>
        <v>1082730.04</v>
      </c>
      <c r="G27" s="124"/>
      <c r="N27"/>
      <c r="O27"/>
      <c r="P27"/>
      <c r="Q27"/>
      <c r="R27"/>
      <c r="S27"/>
    </row>
    <row r="28" spans="1:19" ht="15.4" x14ac:dyDescent="0.45">
      <c r="A28" s="21" t="s">
        <v>79</v>
      </c>
      <c r="B28" s="124">
        <f>B20</f>
        <v>9000</v>
      </c>
      <c r="D28" s="187">
        <f>F23</f>
        <v>78082275</v>
      </c>
      <c r="E28" s="195">
        <v>14.08</v>
      </c>
      <c r="F28" s="17">
        <f>E28*(D28/1000)</f>
        <v>1099398.432</v>
      </c>
      <c r="G28" s="124"/>
      <c r="N28"/>
      <c r="O28"/>
      <c r="P28"/>
      <c r="Q28"/>
      <c r="R28"/>
      <c r="S28"/>
    </row>
    <row r="29" spans="1:19" ht="15.4" x14ac:dyDescent="0.45">
      <c r="A29" s="21" t="s">
        <v>79</v>
      </c>
      <c r="B29" s="124">
        <f>B21</f>
        <v>10000</v>
      </c>
      <c r="D29" s="187">
        <f>G23</f>
        <v>7680561</v>
      </c>
      <c r="E29" s="195">
        <v>12.06</v>
      </c>
      <c r="F29" s="17">
        <f>E29*(D29/1000)</f>
        <v>92627.565659999993</v>
      </c>
      <c r="G29" s="124"/>
      <c r="N29"/>
      <c r="O29"/>
      <c r="P29"/>
      <c r="Q29"/>
      <c r="R29"/>
      <c r="S29"/>
    </row>
    <row r="30" spans="1:19" x14ac:dyDescent="0.45">
      <c r="A30" s="21" t="s">
        <v>44</v>
      </c>
      <c r="B30" s="192">
        <f>B22</f>
        <v>20000</v>
      </c>
      <c r="C30" s="196"/>
      <c r="D30" s="194">
        <f>H23</f>
        <v>9050077</v>
      </c>
      <c r="E30" s="197">
        <v>9.52</v>
      </c>
      <c r="F30" s="22">
        <f>E30*(D30/1000)</f>
        <v>86156.733039999992</v>
      </c>
      <c r="G30" s="124"/>
      <c r="Q30" s="17">
        <f>Q24/12</f>
        <v>0</v>
      </c>
    </row>
    <row r="31" spans="1:19" x14ac:dyDescent="0.45">
      <c r="A31" s="21"/>
      <c r="B31" s="124" t="s">
        <v>48</v>
      </c>
      <c r="C31" s="17">
        <f>SUM(C27:C30)</f>
        <v>43729</v>
      </c>
      <c r="D31" s="23">
        <f>SUM(D27:D30)</f>
        <v>128922548</v>
      </c>
      <c r="F31" s="28">
        <f>SUM(F27:F30)</f>
        <v>2360912.7706999998</v>
      </c>
      <c r="G31" s="28"/>
      <c r="H31" s="124"/>
      <c r="I31" s="198"/>
    </row>
    <row r="32" spans="1:19" x14ac:dyDescent="0.45">
      <c r="A32" s="21"/>
      <c r="B32" s="124"/>
      <c r="C32" s="17"/>
      <c r="D32" s="23"/>
      <c r="F32" s="28"/>
      <c r="G32" s="124"/>
      <c r="H32" s="124"/>
      <c r="I32" s="124"/>
    </row>
    <row r="33" spans="1:12" ht="15.75" x14ac:dyDescent="0.5">
      <c r="A33" s="189" t="str">
        <f>C7</f>
        <v>1" Meters</v>
      </c>
    </row>
    <row r="34" spans="1:12" x14ac:dyDescent="0.45">
      <c r="E34" s="20" t="s">
        <v>43</v>
      </c>
      <c r="F34" s="20" t="s">
        <v>79</v>
      </c>
      <c r="G34" s="20" t="s">
        <v>79</v>
      </c>
      <c r="H34" s="20" t="s">
        <v>44</v>
      </c>
      <c r="L34" s="1"/>
    </row>
    <row r="35" spans="1:12" x14ac:dyDescent="0.45">
      <c r="B35" s="182" t="s">
        <v>45</v>
      </c>
      <c r="C35" s="190" t="s">
        <v>46</v>
      </c>
      <c r="D35" s="119" t="s">
        <v>47</v>
      </c>
      <c r="E35" s="190">
        <f>B36</f>
        <v>5000</v>
      </c>
      <c r="F35" s="190">
        <f>B37</f>
        <v>5000</v>
      </c>
      <c r="G35" s="190">
        <f>B38</f>
        <v>10000</v>
      </c>
      <c r="H35" s="190">
        <f>B39</f>
        <v>20000</v>
      </c>
      <c r="I35" s="182" t="s">
        <v>48</v>
      </c>
      <c r="L35" s="1"/>
    </row>
    <row r="36" spans="1:12" x14ac:dyDescent="0.45">
      <c r="A36" s="21" t="s">
        <v>43</v>
      </c>
      <c r="B36" s="124">
        <v>5000</v>
      </c>
      <c r="C36" s="191">
        <v>305</v>
      </c>
      <c r="D36" s="187">
        <v>653485</v>
      </c>
      <c r="E36" s="187">
        <f>D36</f>
        <v>653485</v>
      </c>
      <c r="F36" s="187">
        <v>0</v>
      </c>
      <c r="G36" s="187">
        <v>0</v>
      </c>
      <c r="H36" s="187">
        <v>0</v>
      </c>
      <c r="I36" s="187">
        <f>SUM(E36:H36)</f>
        <v>653485</v>
      </c>
      <c r="L36" s="1"/>
    </row>
    <row r="37" spans="1:12" x14ac:dyDescent="0.45">
      <c r="A37" s="21" t="s">
        <v>79</v>
      </c>
      <c r="B37" s="124">
        <v>5000</v>
      </c>
      <c r="C37" s="191">
        <v>107</v>
      </c>
      <c r="D37" s="187">
        <v>768124</v>
      </c>
      <c r="E37" s="187">
        <f>C37*E$35</f>
        <v>535000</v>
      </c>
      <c r="F37" s="187">
        <f>D37-E37</f>
        <v>233124</v>
      </c>
      <c r="G37" s="187">
        <v>0</v>
      </c>
      <c r="H37" s="187">
        <v>0</v>
      </c>
      <c r="I37" s="187">
        <f>SUM(E37:H37)</f>
        <v>768124</v>
      </c>
      <c r="L37" s="1"/>
    </row>
    <row r="38" spans="1:12" x14ac:dyDescent="0.45">
      <c r="A38" s="21" t="s">
        <v>79</v>
      </c>
      <c r="B38" s="124">
        <v>10000</v>
      </c>
      <c r="C38" s="191">
        <v>44</v>
      </c>
      <c r="D38" s="187">
        <v>601020</v>
      </c>
      <c r="E38" s="187">
        <f>C38*E$35</f>
        <v>220000</v>
      </c>
      <c r="F38" s="187">
        <f>$C38*F35</f>
        <v>220000</v>
      </c>
      <c r="G38" s="187">
        <f>D38-(F38+E38)</f>
        <v>161020</v>
      </c>
      <c r="H38" s="187">
        <v>0</v>
      </c>
      <c r="I38" s="187">
        <f>SUM(E38:H38)</f>
        <v>601020</v>
      </c>
      <c r="L38" s="1"/>
    </row>
    <row r="39" spans="1:12" x14ac:dyDescent="0.45">
      <c r="A39" s="21" t="s">
        <v>44</v>
      </c>
      <c r="B39" s="192">
        <v>20000</v>
      </c>
      <c r="C39" s="193">
        <v>53</v>
      </c>
      <c r="D39" s="194">
        <v>2229810</v>
      </c>
      <c r="E39" s="194">
        <f>C39*E$35</f>
        <v>265000</v>
      </c>
      <c r="F39" s="194">
        <f>$C39*F$35</f>
        <v>265000</v>
      </c>
      <c r="G39" s="194">
        <f>$C39*G$35</f>
        <v>530000</v>
      </c>
      <c r="H39" s="194">
        <f>D39-E39-F39-G39</f>
        <v>1169810</v>
      </c>
      <c r="I39" s="194">
        <f>SUM(E39:H39)</f>
        <v>2229810</v>
      </c>
      <c r="K39" s="17"/>
      <c r="L39" s="1"/>
    </row>
    <row r="40" spans="1:12" x14ac:dyDescent="0.45">
      <c r="A40" s="21"/>
      <c r="B40" s="124" t="s">
        <v>48</v>
      </c>
      <c r="C40" s="23">
        <f t="shared" ref="C40:I40" si="1">SUM(C36:C39)</f>
        <v>509</v>
      </c>
      <c r="D40" s="23">
        <f t="shared" si="1"/>
        <v>4252439</v>
      </c>
      <c r="E40" s="23">
        <f t="shared" si="1"/>
        <v>1673485</v>
      </c>
      <c r="F40" s="23">
        <f t="shared" si="1"/>
        <v>718124</v>
      </c>
      <c r="G40" s="23">
        <f t="shared" si="1"/>
        <v>691020</v>
      </c>
      <c r="H40" s="23">
        <f t="shared" si="1"/>
        <v>1169810</v>
      </c>
      <c r="I40" s="23">
        <f t="shared" si="1"/>
        <v>4252439</v>
      </c>
      <c r="K40" s="17"/>
      <c r="L40" s="1"/>
    </row>
    <row r="41" spans="1:12" x14ac:dyDescent="0.45">
      <c r="A41" s="21"/>
      <c r="B41" s="124"/>
      <c r="E41" s="124"/>
      <c r="F41" s="124"/>
      <c r="G41" s="124"/>
      <c r="H41" s="124"/>
      <c r="I41" s="124"/>
    </row>
    <row r="42" spans="1:12" x14ac:dyDescent="0.45">
      <c r="A42" s="125" t="s">
        <v>156</v>
      </c>
      <c r="B42" s="125"/>
      <c r="E42" s="124"/>
      <c r="F42" s="124"/>
      <c r="G42" s="124"/>
      <c r="H42" s="124"/>
      <c r="I42" s="124"/>
    </row>
    <row r="43" spans="1:12" x14ac:dyDescent="0.45">
      <c r="A43" s="21"/>
      <c r="B43" s="182"/>
      <c r="C43" s="190" t="s">
        <v>46</v>
      </c>
      <c r="D43" s="119" t="s">
        <v>47</v>
      </c>
      <c r="E43" s="190" t="s">
        <v>49</v>
      </c>
      <c r="F43" s="190" t="s">
        <v>50</v>
      </c>
      <c r="G43" s="124"/>
      <c r="H43" s="124"/>
      <c r="I43" s="124"/>
    </row>
    <row r="44" spans="1:12" x14ac:dyDescent="0.45">
      <c r="A44" s="21" t="s">
        <v>43</v>
      </c>
      <c r="B44" s="124">
        <f>B36</f>
        <v>5000</v>
      </c>
      <c r="C44" s="17">
        <f>C40</f>
        <v>509</v>
      </c>
      <c r="D44" s="187">
        <f>E40</f>
        <v>1673485</v>
      </c>
      <c r="E44" s="195">
        <v>81.08</v>
      </c>
      <c r="F44" s="28">
        <f>E44*C44</f>
        <v>41269.72</v>
      </c>
      <c r="G44" s="124"/>
    </row>
    <row r="45" spans="1:12" x14ac:dyDescent="0.45">
      <c r="A45" s="21" t="s">
        <v>79</v>
      </c>
      <c r="B45" s="124">
        <f>B37</f>
        <v>5000</v>
      </c>
      <c r="D45" s="187">
        <f>F40</f>
        <v>718124</v>
      </c>
      <c r="E45" s="195">
        <v>14.08</v>
      </c>
      <c r="F45" s="17">
        <f>E45*(D45/1000)</f>
        <v>10111.18592</v>
      </c>
      <c r="G45" s="124"/>
    </row>
    <row r="46" spans="1:12" x14ac:dyDescent="0.45">
      <c r="A46" s="21" t="s">
        <v>79</v>
      </c>
      <c r="B46" s="124">
        <f>B38</f>
        <v>10000</v>
      </c>
      <c r="D46" s="187">
        <f>G40</f>
        <v>691020</v>
      </c>
      <c r="E46" s="195">
        <v>12.06</v>
      </c>
      <c r="F46" s="17">
        <f>E46*(D46/1000)</f>
        <v>8333.7011999999995</v>
      </c>
      <c r="G46" s="124"/>
    </row>
    <row r="47" spans="1:12" x14ac:dyDescent="0.45">
      <c r="A47" s="21" t="s">
        <v>44</v>
      </c>
      <c r="B47" s="192">
        <f>B39</f>
        <v>20000</v>
      </c>
      <c r="C47" s="196"/>
      <c r="D47" s="194">
        <f>H40</f>
        <v>1169810</v>
      </c>
      <c r="E47" s="197">
        <v>9.52</v>
      </c>
      <c r="F47" s="22">
        <f>E47*(D47/1000)</f>
        <v>11136.591199999999</v>
      </c>
      <c r="G47" s="124"/>
    </row>
    <row r="48" spans="1:12" x14ac:dyDescent="0.45">
      <c r="A48" s="21"/>
      <c r="B48" s="124" t="s">
        <v>48</v>
      </c>
      <c r="C48" s="17">
        <f>SUM(C44:C47)</f>
        <v>509</v>
      </c>
      <c r="D48" s="23">
        <f>SUM(D44:D47)</f>
        <v>4252439</v>
      </c>
      <c r="F48" s="28">
        <f>SUM(F44:F47)</f>
        <v>70851.198319999996</v>
      </c>
      <c r="G48" s="28"/>
      <c r="H48" s="124"/>
      <c r="I48" s="198"/>
    </row>
    <row r="49" spans="1:12" x14ac:dyDescent="0.45">
      <c r="A49" s="21"/>
      <c r="B49" s="124"/>
      <c r="C49" s="3"/>
      <c r="D49" s="23"/>
      <c r="F49" s="195"/>
      <c r="G49" s="124"/>
      <c r="H49" s="124"/>
      <c r="I49" s="124"/>
    </row>
    <row r="50" spans="1:12" ht="15.75" x14ac:dyDescent="0.5">
      <c r="A50" s="189" t="str">
        <f>C8</f>
        <v>2" Meters</v>
      </c>
    </row>
    <row r="51" spans="1:12" x14ac:dyDescent="0.45">
      <c r="E51" s="20" t="s">
        <v>43</v>
      </c>
      <c r="F51" s="20" t="s">
        <v>79</v>
      </c>
      <c r="G51" s="20" t="s">
        <v>44</v>
      </c>
      <c r="L51" s="1"/>
    </row>
    <row r="52" spans="1:12" x14ac:dyDescent="0.45">
      <c r="B52" s="182" t="s">
        <v>45</v>
      </c>
      <c r="C52" s="190" t="s">
        <v>46</v>
      </c>
      <c r="D52" s="119" t="s">
        <v>47</v>
      </c>
      <c r="E52" s="190">
        <f>B53</f>
        <v>15000</v>
      </c>
      <c r="F52" s="190">
        <f>B54</f>
        <v>5000</v>
      </c>
      <c r="G52" s="190">
        <f>B55</f>
        <v>20000</v>
      </c>
      <c r="H52" s="182" t="s">
        <v>48</v>
      </c>
      <c r="L52" s="1"/>
    </row>
    <row r="53" spans="1:12" x14ac:dyDescent="0.45">
      <c r="A53" s="21" t="s">
        <v>43</v>
      </c>
      <c r="B53" s="124">
        <v>15000</v>
      </c>
      <c r="C53" s="191">
        <v>161</v>
      </c>
      <c r="D53" s="187">
        <v>561090</v>
      </c>
      <c r="E53" s="187">
        <f>D53</f>
        <v>561090</v>
      </c>
      <c r="F53" s="187">
        <v>0</v>
      </c>
      <c r="G53" s="187">
        <v>0</v>
      </c>
      <c r="H53" s="187">
        <f>SUM(E53:G53)</f>
        <v>561090</v>
      </c>
      <c r="L53" s="1"/>
    </row>
    <row r="54" spans="1:12" x14ac:dyDescent="0.45">
      <c r="A54" s="21" t="s">
        <v>79</v>
      </c>
      <c r="B54" s="124">
        <v>5000</v>
      </c>
      <c r="C54" s="191">
        <v>17</v>
      </c>
      <c r="D54" s="187">
        <v>296500</v>
      </c>
      <c r="E54" s="187">
        <f>C54*E52</f>
        <v>255000</v>
      </c>
      <c r="F54" s="187">
        <f>D54-E54</f>
        <v>41500</v>
      </c>
      <c r="G54" s="187"/>
      <c r="H54" s="187"/>
      <c r="L54" s="1"/>
    </row>
    <row r="55" spans="1:12" x14ac:dyDescent="0.45">
      <c r="A55" s="21" t="s">
        <v>44</v>
      </c>
      <c r="B55" s="192">
        <v>20000</v>
      </c>
      <c r="C55" s="193">
        <v>77</v>
      </c>
      <c r="D55" s="194">
        <v>9809203</v>
      </c>
      <c r="E55" s="194">
        <f>C55*E52</f>
        <v>1155000</v>
      </c>
      <c r="F55" s="194">
        <f>C55*F52</f>
        <v>385000</v>
      </c>
      <c r="G55" s="194">
        <f>D55-E55-F55</f>
        <v>8269203</v>
      </c>
      <c r="H55" s="194">
        <f>SUM(E55:G55)</f>
        <v>9809203</v>
      </c>
      <c r="J55" s="17"/>
      <c r="L55" s="1"/>
    </row>
    <row r="56" spans="1:12" x14ac:dyDescent="0.45">
      <c r="A56" s="21"/>
      <c r="B56" s="124" t="s">
        <v>48</v>
      </c>
      <c r="C56" s="23">
        <f t="shared" ref="C56:H56" si="2">SUM(C53:C55)</f>
        <v>255</v>
      </c>
      <c r="D56" s="23">
        <f t="shared" si="2"/>
        <v>10666793</v>
      </c>
      <c r="E56" s="23">
        <f t="shared" si="2"/>
        <v>1971090</v>
      </c>
      <c r="F56" s="23">
        <f t="shared" si="2"/>
        <v>426500</v>
      </c>
      <c r="G56" s="23">
        <f t="shared" si="2"/>
        <v>8269203</v>
      </c>
      <c r="H56" s="23">
        <f t="shared" si="2"/>
        <v>10370293</v>
      </c>
      <c r="J56" s="17"/>
      <c r="L56" s="1"/>
    </row>
    <row r="57" spans="1:12" x14ac:dyDescent="0.45">
      <c r="A57" s="21"/>
      <c r="B57" s="124"/>
      <c r="E57" s="124"/>
      <c r="F57" s="124"/>
      <c r="G57" s="124"/>
      <c r="H57" s="124"/>
      <c r="I57" s="124"/>
    </row>
    <row r="58" spans="1:12" x14ac:dyDescent="0.45">
      <c r="A58" s="125" t="s">
        <v>156</v>
      </c>
      <c r="B58" s="125"/>
      <c r="E58" s="124"/>
      <c r="F58" s="124"/>
      <c r="G58" s="124"/>
      <c r="H58" s="124"/>
      <c r="I58" s="124"/>
    </row>
    <row r="59" spans="1:12" x14ac:dyDescent="0.45">
      <c r="A59" s="21"/>
      <c r="B59" s="182"/>
      <c r="C59" s="190" t="s">
        <v>46</v>
      </c>
      <c r="D59" s="119" t="s">
        <v>47</v>
      </c>
      <c r="E59" s="190" t="s">
        <v>49</v>
      </c>
      <c r="F59" s="190" t="s">
        <v>50</v>
      </c>
      <c r="G59" s="124"/>
      <c r="H59" s="124"/>
      <c r="I59" s="124"/>
    </row>
    <row r="60" spans="1:12" x14ac:dyDescent="0.45">
      <c r="A60" s="21" t="s">
        <v>43</v>
      </c>
      <c r="B60" s="124">
        <f>B53</f>
        <v>15000</v>
      </c>
      <c r="C60" s="17">
        <f>C56</f>
        <v>255</v>
      </c>
      <c r="D60" s="187">
        <f>E56</f>
        <v>1971090</v>
      </c>
      <c r="E60" s="195">
        <v>211.78</v>
      </c>
      <c r="F60" s="28">
        <f>E60*C60</f>
        <v>54003.9</v>
      </c>
      <c r="G60" s="124"/>
    </row>
    <row r="61" spans="1:12" x14ac:dyDescent="0.45">
      <c r="A61" s="21" t="s">
        <v>79</v>
      </c>
      <c r="B61" s="124">
        <f>B54</f>
        <v>5000</v>
      </c>
      <c r="C61" s="17"/>
      <c r="D61" s="187">
        <f>F56</f>
        <v>426500</v>
      </c>
      <c r="E61" s="195">
        <v>12.06</v>
      </c>
      <c r="F61" s="23">
        <f>E61*(D61/1000)</f>
        <v>5143.59</v>
      </c>
      <c r="G61" s="124"/>
    </row>
    <row r="62" spans="1:12" x14ac:dyDescent="0.45">
      <c r="A62" s="21" t="s">
        <v>44</v>
      </c>
      <c r="B62" s="192">
        <f>B55</f>
        <v>20000</v>
      </c>
      <c r="C62" s="196"/>
      <c r="D62" s="194">
        <f>G56</f>
        <v>8269203</v>
      </c>
      <c r="E62" s="197">
        <v>9.52</v>
      </c>
      <c r="F62" s="22">
        <f>E62*(D62/1000)</f>
        <v>78722.812559999991</v>
      </c>
      <c r="G62" s="124"/>
    </row>
    <row r="63" spans="1:12" x14ac:dyDescent="0.45">
      <c r="A63" s="21"/>
      <c r="B63" s="124" t="s">
        <v>48</v>
      </c>
      <c r="C63" s="17">
        <f>SUM(C60:C62)</f>
        <v>255</v>
      </c>
      <c r="D63" s="23">
        <f>SUM(D60:D62)</f>
        <v>10666793</v>
      </c>
      <c r="F63" s="28">
        <f>SUM(F60:F62)</f>
        <v>137870.30255999998</v>
      </c>
      <c r="G63" s="28"/>
      <c r="H63" s="124"/>
      <c r="I63" s="198"/>
    </row>
    <row r="64" spans="1:12" x14ac:dyDescent="0.45">
      <c r="A64" s="21"/>
      <c r="B64" s="124"/>
      <c r="D64" s="176"/>
      <c r="E64" s="199"/>
      <c r="F64" s="23"/>
      <c r="G64" s="124"/>
      <c r="L64" s="23"/>
    </row>
    <row r="65" spans="1:12" x14ac:dyDescent="0.45">
      <c r="A65" s="21"/>
      <c r="B65" s="124"/>
      <c r="C65" s="23"/>
      <c r="D65" s="23"/>
      <c r="F65" s="122"/>
      <c r="G65" s="124"/>
      <c r="H65" s="124"/>
      <c r="I65" s="124"/>
      <c r="L65" s="23"/>
    </row>
    <row r="66" spans="1:12" x14ac:dyDescent="0.45">
      <c r="A66" s="21"/>
      <c r="B66" s="124"/>
      <c r="C66" s="23"/>
      <c r="D66" s="23"/>
      <c r="F66" s="122"/>
      <c r="G66" s="124"/>
      <c r="H66" s="124"/>
      <c r="I66" s="124"/>
      <c r="L66" s="23"/>
    </row>
    <row r="67" spans="1:12" ht="15.75" x14ac:dyDescent="0.5">
      <c r="A67" s="189"/>
      <c r="D67" s="23"/>
      <c r="L67" s="23"/>
    </row>
    <row r="68" spans="1:12" x14ac:dyDescent="0.45">
      <c r="D68" s="23"/>
      <c r="E68" s="20"/>
      <c r="F68" s="20"/>
      <c r="G68" s="20"/>
      <c r="H68" s="20"/>
      <c r="L68" s="23"/>
    </row>
    <row r="69" spans="1:12" x14ac:dyDescent="0.45">
      <c r="B69" s="20"/>
      <c r="C69" s="121"/>
      <c r="D69" s="64"/>
      <c r="E69" s="121"/>
      <c r="F69" s="121"/>
      <c r="G69" s="121"/>
      <c r="H69" s="121"/>
      <c r="I69" s="20"/>
      <c r="L69" s="23"/>
    </row>
    <row r="70" spans="1:12" x14ac:dyDescent="0.45">
      <c r="A70" s="21"/>
      <c r="B70" s="124"/>
      <c r="C70" s="176"/>
      <c r="D70" s="176"/>
      <c r="E70" s="176"/>
      <c r="F70" s="176"/>
      <c r="G70" s="176"/>
      <c r="H70" s="176"/>
      <c r="I70" s="176"/>
      <c r="L70" s="23"/>
    </row>
    <row r="71" spans="1:12" x14ac:dyDescent="0.45">
      <c r="A71" s="21"/>
      <c r="B71" s="124"/>
      <c r="C71" s="176"/>
      <c r="D71" s="176"/>
      <c r="E71" s="176"/>
      <c r="F71" s="176"/>
      <c r="G71" s="176"/>
      <c r="H71" s="176"/>
      <c r="I71" s="176"/>
      <c r="L71" s="23"/>
    </row>
    <row r="72" spans="1:12" x14ac:dyDescent="0.45">
      <c r="A72" s="21"/>
      <c r="B72" s="124"/>
      <c r="C72" s="176"/>
      <c r="D72" s="176"/>
      <c r="E72" s="176"/>
      <c r="F72" s="176"/>
      <c r="G72" s="176"/>
      <c r="H72" s="176"/>
      <c r="I72" s="176"/>
      <c r="L72" s="23"/>
    </row>
    <row r="73" spans="1:12" x14ac:dyDescent="0.45">
      <c r="A73" s="21"/>
      <c r="B73" s="124"/>
      <c r="C73" s="176"/>
      <c r="D73" s="176"/>
      <c r="E73" s="176"/>
      <c r="F73" s="176"/>
      <c r="G73" s="176"/>
      <c r="H73" s="176"/>
      <c r="I73" s="176"/>
      <c r="L73" s="23"/>
    </row>
    <row r="74" spans="1:12" x14ac:dyDescent="0.45">
      <c r="A74" s="21"/>
      <c r="B74" s="124"/>
      <c r="C74" s="23"/>
      <c r="D74" s="23"/>
      <c r="E74" s="23"/>
      <c r="F74" s="23"/>
      <c r="G74" s="23"/>
      <c r="H74" s="23"/>
      <c r="I74" s="23"/>
      <c r="L74" s="23"/>
    </row>
    <row r="75" spans="1:12" x14ac:dyDescent="0.45">
      <c r="A75" s="21"/>
      <c r="B75" s="124"/>
      <c r="D75" s="23"/>
      <c r="E75" s="124"/>
      <c r="F75" s="124"/>
      <c r="G75" s="124"/>
      <c r="H75" s="124"/>
      <c r="I75" s="124"/>
      <c r="L75" s="23"/>
    </row>
    <row r="76" spans="1:12" x14ac:dyDescent="0.45">
      <c r="A76" s="125"/>
      <c r="B76" s="125"/>
      <c r="D76" s="23"/>
      <c r="E76" s="124"/>
      <c r="F76" s="124"/>
      <c r="G76" s="124"/>
      <c r="H76" s="124"/>
      <c r="I76" s="124"/>
      <c r="L76" s="23"/>
    </row>
    <row r="77" spans="1:12" x14ac:dyDescent="0.45">
      <c r="A77" s="21"/>
      <c r="B77" s="20"/>
      <c r="C77" s="121"/>
      <c r="D77" s="64"/>
      <c r="E77" s="121"/>
      <c r="F77" s="121"/>
      <c r="G77" s="124"/>
      <c r="H77" s="124"/>
      <c r="I77" s="124"/>
      <c r="L77" s="23"/>
    </row>
    <row r="78" spans="1:12" x14ac:dyDescent="0.45">
      <c r="A78" s="21"/>
      <c r="B78" s="124"/>
      <c r="C78" s="23"/>
      <c r="D78" s="176"/>
      <c r="E78" s="199"/>
      <c r="F78" s="122"/>
      <c r="G78" s="124"/>
      <c r="L78" s="23"/>
    </row>
    <row r="79" spans="1:12" x14ac:dyDescent="0.45">
      <c r="A79" s="21"/>
      <c r="B79" s="124"/>
      <c r="C79" s="23"/>
      <c r="D79" s="176"/>
      <c r="E79" s="199"/>
      <c r="F79" s="122"/>
      <c r="G79" s="124"/>
      <c r="L79" s="23"/>
    </row>
    <row r="80" spans="1:12" x14ac:dyDescent="0.45">
      <c r="A80" s="21"/>
      <c r="B80" s="124"/>
      <c r="C80" s="23"/>
      <c r="D80" s="176"/>
      <c r="E80" s="199"/>
      <c r="F80" s="122"/>
      <c r="G80" s="124"/>
      <c r="L80" s="23"/>
    </row>
    <row r="81" spans="1:12" x14ac:dyDescent="0.45">
      <c r="A81" s="21"/>
      <c r="B81" s="124"/>
      <c r="D81" s="176"/>
      <c r="E81" s="199"/>
      <c r="F81" s="23"/>
      <c r="G81" s="124"/>
      <c r="L81" s="23"/>
    </row>
    <row r="82" spans="1:12" x14ac:dyDescent="0.45">
      <c r="A82" s="21"/>
      <c r="B82" s="124"/>
      <c r="C82" s="23"/>
      <c r="D82" s="23"/>
      <c r="F82" s="122"/>
      <c r="G82" s="124"/>
      <c r="H82" s="124"/>
      <c r="I82" s="124"/>
      <c r="L82" s="23"/>
    </row>
    <row r="83" spans="1:12" x14ac:dyDescent="0.45">
      <c r="A83" s="21"/>
      <c r="B83" s="124"/>
      <c r="C83" s="3"/>
      <c r="D83" s="23"/>
      <c r="F83" s="199"/>
      <c r="G83" s="124"/>
      <c r="H83" s="124"/>
      <c r="I83" s="124"/>
      <c r="L83" s="23"/>
    </row>
    <row r="84" spans="1:12" ht="15.75" x14ac:dyDescent="0.5">
      <c r="A84" s="189"/>
      <c r="D84" s="23"/>
      <c r="L84" s="23"/>
    </row>
    <row r="85" spans="1:12" x14ac:dyDescent="0.45">
      <c r="D85" s="23"/>
      <c r="E85" s="20"/>
      <c r="F85" s="20"/>
      <c r="L85" s="23"/>
    </row>
    <row r="86" spans="1:12" x14ac:dyDescent="0.45">
      <c r="B86" s="20"/>
      <c r="C86" s="121"/>
      <c r="D86" s="64"/>
      <c r="E86" s="121"/>
      <c r="F86" s="121"/>
      <c r="G86" s="20"/>
      <c r="L86" s="23"/>
    </row>
    <row r="87" spans="1:12" x14ac:dyDescent="0.45">
      <c r="A87" s="21"/>
      <c r="B87" s="124"/>
      <c r="C87" s="176"/>
      <c r="D87" s="176"/>
      <c r="E87" s="176"/>
      <c r="F87" s="176"/>
      <c r="G87" s="176"/>
      <c r="L87" s="23"/>
    </row>
    <row r="88" spans="1:12" x14ac:dyDescent="0.45">
      <c r="A88" s="21"/>
      <c r="B88" s="124"/>
      <c r="C88" s="176"/>
      <c r="D88" s="176"/>
      <c r="E88" s="176"/>
      <c r="F88" s="176"/>
      <c r="G88" s="176"/>
      <c r="H88" s="23"/>
      <c r="I88" s="23"/>
      <c r="L88" s="23"/>
    </row>
    <row r="89" spans="1:12" x14ac:dyDescent="0.45">
      <c r="A89" s="21"/>
      <c r="B89" s="124"/>
      <c r="C89" s="23"/>
      <c r="D89" s="23"/>
      <c r="E89" s="23"/>
      <c r="F89" s="23"/>
      <c r="G89" s="23"/>
      <c r="L89" s="23"/>
    </row>
    <row r="90" spans="1:12" x14ac:dyDescent="0.45">
      <c r="A90" s="21"/>
      <c r="B90" s="124"/>
      <c r="D90" s="23"/>
      <c r="E90" s="124"/>
      <c r="F90" s="124"/>
      <c r="G90" s="124"/>
      <c r="H90" s="124"/>
      <c r="I90" s="124"/>
      <c r="L90" s="23"/>
    </row>
    <row r="91" spans="1:12" x14ac:dyDescent="0.45">
      <c r="A91" s="125"/>
      <c r="B91" s="125"/>
      <c r="D91" s="23"/>
      <c r="E91" s="124"/>
      <c r="F91" s="124"/>
      <c r="G91" s="124"/>
      <c r="H91" s="124"/>
      <c r="I91" s="124"/>
      <c r="L91" s="23"/>
    </row>
    <row r="92" spans="1:12" x14ac:dyDescent="0.45">
      <c r="A92" s="21"/>
      <c r="B92" s="20"/>
      <c r="C92" s="121"/>
      <c r="D92" s="64"/>
      <c r="E92" s="121"/>
      <c r="F92" s="121"/>
      <c r="G92" s="124"/>
      <c r="H92" s="124"/>
      <c r="I92" s="124"/>
      <c r="L92" s="23"/>
    </row>
    <row r="93" spans="1:12" x14ac:dyDescent="0.45">
      <c r="A93" s="21"/>
      <c r="B93" s="124"/>
      <c r="C93" s="23"/>
      <c r="D93" s="176"/>
      <c r="E93" s="199"/>
      <c r="F93" s="122"/>
      <c r="G93" s="124"/>
      <c r="H93" s="124"/>
      <c r="I93" s="124"/>
      <c r="L93" s="23"/>
    </row>
    <row r="94" spans="1:12" x14ac:dyDescent="0.45">
      <c r="A94" s="21"/>
      <c r="B94" s="124"/>
      <c r="C94" s="23"/>
      <c r="D94" s="176"/>
      <c r="E94" s="199"/>
      <c r="F94" s="23"/>
      <c r="G94" s="124"/>
      <c r="H94" s="124"/>
      <c r="I94" s="124"/>
      <c r="L94" s="23"/>
    </row>
    <row r="95" spans="1:12" x14ac:dyDescent="0.45">
      <c r="A95" s="21"/>
      <c r="B95" s="124"/>
      <c r="C95" s="23"/>
      <c r="D95" s="23"/>
      <c r="F95" s="122"/>
      <c r="G95" s="124"/>
      <c r="H95" s="124"/>
      <c r="I95" s="124"/>
      <c r="L95" s="23"/>
    </row>
    <row r="96" spans="1:12" x14ac:dyDescent="0.45">
      <c r="D96" s="23"/>
      <c r="L96" s="23"/>
    </row>
    <row r="97" spans="4:12" x14ac:dyDescent="0.45">
      <c r="D97" s="23"/>
      <c r="L97" s="23"/>
    </row>
    <row r="98" spans="4:12" x14ac:dyDescent="0.45">
      <c r="D98" s="23"/>
      <c r="L98" s="23"/>
    </row>
    <row r="99" spans="4:12" x14ac:dyDescent="0.45">
      <c r="D99" s="23"/>
      <c r="L99" s="23"/>
    </row>
    <row r="100" spans="4:12" x14ac:dyDescent="0.45">
      <c r="D100" s="23"/>
      <c r="L100" s="23"/>
    </row>
  </sheetData>
  <mergeCells count="1">
    <mergeCell ref="A2:I2"/>
  </mergeCells>
  <pageMargins left="0.7" right="0.7" top="0.75" bottom="0.75" header="0.3" footer="0.3"/>
  <pageSetup scale="96" fitToHeight="0" orientation="landscape" horizontalDpi="4294967293" r:id="rId1"/>
  <ignoredErrors>
    <ignoredError sqref="G1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60A63-85C1-4112-A56F-95AD21BF73A8}">
  <sheetPr>
    <pageSetUpPr fitToPage="1"/>
  </sheetPr>
  <dimension ref="A1:S100"/>
  <sheetViews>
    <sheetView showGridLines="0" topLeftCell="A27" workbookViewId="0">
      <selection sqref="A1:I64"/>
    </sheetView>
  </sheetViews>
  <sheetFormatPr defaultColWidth="8.88671875" defaultRowHeight="14.25" x14ac:dyDescent="0.45"/>
  <cols>
    <col min="1" max="1" width="8.44140625" style="1" customWidth="1"/>
    <col min="2" max="2" width="8.6640625" style="1" customWidth="1"/>
    <col min="3" max="3" width="8" style="1" customWidth="1"/>
    <col min="4" max="4" width="11.5546875" style="17" customWidth="1"/>
    <col min="5" max="5" width="9.77734375" style="1" customWidth="1"/>
    <col min="6" max="6" width="10.33203125" style="1" customWidth="1"/>
    <col min="7" max="7" width="10.5546875" style="1" customWidth="1"/>
    <col min="8" max="9" width="9.77734375" style="1" customWidth="1"/>
    <col min="10" max="10" width="13.44140625" style="1" bestFit="1" customWidth="1"/>
    <col min="11" max="11" width="9.88671875" style="1" bestFit="1" customWidth="1"/>
    <col min="12" max="12" width="10.5546875" style="17" bestFit="1" customWidth="1"/>
    <col min="13" max="13" width="9" style="1" bestFit="1" customWidth="1"/>
    <col min="14" max="14" width="9.21875" style="1" bestFit="1" customWidth="1"/>
    <col min="15" max="15" width="9.6640625" style="1" customWidth="1"/>
    <col min="16" max="16" width="11.44140625" style="1" customWidth="1"/>
    <col min="17" max="17" width="9" style="1" bestFit="1" customWidth="1"/>
    <col min="18" max="16384" width="8.88671875" style="1"/>
  </cols>
  <sheetData>
    <row r="1" spans="1:19" ht="18" x14ac:dyDescent="0.55000000000000004">
      <c r="A1" s="179" t="s">
        <v>146</v>
      </c>
      <c r="B1" s="24"/>
      <c r="C1" s="24"/>
      <c r="D1" s="81"/>
      <c r="E1" s="24"/>
      <c r="F1" s="24"/>
      <c r="G1" s="24"/>
      <c r="H1" s="24"/>
      <c r="I1" s="24"/>
    </row>
    <row r="2" spans="1:19" ht="18" x14ac:dyDescent="0.45">
      <c r="A2" s="251" t="s">
        <v>135</v>
      </c>
      <c r="B2" s="251"/>
      <c r="C2" s="251"/>
      <c r="D2" s="251"/>
      <c r="E2" s="251"/>
      <c r="F2" s="251"/>
      <c r="G2" s="251"/>
      <c r="H2" s="251"/>
      <c r="I2" s="251"/>
    </row>
    <row r="3" spans="1:19" x14ac:dyDescent="0.45">
      <c r="M3" s="17"/>
      <c r="Q3" s="17"/>
    </row>
    <row r="4" spans="1:19" ht="16.5" x14ac:dyDescent="0.75">
      <c r="C4" s="180" t="s">
        <v>147</v>
      </c>
      <c r="M4" s="123"/>
      <c r="Q4" s="160"/>
    </row>
    <row r="5" spans="1:19" x14ac:dyDescent="0.45">
      <c r="C5" s="181"/>
      <c r="D5" s="22"/>
      <c r="E5" s="182" t="s">
        <v>148</v>
      </c>
      <c r="F5" s="182" t="s">
        <v>149</v>
      </c>
      <c r="G5" s="182" t="s">
        <v>150</v>
      </c>
      <c r="H5" s="20"/>
      <c r="J5" s="183" t="s">
        <v>161</v>
      </c>
      <c r="K5" s="164">
        <f>SAO!G48</f>
        <v>0.16938328964017213</v>
      </c>
      <c r="L5" s="183"/>
      <c r="M5" s="17"/>
      <c r="Q5" s="2"/>
    </row>
    <row r="6" spans="1:19" x14ac:dyDescent="0.45">
      <c r="C6" s="1" t="s">
        <v>157</v>
      </c>
      <c r="E6" s="17">
        <f>C23</f>
        <v>43729</v>
      </c>
      <c r="F6" s="184">
        <f>D23</f>
        <v>128922548</v>
      </c>
      <c r="G6" s="28">
        <f>F31</f>
        <v>2760811.9423546595</v>
      </c>
      <c r="H6" s="28"/>
      <c r="J6" s="183"/>
      <c r="K6" s="2"/>
    </row>
    <row r="7" spans="1:19" x14ac:dyDescent="0.45">
      <c r="C7" s="1" t="s">
        <v>158</v>
      </c>
      <c r="E7" s="17">
        <f>C48</f>
        <v>509</v>
      </c>
      <c r="F7" s="184">
        <f>D48</f>
        <v>4252439</v>
      </c>
      <c r="G7" s="17">
        <f>F48</f>
        <v>82852.207366389834</v>
      </c>
      <c r="H7" s="17"/>
      <c r="J7" s="183"/>
      <c r="K7" s="17"/>
    </row>
    <row r="8" spans="1:19" x14ac:dyDescent="0.45">
      <c r="C8" s="1" t="s">
        <v>159</v>
      </c>
      <c r="E8" s="22">
        <f>C63</f>
        <v>255</v>
      </c>
      <c r="F8" s="185">
        <f>D63</f>
        <v>10666793</v>
      </c>
      <c r="G8" s="22">
        <f>F63</f>
        <v>161223.22795129864</v>
      </c>
      <c r="H8" s="17"/>
      <c r="J8" s="183"/>
      <c r="K8" s="17"/>
    </row>
    <row r="9" spans="1:19" x14ac:dyDescent="0.45">
      <c r="C9" s="1" t="s">
        <v>151</v>
      </c>
      <c r="E9" s="2">
        <f>SUM(E6:E8)</f>
        <v>44493</v>
      </c>
      <c r="F9" s="23">
        <f>SUM(F6:F8)</f>
        <v>143841780</v>
      </c>
      <c r="G9" s="122">
        <f>SUM(G6:G8)</f>
        <v>3004887.3776723477</v>
      </c>
      <c r="H9" s="122"/>
      <c r="J9" s="183"/>
      <c r="K9" s="2"/>
      <c r="M9" s="186"/>
    </row>
    <row r="10" spans="1:19" x14ac:dyDescent="0.45">
      <c r="C10" s="1" t="s">
        <v>152</v>
      </c>
      <c r="E10" s="2"/>
      <c r="F10" s="23"/>
      <c r="G10" s="122">
        <v>0</v>
      </c>
      <c r="H10" s="122"/>
      <c r="J10" s="183"/>
      <c r="K10" s="2"/>
      <c r="M10" s="186"/>
    </row>
    <row r="11" spans="1:19" x14ac:dyDescent="0.45">
      <c r="C11" s="1" t="s">
        <v>153</v>
      </c>
      <c r="E11" s="2"/>
      <c r="F11" s="23"/>
      <c r="G11" s="175">
        <f>G9+G10</f>
        <v>3004887.3776723477</v>
      </c>
      <c r="H11" s="122"/>
      <c r="J11" s="183"/>
      <c r="K11" s="2"/>
      <c r="M11" s="186"/>
    </row>
    <row r="12" spans="1:19" x14ac:dyDescent="0.45">
      <c r="C12" s="1" t="s">
        <v>160</v>
      </c>
      <c r="E12" s="2"/>
      <c r="F12" s="23"/>
      <c r="G12" s="175">
        <f>-SAO!G44</f>
        <v>-3603982.3164709313</v>
      </c>
      <c r="H12" s="122"/>
      <c r="J12" s="183"/>
      <c r="K12" s="186"/>
    </row>
    <row r="13" spans="1:19" x14ac:dyDescent="0.45">
      <c r="C13" s="1" t="s">
        <v>155</v>
      </c>
      <c r="D13" s="187"/>
      <c r="F13" s="18"/>
      <c r="G13" s="123">
        <f>G11+G12</f>
        <v>-599094.93879858358</v>
      </c>
      <c r="H13" s="188">
        <f>G13/G12</f>
        <v>0.16623137579243882</v>
      </c>
      <c r="I13" s="123"/>
      <c r="J13" s="183"/>
      <c r="O13" s="2"/>
    </row>
    <row r="14" spans="1:19" x14ac:dyDescent="0.45">
      <c r="D14" s="187"/>
      <c r="F14" s="18"/>
      <c r="G14" s="176"/>
      <c r="I14" s="123"/>
      <c r="J14" s="183"/>
    </row>
    <row r="15" spans="1:19" x14ac:dyDescent="0.45">
      <c r="F15" s="123"/>
      <c r="G15" s="123"/>
    </row>
    <row r="16" spans="1:19" ht="15.75" x14ac:dyDescent="0.5">
      <c r="A16" s="189" t="str">
        <f>C6</f>
        <v>5/8" X 3/4" Meters</v>
      </c>
      <c r="N16"/>
      <c r="O16"/>
      <c r="P16"/>
      <c r="Q16"/>
      <c r="R16"/>
      <c r="S16"/>
    </row>
    <row r="17" spans="1:19" ht="15.4" x14ac:dyDescent="0.45">
      <c r="E17" s="20" t="s">
        <v>43</v>
      </c>
      <c r="F17" s="20" t="s">
        <v>79</v>
      </c>
      <c r="G17" s="20" t="s">
        <v>79</v>
      </c>
      <c r="H17" s="20" t="s">
        <v>44</v>
      </c>
      <c r="K17"/>
      <c r="L17"/>
      <c r="M17"/>
      <c r="N17"/>
      <c r="O17"/>
      <c r="P17"/>
    </row>
    <row r="18" spans="1:19" ht="15.4" x14ac:dyDescent="0.45">
      <c r="B18" s="182" t="s">
        <v>45</v>
      </c>
      <c r="C18" s="190" t="s">
        <v>46</v>
      </c>
      <c r="D18" s="119" t="s">
        <v>47</v>
      </c>
      <c r="E18" s="190">
        <f>B19</f>
        <v>1000</v>
      </c>
      <c r="F18" s="190">
        <f>B20</f>
        <v>9000</v>
      </c>
      <c r="G18" s="190">
        <f>B21</f>
        <v>10000</v>
      </c>
      <c r="H18" s="190">
        <f>B22</f>
        <v>20000</v>
      </c>
      <c r="I18" s="182" t="s">
        <v>48</v>
      </c>
      <c r="K18"/>
      <c r="L18"/>
      <c r="M18"/>
      <c r="N18"/>
      <c r="O18"/>
      <c r="P18"/>
    </row>
    <row r="19" spans="1:19" ht="15.4" x14ac:dyDescent="0.45">
      <c r="A19" s="21" t="s">
        <v>43</v>
      </c>
      <c r="B19" s="124">
        <v>1000</v>
      </c>
      <c r="C19" s="191">
        <v>13701</v>
      </c>
      <c r="D19" s="187">
        <v>4081635</v>
      </c>
      <c r="E19" s="187">
        <f>D19</f>
        <v>4081635</v>
      </c>
      <c r="F19" s="187">
        <v>0</v>
      </c>
      <c r="G19" s="187">
        <v>0</v>
      </c>
      <c r="H19" s="187">
        <v>0</v>
      </c>
      <c r="I19" s="187">
        <f>SUM(E19:H19)</f>
        <v>4081635</v>
      </c>
      <c r="K19"/>
      <c r="L19"/>
      <c r="M19"/>
      <c r="N19"/>
      <c r="O19"/>
      <c r="P19"/>
    </row>
    <row r="20" spans="1:19" ht="15.4" x14ac:dyDescent="0.45">
      <c r="A20" s="21" t="s">
        <v>79</v>
      </c>
      <c r="B20" s="124">
        <v>9000</v>
      </c>
      <c r="C20" s="191">
        <v>28521</v>
      </c>
      <c r="D20" s="187">
        <v>93040275</v>
      </c>
      <c r="E20" s="187">
        <f>C20*E$18</f>
        <v>28521000</v>
      </c>
      <c r="F20" s="187">
        <f>D20-E20</f>
        <v>64519275</v>
      </c>
      <c r="G20" s="187">
        <v>0</v>
      </c>
      <c r="H20" s="187">
        <v>0</v>
      </c>
      <c r="I20" s="187">
        <f>SUM(E20:H20)</f>
        <v>93040275</v>
      </c>
      <c r="K20"/>
      <c r="L20"/>
      <c r="M20"/>
      <c r="N20"/>
      <c r="O20"/>
      <c r="P20"/>
    </row>
    <row r="21" spans="1:19" ht="15.4" x14ac:dyDescent="0.45">
      <c r="A21" s="21" t="s">
        <v>79</v>
      </c>
      <c r="B21" s="124">
        <v>10000</v>
      </c>
      <c r="C21" s="191">
        <v>1121</v>
      </c>
      <c r="D21" s="187">
        <v>15030561</v>
      </c>
      <c r="E21" s="187">
        <f>C21*E$18</f>
        <v>1121000</v>
      </c>
      <c r="F21" s="187">
        <f>$C21*F$18</f>
        <v>10089000</v>
      </c>
      <c r="G21" s="187">
        <f>D21-(F21+E21)</f>
        <v>3820561</v>
      </c>
      <c r="H21" s="187">
        <v>0</v>
      </c>
      <c r="I21" s="187">
        <f>SUM(E21:H21)</f>
        <v>15030561</v>
      </c>
      <c r="K21"/>
      <c r="L21"/>
      <c r="M21"/>
      <c r="N21"/>
      <c r="O21"/>
      <c r="P21"/>
    </row>
    <row r="22" spans="1:19" ht="15.4" x14ac:dyDescent="0.45">
      <c r="A22" s="21" t="s">
        <v>44</v>
      </c>
      <c r="B22" s="192">
        <v>20000</v>
      </c>
      <c r="C22" s="193">
        <v>386</v>
      </c>
      <c r="D22" s="194">
        <v>16770077</v>
      </c>
      <c r="E22" s="194">
        <f>C22*E$18</f>
        <v>386000</v>
      </c>
      <c r="F22" s="194">
        <f>$C22*F$18</f>
        <v>3474000</v>
      </c>
      <c r="G22" s="194">
        <f>$C22*G$18</f>
        <v>3860000</v>
      </c>
      <c r="H22" s="194">
        <f>D22-E22-F22-G22</f>
        <v>9050077</v>
      </c>
      <c r="I22" s="194">
        <f>SUM(E22:H22)</f>
        <v>16770077</v>
      </c>
      <c r="K22"/>
      <c r="L22"/>
      <c r="M22"/>
      <c r="N22"/>
      <c r="O22"/>
      <c r="P22"/>
    </row>
    <row r="23" spans="1:19" ht="15.4" x14ac:dyDescent="0.45">
      <c r="A23" s="21"/>
      <c r="B23" s="124" t="s">
        <v>48</v>
      </c>
      <c r="C23" s="23">
        <f t="shared" ref="C23:I23" si="0">SUM(C19:C22)</f>
        <v>43729</v>
      </c>
      <c r="D23" s="23">
        <f t="shared" si="0"/>
        <v>128922548</v>
      </c>
      <c r="E23" s="23">
        <f t="shared" si="0"/>
        <v>34109635</v>
      </c>
      <c r="F23" s="23">
        <f t="shared" si="0"/>
        <v>78082275</v>
      </c>
      <c r="G23" s="23">
        <f t="shared" si="0"/>
        <v>7680561</v>
      </c>
      <c r="H23" s="23">
        <f t="shared" si="0"/>
        <v>9050077</v>
      </c>
      <c r="I23" s="23">
        <f t="shared" si="0"/>
        <v>128922548</v>
      </c>
      <c r="J23" s="17"/>
      <c r="K23"/>
      <c r="L23"/>
      <c r="M23"/>
      <c r="N23"/>
      <c r="O23"/>
      <c r="P23"/>
    </row>
    <row r="24" spans="1:19" ht="15.4" x14ac:dyDescent="0.45">
      <c r="A24" s="21"/>
      <c r="B24" s="124"/>
      <c r="E24" s="124"/>
      <c r="F24" s="124"/>
      <c r="G24" s="124"/>
      <c r="H24" s="124"/>
      <c r="I24" s="124"/>
      <c r="N24"/>
      <c r="O24"/>
      <c r="P24"/>
      <c r="Q24"/>
      <c r="R24"/>
      <c r="S24"/>
    </row>
    <row r="25" spans="1:19" ht="15.4" x14ac:dyDescent="0.45">
      <c r="A25" s="125" t="s">
        <v>156</v>
      </c>
      <c r="B25" s="125"/>
      <c r="E25" s="124"/>
      <c r="F25" s="124"/>
      <c r="G25" s="124"/>
      <c r="H25" s="124"/>
      <c r="I25" s="124"/>
      <c r="N25"/>
      <c r="O25"/>
      <c r="P25"/>
      <c r="Q25"/>
      <c r="R25"/>
      <c r="S25"/>
    </row>
    <row r="26" spans="1:19" ht="15.4" x14ac:dyDescent="0.45">
      <c r="A26" s="21"/>
      <c r="B26" s="182"/>
      <c r="C26" s="190" t="s">
        <v>46</v>
      </c>
      <c r="D26" s="119" t="s">
        <v>47</v>
      </c>
      <c r="E26" s="190" t="s">
        <v>49</v>
      </c>
      <c r="F26" s="190" t="s">
        <v>50</v>
      </c>
      <c r="G26" s="124"/>
      <c r="H26" s="124"/>
      <c r="I26" s="124"/>
      <c r="N26"/>
      <c r="O26"/>
      <c r="P26"/>
      <c r="Q26"/>
      <c r="R26"/>
      <c r="S26"/>
    </row>
    <row r="27" spans="1:19" ht="15.4" x14ac:dyDescent="0.45">
      <c r="A27" s="21" t="s">
        <v>43</v>
      </c>
      <c r="B27" s="124">
        <f>B19</f>
        <v>1000</v>
      </c>
      <c r="C27" s="17">
        <f>C23</f>
        <v>43729</v>
      </c>
      <c r="D27" s="187">
        <f>E23</f>
        <v>34109635</v>
      </c>
      <c r="E27" s="195">
        <f>24.76*(1+K5)</f>
        <v>28.953930251490664</v>
      </c>
      <c r="F27" s="28">
        <f>E27*C27</f>
        <v>1266126.4159674353</v>
      </c>
      <c r="G27" s="124"/>
      <c r="N27"/>
      <c r="O27"/>
      <c r="P27"/>
      <c r="Q27"/>
      <c r="R27"/>
      <c r="S27"/>
    </row>
    <row r="28" spans="1:19" ht="15.4" x14ac:dyDescent="0.45">
      <c r="A28" s="21" t="s">
        <v>79</v>
      </c>
      <c r="B28" s="124">
        <f>B20</f>
        <v>9000</v>
      </c>
      <c r="D28" s="187">
        <f>F23</f>
        <v>78082275</v>
      </c>
      <c r="E28" s="195">
        <f>14.08*(1+K5)</f>
        <v>16.464916718133622</v>
      </c>
      <c r="F28" s="17">
        <f>E28*(D28/1000)</f>
        <v>1285618.1550374068</v>
      </c>
      <c r="G28" s="124"/>
      <c r="N28"/>
      <c r="O28"/>
      <c r="P28"/>
      <c r="Q28"/>
      <c r="R28"/>
      <c r="S28"/>
    </row>
    <row r="29" spans="1:19" ht="15.4" x14ac:dyDescent="0.45">
      <c r="A29" s="21" t="s">
        <v>79</v>
      </c>
      <c r="B29" s="124">
        <f>B21</f>
        <v>10000</v>
      </c>
      <c r="D29" s="187">
        <f>G23</f>
        <v>7680561</v>
      </c>
      <c r="E29" s="195">
        <f>ExBA!E29*(1+PrBA!K5)</f>
        <v>14.102762473060476</v>
      </c>
      <c r="F29" s="17">
        <f>E29*(D29/1000)</f>
        <v>108317.12744285184</v>
      </c>
      <c r="G29" s="124"/>
      <c r="N29"/>
      <c r="O29"/>
      <c r="P29"/>
      <c r="Q29"/>
      <c r="R29"/>
      <c r="S29"/>
    </row>
    <row r="30" spans="1:19" x14ac:dyDescent="0.45">
      <c r="A30" s="21" t="s">
        <v>44</v>
      </c>
      <c r="B30" s="192">
        <f>B22</f>
        <v>20000</v>
      </c>
      <c r="C30" s="196"/>
      <c r="D30" s="194">
        <f>H23</f>
        <v>9050077</v>
      </c>
      <c r="E30" s="197">
        <f>ExBA!E30*(1+PrBA!K5)</f>
        <v>11.132528917374438</v>
      </c>
      <c r="F30" s="22">
        <f>E30*(D30/1000)</f>
        <v>100750.2439069653</v>
      </c>
      <c r="G30" s="124"/>
      <c r="Q30" s="17">
        <f>Q24/12</f>
        <v>0</v>
      </c>
    </row>
    <row r="31" spans="1:19" x14ac:dyDescent="0.45">
      <c r="A31" s="21"/>
      <c r="B31" s="124" t="s">
        <v>48</v>
      </c>
      <c r="C31" s="17">
        <f>SUM(C27:C30)</f>
        <v>43729</v>
      </c>
      <c r="D31" s="23">
        <f>SUM(D27:D30)</f>
        <v>128922548</v>
      </c>
      <c r="F31" s="28">
        <f>SUM(F27:F30)</f>
        <v>2760811.9423546595</v>
      </c>
      <c r="G31" s="28"/>
      <c r="H31" s="124"/>
      <c r="I31" s="198"/>
    </row>
    <row r="32" spans="1:19" x14ac:dyDescent="0.45">
      <c r="A32" s="21"/>
      <c r="B32" s="124"/>
      <c r="C32" s="17"/>
      <c r="D32" s="23"/>
      <c r="F32" s="28"/>
      <c r="G32" s="124"/>
      <c r="H32" s="124"/>
      <c r="I32" s="124"/>
    </row>
    <row r="33" spans="1:12" ht="15.75" x14ac:dyDescent="0.5">
      <c r="A33" s="189" t="str">
        <f>C7</f>
        <v>1" Meters</v>
      </c>
    </row>
    <row r="34" spans="1:12" x14ac:dyDescent="0.45">
      <c r="E34" s="20" t="s">
        <v>43</v>
      </c>
      <c r="F34" s="20" t="s">
        <v>79</v>
      </c>
      <c r="G34" s="20" t="s">
        <v>79</v>
      </c>
      <c r="H34" s="20" t="s">
        <v>44</v>
      </c>
      <c r="L34" s="1"/>
    </row>
    <row r="35" spans="1:12" x14ac:dyDescent="0.45">
      <c r="B35" s="182" t="s">
        <v>45</v>
      </c>
      <c r="C35" s="190" t="s">
        <v>46</v>
      </c>
      <c r="D35" s="119" t="s">
        <v>47</v>
      </c>
      <c r="E35" s="190">
        <f>B36</f>
        <v>5000</v>
      </c>
      <c r="F35" s="190">
        <f>B37</f>
        <v>5000</v>
      </c>
      <c r="G35" s="190">
        <f>B38</f>
        <v>10000</v>
      </c>
      <c r="H35" s="190">
        <f>B39</f>
        <v>20000</v>
      </c>
      <c r="I35" s="182" t="s">
        <v>48</v>
      </c>
      <c r="L35" s="1"/>
    </row>
    <row r="36" spans="1:12" x14ac:dyDescent="0.45">
      <c r="A36" s="21" t="s">
        <v>43</v>
      </c>
      <c r="B36" s="124">
        <v>5000</v>
      </c>
      <c r="C36" s="191">
        <v>305</v>
      </c>
      <c r="D36" s="187">
        <v>653485</v>
      </c>
      <c r="E36" s="187">
        <f>D36</f>
        <v>653485</v>
      </c>
      <c r="F36" s="187">
        <v>0</v>
      </c>
      <c r="G36" s="187">
        <v>0</v>
      </c>
      <c r="H36" s="187">
        <v>0</v>
      </c>
      <c r="I36" s="187">
        <f>SUM(E36:H36)</f>
        <v>653485</v>
      </c>
      <c r="L36" s="1"/>
    </row>
    <row r="37" spans="1:12" x14ac:dyDescent="0.45">
      <c r="A37" s="21" t="s">
        <v>79</v>
      </c>
      <c r="B37" s="124">
        <v>5000</v>
      </c>
      <c r="C37" s="191">
        <v>107</v>
      </c>
      <c r="D37" s="187">
        <v>768124</v>
      </c>
      <c r="E37" s="187">
        <f>C37*E$35</f>
        <v>535000</v>
      </c>
      <c r="F37" s="187">
        <f>D37-E37</f>
        <v>233124</v>
      </c>
      <c r="G37" s="187">
        <v>0</v>
      </c>
      <c r="H37" s="187">
        <v>0</v>
      </c>
      <c r="I37" s="187">
        <f>SUM(E37:H37)</f>
        <v>768124</v>
      </c>
      <c r="L37" s="1"/>
    </row>
    <row r="38" spans="1:12" x14ac:dyDescent="0.45">
      <c r="A38" s="21" t="s">
        <v>79</v>
      </c>
      <c r="B38" s="124">
        <v>10000</v>
      </c>
      <c r="C38" s="191">
        <v>44</v>
      </c>
      <c r="D38" s="187">
        <v>601020</v>
      </c>
      <c r="E38" s="187">
        <f>C38*E$35</f>
        <v>220000</v>
      </c>
      <c r="F38" s="187">
        <f>$C38*F35</f>
        <v>220000</v>
      </c>
      <c r="G38" s="187">
        <f>D38-(F38+E38)</f>
        <v>161020</v>
      </c>
      <c r="H38" s="187">
        <v>0</v>
      </c>
      <c r="I38" s="187">
        <f>SUM(E38:H38)</f>
        <v>601020</v>
      </c>
      <c r="L38" s="1"/>
    </row>
    <row r="39" spans="1:12" x14ac:dyDescent="0.45">
      <c r="A39" s="21" t="s">
        <v>44</v>
      </c>
      <c r="B39" s="192">
        <v>20000</v>
      </c>
      <c r="C39" s="193">
        <v>53</v>
      </c>
      <c r="D39" s="194">
        <v>2229810</v>
      </c>
      <c r="E39" s="194">
        <f>C39*E$35</f>
        <v>265000</v>
      </c>
      <c r="F39" s="194">
        <f>$C39*F$35</f>
        <v>265000</v>
      </c>
      <c r="G39" s="194">
        <f>$C39*G$35</f>
        <v>530000</v>
      </c>
      <c r="H39" s="194">
        <f>D39-E39-F39-G39</f>
        <v>1169810</v>
      </c>
      <c r="I39" s="194">
        <f>SUM(E39:H39)</f>
        <v>2229810</v>
      </c>
      <c r="K39" s="17"/>
      <c r="L39" s="1"/>
    </row>
    <row r="40" spans="1:12" x14ac:dyDescent="0.45">
      <c r="A40" s="21"/>
      <c r="B40" s="124" t="s">
        <v>48</v>
      </c>
      <c r="C40" s="23">
        <f t="shared" ref="C40:I40" si="1">SUM(C36:C39)</f>
        <v>509</v>
      </c>
      <c r="D40" s="23">
        <f t="shared" si="1"/>
        <v>4252439</v>
      </c>
      <c r="E40" s="23">
        <f t="shared" si="1"/>
        <v>1673485</v>
      </c>
      <c r="F40" s="23">
        <f t="shared" si="1"/>
        <v>718124</v>
      </c>
      <c r="G40" s="23">
        <f t="shared" si="1"/>
        <v>691020</v>
      </c>
      <c r="H40" s="23">
        <f t="shared" si="1"/>
        <v>1169810</v>
      </c>
      <c r="I40" s="23">
        <f t="shared" si="1"/>
        <v>4252439</v>
      </c>
      <c r="K40" s="17"/>
      <c r="L40" s="1"/>
    </row>
    <row r="41" spans="1:12" x14ac:dyDescent="0.45">
      <c r="A41" s="21"/>
      <c r="B41" s="124"/>
      <c r="E41" s="124"/>
      <c r="F41" s="124"/>
      <c r="G41" s="124"/>
      <c r="H41" s="124"/>
      <c r="I41" s="124"/>
    </row>
    <row r="42" spans="1:12" x14ac:dyDescent="0.45">
      <c r="A42" s="125" t="s">
        <v>156</v>
      </c>
      <c r="B42" s="125"/>
      <c r="E42" s="124"/>
      <c r="F42" s="124"/>
      <c r="G42" s="124"/>
      <c r="H42" s="124"/>
      <c r="I42" s="124"/>
    </row>
    <row r="43" spans="1:12" x14ac:dyDescent="0.45">
      <c r="A43" s="21"/>
      <c r="B43" s="182"/>
      <c r="C43" s="190" t="s">
        <v>46</v>
      </c>
      <c r="D43" s="119" t="s">
        <v>47</v>
      </c>
      <c r="E43" s="190" t="s">
        <v>49</v>
      </c>
      <c r="F43" s="190" t="s">
        <v>50</v>
      </c>
      <c r="G43" s="124"/>
      <c r="H43" s="124"/>
      <c r="I43" s="124"/>
    </row>
    <row r="44" spans="1:12" x14ac:dyDescent="0.45">
      <c r="A44" s="21" t="s">
        <v>43</v>
      </c>
      <c r="B44" s="124">
        <f>B36</f>
        <v>5000</v>
      </c>
      <c r="C44" s="17">
        <f>C40</f>
        <v>509</v>
      </c>
      <c r="D44" s="187">
        <f>E40</f>
        <v>1673485</v>
      </c>
      <c r="E44" s="195">
        <f>ExBA!E44*(1+PrBA!K5)</f>
        <v>94.813597124025151</v>
      </c>
      <c r="F44" s="28">
        <f>E44*C44</f>
        <v>48260.120936128798</v>
      </c>
      <c r="G44" s="124"/>
    </row>
    <row r="45" spans="1:12" x14ac:dyDescent="0.45">
      <c r="A45" s="21" t="s">
        <v>79</v>
      </c>
      <c r="B45" s="124">
        <f>B37</f>
        <v>5000</v>
      </c>
      <c r="D45" s="187">
        <f>F40</f>
        <v>718124</v>
      </c>
      <c r="E45" s="195">
        <f>E28</f>
        <v>16.464916718133622</v>
      </c>
      <c r="F45" s="17">
        <f>E45*(D45/1000)</f>
        <v>11823.85185329299</v>
      </c>
      <c r="G45" s="124"/>
    </row>
    <row r="46" spans="1:12" x14ac:dyDescent="0.45">
      <c r="A46" s="21" t="s">
        <v>79</v>
      </c>
      <c r="B46" s="124">
        <f>B38</f>
        <v>10000</v>
      </c>
      <c r="D46" s="187">
        <f>G40</f>
        <v>691020</v>
      </c>
      <c r="E46" s="195">
        <f>E29</f>
        <v>14.102762473060476</v>
      </c>
      <c r="F46" s="17">
        <f>E46*(D46/1000)</f>
        <v>9745.2909241342495</v>
      </c>
      <c r="G46" s="124"/>
    </row>
    <row r="47" spans="1:12" x14ac:dyDescent="0.45">
      <c r="A47" s="21" t="s">
        <v>44</v>
      </c>
      <c r="B47" s="192">
        <f>B39</f>
        <v>20000</v>
      </c>
      <c r="C47" s="196"/>
      <c r="D47" s="194">
        <f>H40</f>
        <v>1169810</v>
      </c>
      <c r="E47" s="197">
        <f>E30</f>
        <v>11.132528917374438</v>
      </c>
      <c r="F47" s="22">
        <f>E47*(D47/1000)</f>
        <v>13022.943652833792</v>
      </c>
      <c r="G47" s="124"/>
    </row>
    <row r="48" spans="1:12" x14ac:dyDescent="0.45">
      <c r="A48" s="21"/>
      <c r="B48" s="124" t="s">
        <v>48</v>
      </c>
      <c r="C48" s="17">
        <f>SUM(C44:C47)</f>
        <v>509</v>
      </c>
      <c r="D48" s="23">
        <f>SUM(D44:D47)</f>
        <v>4252439</v>
      </c>
      <c r="F48" s="28">
        <f>SUM(F44:F47)</f>
        <v>82852.207366389834</v>
      </c>
      <c r="G48" s="28"/>
      <c r="H48" s="124"/>
      <c r="I48" s="198"/>
    </row>
    <row r="49" spans="1:12" x14ac:dyDescent="0.45">
      <c r="A49" s="21"/>
      <c r="B49" s="124"/>
      <c r="C49" s="3"/>
      <c r="D49" s="23"/>
      <c r="F49" s="195"/>
      <c r="G49" s="124"/>
      <c r="H49" s="124"/>
      <c r="I49" s="124"/>
    </row>
    <row r="50" spans="1:12" ht="15.75" x14ac:dyDescent="0.5">
      <c r="A50" s="189" t="str">
        <f>C8</f>
        <v>2" Meters</v>
      </c>
    </row>
    <row r="51" spans="1:12" x14ac:dyDescent="0.45">
      <c r="E51" s="20" t="s">
        <v>43</v>
      </c>
      <c r="F51" s="20" t="s">
        <v>79</v>
      </c>
      <c r="G51" s="20" t="s">
        <v>44</v>
      </c>
      <c r="L51" s="1"/>
    </row>
    <row r="52" spans="1:12" x14ac:dyDescent="0.45">
      <c r="B52" s="182" t="s">
        <v>45</v>
      </c>
      <c r="C52" s="190" t="s">
        <v>46</v>
      </c>
      <c r="D52" s="119" t="s">
        <v>47</v>
      </c>
      <c r="E52" s="190">
        <f>B53</f>
        <v>15000</v>
      </c>
      <c r="F52" s="190">
        <f>B54</f>
        <v>5000</v>
      </c>
      <c r="G52" s="190">
        <f>B55</f>
        <v>20000</v>
      </c>
      <c r="H52" s="182" t="s">
        <v>48</v>
      </c>
      <c r="L52" s="1"/>
    </row>
    <row r="53" spans="1:12" x14ac:dyDescent="0.45">
      <c r="A53" s="21" t="s">
        <v>43</v>
      </c>
      <c r="B53" s="124">
        <v>15000</v>
      </c>
      <c r="C53" s="191">
        <v>161</v>
      </c>
      <c r="D53" s="187">
        <v>561090</v>
      </c>
      <c r="E53" s="187">
        <f>D53</f>
        <v>561090</v>
      </c>
      <c r="F53" s="187">
        <v>0</v>
      </c>
      <c r="G53" s="187">
        <v>0</v>
      </c>
      <c r="H53" s="187">
        <f>SUM(E53:G53)</f>
        <v>561090</v>
      </c>
      <c r="L53" s="1"/>
    </row>
    <row r="54" spans="1:12" x14ac:dyDescent="0.45">
      <c r="A54" s="21" t="s">
        <v>79</v>
      </c>
      <c r="B54" s="124">
        <v>5000</v>
      </c>
      <c r="C54" s="191">
        <v>17</v>
      </c>
      <c r="D54" s="187">
        <v>296500</v>
      </c>
      <c r="E54" s="187">
        <f>C54*E52</f>
        <v>255000</v>
      </c>
      <c r="F54" s="187">
        <f>D54-E54</f>
        <v>41500</v>
      </c>
      <c r="G54" s="187"/>
      <c r="H54" s="187"/>
      <c r="L54" s="1"/>
    </row>
    <row r="55" spans="1:12" x14ac:dyDescent="0.45">
      <c r="A55" s="21" t="s">
        <v>44</v>
      </c>
      <c r="B55" s="192">
        <v>20000</v>
      </c>
      <c r="C55" s="193">
        <v>77</v>
      </c>
      <c r="D55" s="194">
        <v>9809203</v>
      </c>
      <c r="E55" s="194">
        <f>C55*E52</f>
        <v>1155000</v>
      </c>
      <c r="F55" s="194">
        <f>C55*F52</f>
        <v>385000</v>
      </c>
      <c r="G55" s="194">
        <f>D55-E55-F55</f>
        <v>8269203</v>
      </c>
      <c r="H55" s="194">
        <f>SUM(E55:G55)</f>
        <v>9809203</v>
      </c>
      <c r="J55" s="17"/>
      <c r="L55" s="1"/>
    </row>
    <row r="56" spans="1:12" x14ac:dyDescent="0.45">
      <c r="A56" s="21"/>
      <c r="B56" s="124" t="s">
        <v>48</v>
      </c>
      <c r="C56" s="23">
        <f t="shared" ref="C56:H56" si="2">SUM(C53:C55)</f>
        <v>255</v>
      </c>
      <c r="D56" s="23">
        <f t="shared" si="2"/>
        <v>10666793</v>
      </c>
      <c r="E56" s="23">
        <f t="shared" si="2"/>
        <v>1971090</v>
      </c>
      <c r="F56" s="23">
        <f t="shared" si="2"/>
        <v>426500</v>
      </c>
      <c r="G56" s="23">
        <f t="shared" si="2"/>
        <v>8269203</v>
      </c>
      <c r="H56" s="23">
        <f t="shared" si="2"/>
        <v>10370293</v>
      </c>
      <c r="J56" s="17"/>
      <c r="L56" s="1"/>
    </row>
    <row r="57" spans="1:12" x14ac:dyDescent="0.45">
      <c r="A57" s="21"/>
      <c r="B57" s="124"/>
      <c r="E57" s="124"/>
      <c r="F57" s="124"/>
      <c r="G57" s="124"/>
      <c r="H57" s="124"/>
      <c r="I57" s="124"/>
    </row>
    <row r="58" spans="1:12" x14ac:dyDescent="0.45">
      <c r="A58" s="125" t="s">
        <v>156</v>
      </c>
      <c r="B58" s="125"/>
      <c r="E58" s="124"/>
      <c r="F58" s="124"/>
      <c r="G58" s="124"/>
      <c r="H58" s="124"/>
      <c r="I58" s="124"/>
    </row>
    <row r="59" spans="1:12" x14ac:dyDescent="0.45">
      <c r="A59" s="21"/>
      <c r="B59" s="182"/>
      <c r="C59" s="190" t="s">
        <v>46</v>
      </c>
      <c r="D59" s="119" t="s">
        <v>47</v>
      </c>
      <c r="E59" s="190" t="s">
        <v>49</v>
      </c>
      <c r="F59" s="190" t="s">
        <v>50</v>
      </c>
      <c r="G59" s="124"/>
      <c r="H59" s="124"/>
      <c r="I59" s="124"/>
    </row>
    <row r="60" spans="1:12" x14ac:dyDescent="0.45">
      <c r="A60" s="21" t="s">
        <v>43</v>
      </c>
      <c r="B60" s="124">
        <f>B53</f>
        <v>15000</v>
      </c>
      <c r="C60" s="17">
        <f>C56</f>
        <v>255</v>
      </c>
      <c r="D60" s="187">
        <f>E56</f>
        <v>1971090</v>
      </c>
      <c r="E60" s="195">
        <f>ExBA!E60*(1+PrBA!K5)</f>
        <v>247.65199307999566</v>
      </c>
      <c r="F60" s="28">
        <f>E60*C60</f>
        <v>63151.258235398891</v>
      </c>
      <c r="G60" s="124"/>
    </row>
    <row r="61" spans="1:12" x14ac:dyDescent="0.45">
      <c r="A61" s="21" t="s">
        <v>79</v>
      </c>
      <c r="B61" s="124">
        <f>B54</f>
        <v>5000</v>
      </c>
      <c r="C61" s="17"/>
      <c r="D61" s="187">
        <f>F56</f>
        <v>426500</v>
      </c>
      <c r="E61" s="195">
        <f>E29</f>
        <v>14.102762473060476</v>
      </c>
      <c r="F61" s="23">
        <f>E61*(D61/1000)</f>
        <v>6014.8281947602927</v>
      </c>
      <c r="G61" s="124"/>
    </row>
    <row r="62" spans="1:12" x14ac:dyDescent="0.45">
      <c r="A62" s="21" t="s">
        <v>44</v>
      </c>
      <c r="B62" s="192">
        <f>B55</f>
        <v>20000</v>
      </c>
      <c r="C62" s="196"/>
      <c r="D62" s="194">
        <f>G56</f>
        <v>8269203</v>
      </c>
      <c r="E62" s="197">
        <f>E30</f>
        <v>11.132528917374438</v>
      </c>
      <c r="F62" s="22">
        <f>E62*(D62/1000)</f>
        <v>92057.141521139449</v>
      </c>
      <c r="G62" s="124"/>
    </row>
    <row r="63" spans="1:12" x14ac:dyDescent="0.45">
      <c r="A63" s="21"/>
      <c r="B63" s="124" t="s">
        <v>48</v>
      </c>
      <c r="C63" s="17">
        <f>SUM(C60:C62)</f>
        <v>255</v>
      </c>
      <c r="D63" s="23">
        <f>SUM(D60:D62)</f>
        <v>10666793</v>
      </c>
      <c r="F63" s="28">
        <f>SUM(F60:F62)</f>
        <v>161223.22795129864</v>
      </c>
      <c r="G63" s="28"/>
      <c r="H63" s="124"/>
      <c r="I63" s="198"/>
    </row>
    <row r="64" spans="1:12" x14ac:dyDescent="0.45">
      <c r="A64" s="21"/>
      <c r="B64" s="124"/>
      <c r="D64" s="176"/>
      <c r="E64" s="199"/>
      <c r="F64" s="23"/>
      <c r="G64" s="124"/>
      <c r="L64" s="23"/>
    </row>
    <row r="65" spans="1:12" x14ac:dyDescent="0.45">
      <c r="A65" s="21"/>
      <c r="B65" s="124"/>
      <c r="C65" s="23"/>
      <c r="D65" s="23"/>
      <c r="F65" s="122"/>
      <c r="G65" s="124"/>
      <c r="H65" s="124"/>
      <c r="I65" s="124"/>
      <c r="L65" s="23"/>
    </row>
    <row r="66" spans="1:12" x14ac:dyDescent="0.45">
      <c r="A66" s="21"/>
      <c r="B66" s="124"/>
      <c r="C66" s="23"/>
      <c r="D66" s="23"/>
      <c r="F66" s="122"/>
      <c r="G66" s="124"/>
      <c r="H66" s="124"/>
      <c r="I66" s="124"/>
      <c r="L66" s="23"/>
    </row>
    <row r="67" spans="1:12" ht="15.75" x14ac:dyDescent="0.5">
      <c r="A67" s="189"/>
      <c r="D67" s="23"/>
      <c r="L67" s="23"/>
    </row>
    <row r="68" spans="1:12" x14ac:dyDescent="0.45">
      <c r="D68" s="23"/>
      <c r="E68" s="20"/>
      <c r="F68" s="20"/>
      <c r="G68" s="20"/>
      <c r="H68" s="20"/>
      <c r="L68" s="23"/>
    </row>
    <row r="69" spans="1:12" x14ac:dyDescent="0.45">
      <c r="B69" s="20"/>
      <c r="C69" s="121"/>
      <c r="D69" s="64"/>
      <c r="E69" s="121"/>
      <c r="F69" s="121"/>
      <c r="G69" s="121"/>
      <c r="H69" s="121"/>
      <c r="I69" s="20"/>
      <c r="L69" s="23"/>
    </row>
    <row r="70" spans="1:12" x14ac:dyDescent="0.45">
      <c r="A70" s="21"/>
      <c r="B70" s="124"/>
      <c r="C70" s="176"/>
      <c r="D70" s="176"/>
      <c r="E70" s="176"/>
      <c r="F70" s="176"/>
      <c r="G70" s="176"/>
      <c r="H70" s="176"/>
      <c r="I70" s="176"/>
      <c r="L70" s="23"/>
    </row>
    <row r="71" spans="1:12" x14ac:dyDescent="0.45">
      <c r="A71" s="21"/>
      <c r="B71" s="124"/>
      <c r="C71" s="176"/>
      <c r="D71" s="176"/>
      <c r="E71" s="176"/>
      <c r="F71" s="176"/>
      <c r="G71" s="176"/>
      <c r="H71" s="176"/>
      <c r="I71" s="176"/>
      <c r="L71" s="23"/>
    </row>
    <row r="72" spans="1:12" x14ac:dyDescent="0.45">
      <c r="A72" s="21"/>
      <c r="B72" s="124"/>
      <c r="C72" s="176"/>
      <c r="D72" s="176"/>
      <c r="E72" s="176"/>
      <c r="F72" s="176"/>
      <c r="G72" s="176"/>
      <c r="H72" s="176"/>
      <c r="I72" s="176"/>
      <c r="L72" s="23"/>
    </row>
    <row r="73" spans="1:12" x14ac:dyDescent="0.45">
      <c r="A73" s="21"/>
      <c r="B73" s="124"/>
      <c r="C73" s="176"/>
      <c r="D73" s="176"/>
      <c r="E73" s="176"/>
      <c r="F73" s="176"/>
      <c r="G73" s="176"/>
      <c r="H73" s="176"/>
      <c r="I73" s="176"/>
      <c r="L73" s="23"/>
    </row>
    <row r="74" spans="1:12" x14ac:dyDescent="0.45">
      <c r="A74" s="21"/>
      <c r="B74" s="124"/>
      <c r="C74" s="23"/>
      <c r="D74" s="23"/>
      <c r="E74" s="23"/>
      <c r="F74" s="23"/>
      <c r="G74" s="23"/>
      <c r="H74" s="23"/>
      <c r="I74" s="23"/>
      <c r="L74" s="23"/>
    </row>
    <row r="75" spans="1:12" x14ac:dyDescent="0.45">
      <c r="A75" s="21"/>
      <c r="B75" s="124"/>
      <c r="D75" s="23"/>
      <c r="E75" s="124"/>
      <c r="F75" s="124"/>
      <c r="G75" s="124"/>
      <c r="H75" s="124"/>
      <c r="I75" s="124"/>
      <c r="L75" s="23"/>
    </row>
    <row r="76" spans="1:12" x14ac:dyDescent="0.45">
      <c r="A76" s="125"/>
      <c r="B76" s="125"/>
      <c r="D76" s="23"/>
      <c r="E76" s="124"/>
      <c r="F76" s="124"/>
      <c r="G76" s="124"/>
      <c r="H76" s="124"/>
      <c r="I76" s="124"/>
      <c r="L76" s="23"/>
    </row>
    <row r="77" spans="1:12" x14ac:dyDescent="0.45">
      <c r="A77" s="21"/>
      <c r="B77" s="20"/>
      <c r="C77" s="121"/>
      <c r="D77" s="64"/>
      <c r="E77" s="121"/>
      <c r="F77" s="121"/>
      <c r="G77" s="124"/>
      <c r="H77" s="124"/>
      <c r="I77" s="124"/>
      <c r="L77" s="23"/>
    </row>
    <row r="78" spans="1:12" x14ac:dyDescent="0.45">
      <c r="A78" s="21"/>
      <c r="B78" s="124"/>
      <c r="C78" s="23"/>
      <c r="D78" s="176"/>
      <c r="E78" s="199"/>
      <c r="F78" s="122"/>
      <c r="G78" s="124"/>
      <c r="L78" s="23"/>
    </row>
    <row r="79" spans="1:12" x14ac:dyDescent="0.45">
      <c r="A79" s="21"/>
      <c r="B79" s="124"/>
      <c r="C79" s="23"/>
      <c r="D79" s="176"/>
      <c r="E79" s="199"/>
      <c r="F79" s="122"/>
      <c r="G79" s="124"/>
      <c r="L79" s="23"/>
    </row>
    <row r="80" spans="1:12" x14ac:dyDescent="0.45">
      <c r="A80" s="21"/>
      <c r="B80" s="124"/>
      <c r="C80" s="23"/>
      <c r="D80" s="176"/>
      <c r="E80" s="199"/>
      <c r="F80" s="122"/>
      <c r="G80" s="124"/>
      <c r="L80" s="23"/>
    </row>
    <row r="81" spans="1:12" x14ac:dyDescent="0.45">
      <c r="A81" s="21"/>
      <c r="B81" s="124"/>
      <c r="D81" s="176"/>
      <c r="E81" s="199"/>
      <c r="F81" s="23"/>
      <c r="G81" s="124"/>
      <c r="L81" s="23"/>
    </row>
    <row r="82" spans="1:12" x14ac:dyDescent="0.45">
      <c r="A82" s="21"/>
      <c r="B82" s="124"/>
      <c r="C82" s="23"/>
      <c r="D82" s="23"/>
      <c r="F82" s="122"/>
      <c r="G82" s="124"/>
      <c r="H82" s="124"/>
      <c r="I82" s="124"/>
      <c r="L82" s="23"/>
    </row>
    <row r="83" spans="1:12" x14ac:dyDescent="0.45">
      <c r="A83" s="21"/>
      <c r="B83" s="124"/>
      <c r="C83" s="3"/>
      <c r="D83" s="23"/>
      <c r="F83" s="199"/>
      <c r="G83" s="124"/>
      <c r="H83" s="124"/>
      <c r="I83" s="124"/>
      <c r="L83" s="23"/>
    </row>
    <row r="84" spans="1:12" ht="15.75" x14ac:dyDescent="0.5">
      <c r="A84" s="189"/>
      <c r="D84" s="23"/>
      <c r="L84" s="23"/>
    </row>
    <row r="85" spans="1:12" x14ac:dyDescent="0.45">
      <c r="D85" s="23"/>
      <c r="E85" s="20"/>
      <c r="F85" s="20"/>
      <c r="L85" s="23"/>
    </row>
    <row r="86" spans="1:12" x14ac:dyDescent="0.45">
      <c r="B86" s="20"/>
      <c r="C86" s="121"/>
      <c r="D86" s="64"/>
      <c r="E86" s="121"/>
      <c r="F86" s="121"/>
      <c r="G86" s="20"/>
      <c r="L86" s="23"/>
    </row>
    <row r="87" spans="1:12" x14ac:dyDescent="0.45">
      <c r="A87" s="21"/>
      <c r="B87" s="124"/>
      <c r="C87" s="176"/>
      <c r="D87" s="176"/>
      <c r="E87" s="176"/>
      <c r="F87" s="176"/>
      <c r="G87" s="176"/>
      <c r="L87" s="23"/>
    </row>
    <row r="88" spans="1:12" x14ac:dyDescent="0.45">
      <c r="A88" s="21"/>
      <c r="B88" s="124"/>
      <c r="C88" s="176"/>
      <c r="D88" s="176"/>
      <c r="E88" s="176"/>
      <c r="F88" s="176"/>
      <c r="G88" s="176"/>
      <c r="H88" s="23"/>
      <c r="I88" s="23"/>
      <c r="L88" s="23"/>
    </row>
    <row r="89" spans="1:12" x14ac:dyDescent="0.45">
      <c r="A89" s="21"/>
      <c r="B89" s="124"/>
      <c r="C89" s="23"/>
      <c r="D89" s="23"/>
      <c r="E89" s="23"/>
      <c r="F89" s="23"/>
      <c r="G89" s="23"/>
      <c r="L89" s="23"/>
    </row>
    <row r="90" spans="1:12" x14ac:dyDescent="0.45">
      <c r="A90" s="21"/>
      <c r="B90" s="124"/>
      <c r="D90" s="23"/>
      <c r="E90" s="124"/>
      <c r="F90" s="124"/>
      <c r="G90" s="124"/>
      <c r="H90" s="124"/>
      <c r="I90" s="124"/>
      <c r="L90" s="23"/>
    </row>
    <row r="91" spans="1:12" x14ac:dyDescent="0.45">
      <c r="A91" s="125"/>
      <c r="B91" s="125"/>
      <c r="D91" s="23"/>
      <c r="E91" s="124"/>
      <c r="F91" s="124"/>
      <c r="G91" s="124"/>
      <c r="H91" s="124"/>
      <c r="I91" s="124"/>
      <c r="L91" s="23"/>
    </row>
    <row r="92" spans="1:12" x14ac:dyDescent="0.45">
      <c r="A92" s="21"/>
      <c r="B92" s="20"/>
      <c r="C92" s="121"/>
      <c r="D92" s="64"/>
      <c r="E92" s="121"/>
      <c r="F92" s="121"/>
      <c r="G92" s="124"/>
      <c r="H92" s="124"/>
      <c r="I92" s="124"/>
      <c r="L92" s="23"/>
    </row>
    <row r="93" spans="1:12" x14ac:dyDescent="0.45">
      <c r="A93" s="21"/>
      <c r="B93" s="124"/>
      <c r="C93" s="23"/>
      <c r="D93" s="176"/>
      <c r="E93" s="199"/>
      <c r="F93" s="122"/>
      <c r="G93" s="124"/>
      <c r="H93" s="124"/>
      <c r="I93" s="124"/>
      <c r="L93" s="23"/>
    </row>
    <row r="94" spans="1:12" x14ac:dyDescent="0.45">
      <c r="A94" s="21"/>
      <c r="B94" s="124"/>
      <c r="C94" s="23"/>
      <c r="D94" s="176"/>
      <c r="E94" s="199"/>
      <c r="F94" s="23"/>
      <c r="G94" s="124"/>
      <c r="H94" s="124"/>
      <c r="I94" s="124"/>
      <c r="L94" s="23"/>
    </row>
    <row r="95" spans="1:12" x14ac:dyDescent="0.45">
      <c r="A95" s="21"/>
      <c r="B95" s="124"/>
      <c r="C95" s="23"/>
      <c r="D95" s="23"/>
      <c r="F95" s="122"/>
      <c r="G95" s="124"/>
      <c r="H95" s="124"/>
      <c r="I95" s="124"/>
      <c r="L95" s="23"/>
    </row>
    <row r="96" spans="1:12" x14ac:dyDescent="0.45">
      <c r="D96" s="23"/>
      <c r="L96" s="23"/>
    </row>
    <row r="97" spans="4:12" x14ac:dyDescent="0.45">
      <c r="D97" s="23"/>
      <c r="L97" s="23"/>
    </row>
    <row r="98" spans="4:12" x14ac:dyDescent="0.45">
      <c r="D98" s="23"/>
      <c r="L98" s="23"/>
    </row>
    <row r="99" spans="4:12" x14ac:dyDescent="0.45">
      <c r="D99" s="23"/>
      <c r="L99" s="23"/>
    </row>
    <row r="100" spans="4:12" x14ac:dyDescent="0.45">
      <c r="D100" s="23"/>
      <c r="L100" s="23"/>
    </row>
  </sheetData>
  <mergeCells count="1">
    <mergeCell ref="A2:I2"/>
  </mergeCells>
  <pageMargins left="0.7" right="0.7" top="0.75" bottom="0.75" header="0.3" footer="0.3"/>
  <pageSetup fitToHeight="0" orientation="landscape" horizontalDpi="4294967293" r:id="rId1"/>
  <ignoredErrors>
    <ignoredError sqref="G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SAO</vt:lpstr>
      <vt:lpstr>Medical</vt:lpstr>
      <vt:lpstr>Debt Service</vt:lpstr>
      <vt:lpstr>Purchased Water</vt:lpstr>
      <vt:lpstr>Rates</vt:lpstr>
      <vt:lpstr>Bills</vt:lpstr>
      <vt:lpstr>ExBA</vt:lpstr>
      <vt:lpstr>PrBA</vt:lpstr>
      <vt:lpstr>Bills!Print_Area</vt:lpstr>
      <vt:lpstr>'Debt Service'!Print_Area</vt:lpstr>
      <vt:lpstr>ExBA!Print_Area</vt:lpstr>
      <vt:lpstr>PrBA!Print_Area</vt:lpstr>
      <vt:lpstr>Rates!Print_Area</vt:lpstr>
      <vt:lpstr>SAO!Print_Area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Robert Miller</cp:lastModifiedBy>
  <cp:lastPrinted>2024-06-28T15:50:37Z</cp:lastPrinted>
  <dcterms:created xsi:type="dcterms:W3CDTF">2016-05-18T14:12:06Z</dcterms:created>
  <dcterms:modified xsi:type="dcterms:W3CDTF">2025-03-25T17:57:54Z</dcterms:modified>
</cp:coreProperties>
</file>