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A00ACFF0-92FA-4D70-841F-A7E20909D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</sheets>
  <definedNames>
    <definedName name="_xlnm.Print_Area" localSheetId="0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C32" i="1"/>
  <c r="E32" i="1"/>
  <c r="G32" i="1"/>
  <c r="C27" i="1" l="1"/>
  <c r="E27" i="1"/>
  <c r="G27" i="1"/>
  <c r="G19" i="1"/>
  <c r="E19" i="1"/>
  <c r="C19" i="1"/>
  <c r="G25" i="1" l="1"/>
  <c r="E25" i="1"/>
  <c r="C25" i="1"/>
  <c r="G23" i="1"/>
  <c r="E23" i="1"/>
  <c r="C23" i="1"/>
  <c r="G21" i="1"/>
  <c r="E21" i="1"/>
  <c r="C21" i="1"/>
  <c r="G18" i="1" l="1"/>
  <c r="E18" i="1"/>
  <c r="C18" i="1"/>
  <c r="G17" i="1"/>
  <c r="E17" i="1"/>
  <c r="C17" i="1"/>
  <c r="C16" i="1"/>
  <c r="E16" i="1"/>
  <c r="G16" i="1"/>
  <c r="G15" i="1"/>
  <c r="E15" i="1"/>
  <c r="C15" i="1"/>
  <c r="G31" i="1"/>
  <c r="E31" i="1"/>
  <c r="C31" i="1"/>
  <c r="G30" i="1"/>
  <c r="E30" i="1"/>
  <c r="C30" i="1"/>
  <c r="G29" i="1" l="1"/>
  <c r="E29" i="1"/>
  <c r="C29" i="1"/>
  <c r="D32" i="1" l="1"/>
  <c r="D29" i="1"/>
  <c r="D23" i="1"/>
  <c r="D21" i="1"/>
  <c r="D15" i="1"/>
  <c r="F30" i="1"/>
  <c r="F27" i="1"/>
  <c r="F21" i="1"/>
  <c r="F16" i="1"/>
  <c r="D30" i="1"/>
  <c r="D27" i="1"/>
  <c r="D18" i="1"/>
  <c r="D17" i="1"/>
  <c r="F23" i="1"/>
  <c r="D19" i="1"/>
  <c r="F17" i="1"/>
  <c r="D16" i="1"/>
  <c r="F28" i="1"/>
  <c r="D28" i="1"/>
  <c r="D12" i="1"/>
  <c r="F12" i="1"/>
  <c r="D14" i="1"/>
  <c r="F14" i="1"/>
  <c r="D20" i="1"/>
  <c r="F20" i="1"/>
  <c r="D22" i="1"/>
  <c r="F22" i="1"/>
  <c r="D24" i="1"/>
  <c r="F24" i="1"/>
  <c r="D26" i="1"/>
  <c r="F26" i="1"/>
  <c r="F29" i="1" l="1"/>
  <c r="D25" i="1"/>
  <c r="F32" i="1"/>
  <c r="D31" i="1"/>
  <c r="F18" i="1"/>
  <c r="F25" i="1"/>
  <c r="F31" i="1"/>
  <c r="F19" i="1"/>
</calcChain>
</file>

<file path=xl/sharedStrings.xml><?xml version="1.0" encoding="utf-8"?>
<sst xmlns="http://schemas.openxmlformats.org/spreadsheetml/2006/main" count="44" uniqueCount="40">
  <si>
    <t>Comparative Operating Statistics - Gas Operations</t>
  </si>
  <si>
    <t xml:space="preserve">KY - Division 009 </t>
  </si>
  <si>
    <t>Three Most Recent Calendar Years</t>
  </si>
  <si>
    <t>Line No.</t>
  </si>
  <si>
    <t>Item</t>
  </si>
  <si>
    <t>Cost</t>
  </si>
  <si>
    <t>% Inc.</t>
  </si>
  <si>
    <t>(a)</t>
  </si>
  <si>
    <t>(b)</t>
  </si>
  <si>
    <t>(c)</t>
  </si>
  <si>
    <t>(d)</t>
  </si>
  <si>
    <t>(e)</t>
  </si>
  <si>
    <t>(f)</t>
  </si>
  <si>
    <t>(g)</t>
  </si>
  <si>
    <t>Cost per MCF of Purchased Gas</t>
  </si>
  <si>
    <t>Cost of Propane Gas per MCF Equivalent for Peak Shaving</t>
  </si>
  <si>
    <t>Cost per MCF of Gas Sold</t>
  </si>
  <si>
    <t>Maintenance Cost per Transmission Mile</t>
  </si>
  <si>
    <t>Maintenance Cost per Distribution Mile</t>
  </si>
  <si>
    <t>Sales Promotion Expense per Customer</t>
  </si>
  <si>
    <t>Administration and General Expense per Customer</t>
  </si>
  <si>
    <t>Wages and Salaries – Charged Expense – per Average Employee</t>
  </si>
  <si>
    <t>Depreciation Expense:</t>
  </si>
  <si>
    <t xml:space="preserve">  Per $100 of Average Gross Depreciable Plant in Service</t>
  </si>
  <si>
    <t>Rents:</t>
  </si>
  <si>
    <t xml:space="preserve">  Per $100 of Average Gross Plant in Service</t>
  </si>
  <si>
    <t>Property Taxes:</t>
  </si>
  <si>
    <t xml:space="preserve">  Per $100 of Average Net Plant in Service</t>
  </si>
  <si>
    <t>Payroll Taxes:</t>
  </si>
  <si>
    <t>Interest Expense:</t>
  </si>
  <si>
    <t xml:space="preserve">  Per $100 of Average Debt Outstanding</t>
  </si>
  <si>
    <t xml:space="preserve">  Per $100 of Average Plant Investment</t>
  </si>
  <si>
    <t xml:space="preserve">  Per MCF Sold</t>
  </si>
  <si>
    <t>Meter Reading Expense per Meter</t>
  </si>
  <si>
    <t>Per Average Employee whose Salary is charged to expense</t>
  </si>
  <si>
    <t>Atmos Energy Corporation, Kentucky</t>
  </si>
  <si>
    <t>For the Calendar Years 2021 through 2023</t>
  </si>
  <si>
    <t>CY 2021</t>
  </si>
  <si>
    <t>CY 2022</t>
  </si>
  <si>
    <t>CY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</si>
</sst>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00_);_(* \(#,##0.000\);_(* &quot;-&quot;??_);_(@_)"/>
  </numFmts>
  <fonts count="11">
    <font>
      <sz val="10"/>
      <name val="Arial"/>
    </font>
    <font>
      <sz val="10"/>
      <name val="Arial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0" fontId="2" fillId="2" borderId="0">
      <alignment horizontal="right"/>
    </xf>
    <xf numFmtId="0" fontId="3" fillId="2" borderId="0">
      <alignment horizontal="right"/>
    </xf>
    <xf numFmtId="0" fontId="4" fillId="2" borderId="1"/>
    <xf numFmtId="0" fontId="4" fillId="0" borderId="0" applyBorder="0">
      <alignment horizontal="centerContinuous"/>
    </xf>
    <xf numFmtId="0" fontId="5" fillId="0" borderId="0" applyBorder="0">
      <alignment horizontal="centerContinuous"/>
    </xf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wrapText="1"/>
    </xf>
    <xf numFmtId="10" fontId="0" fillId="0" borderId="0" xfId="6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43" fontId="7" fillId="0" borderId="2" xfId="0" applyNumberFormat="1" applyFont="1" applyBorder="1" applyAlignment="1">
      <alignment horizontal="justify" wrapText="1"/>
    </xf>
    <xf numFmtId="41" fontId="7" fillId="0" borderId="2" xfId="0" applyNumberFormat="1" applyFont="1" applyBorder="1" applyAlignment="1">
      <alignment horizontal="justify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justify" wrapText="1"/>
    </xf>
    <xf numFmtId="10" fontId="7" fillId="0" borderId="2" xfId="6" applyNumberFormat="1" applyFont="1" applyFill="1" applyBorder="1" applyAlignment="1">
      <alignment wrapText="1"/>
    </xf>
    <xf numFmtId="43" fontId="7" fillId="0" borderId="2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7" fillId="0" borderId="2" xfId="0" applyNumberFormat="1" applyFont="1" applyBorder="1" applyAlignment="1">
      <alignment horizontal="justify" wrapText="1"/>
    </xf>
    <xf numFmtId="0" fontId="10" fillId="0" borderId="0" xfId="0" applyFont="1"/>
    <xf numFmtId="0" fontId="9" fillId="0" borderId="0" xfId="0" applyFont="1"/>
    <xf numFmtId="164" fontId="0" fillId="0" borderId="0" xfId="0" applyNumberFormat="1"/>
    <xf numFmtId="43" fontId="0" fillId="0" borderId="0" xfId="0" applyNumberFormat="1"/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</cellXfs>
  <cellStyles count="7">
    <cellStyle name="Normal" xfId="0" builtinId="0"/>
    <cellStyle name="Output Amounts" xfId="1" xr:uid="{00000000-0005-0000-0000-000001000000}"/>
    <cellStyle name="Output Column Headings" xfId="2" xr:uid="{00000000-0005-0000-0000-000002000000}"/>
    <cellStyle name="Output Line Items" xfId="3" xr:uid="{00000000-0005-0000-0000-000003000000}"/>
    <cellStyle name="Output Report Heading" xfId="4" xr:uid="{00000000-0005-0000-0000-000004000000}"/>
    <cellStyle name="Output Report Title" xfId="5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workbookViewId="0"/>
  </sheetViews>
  <sheetFormatPr defaultRowHeight="12.75"/>
  <cols>
    <col min="2" max="2" width="26.85546875" customWidth="1"/>
    <col min="3" max="3" width="14.5703125" customWidth="1"/>
    <col min="5" max="5" width="14.85546875" customWidth="1"/>
    <col min="6" max="6" width="10.42578125" customWidth="1"/>
    <col min="7" max="7" width="15.85546875" customWidth="1"/>
  </cols>
  <sheetData>
    <row r="1" spans="1:11">
      <c r="A1" s="1" t="s">
        <v>35</v>
      </c>
    </row>
    <row r="2" spans="1:11">
      <c r="A2" s="1" t="s">
        <v>0</v>
      </c>
      <c r="F2" s="1"/>
      <c r="H2" s="16"/>
    </row>
    <row r="3" spans="1:11">
      <c r="A3" s="1" t="s">
        <v>36</v>
      </c>
    </row>
    <row r="4" spans="1:11">
      <c r="A4" s="1" t="s">
        <v>1</v>
      </c>
    </row>
    <row r="7" spans="1:11">
      <c r="A7" s="22"/>
      <c r="C7" s="23" t="s">
        <v>2</v>
      </c>
      <c r="D7" s="24"/>
      <c r="E7" s="24"/>
      <c r="F7" s="24"/>
      <c r="G7" s="24"/>
      <c r="H7" s="25"/>
    </row>
    <row r="8" spans="1:11">
      <c r="A8" s="22"/>
      <c r="C8" s="26"/>
      <c r="D8" s="27"/>
      <c r="E8" s="27"/>
      <c r="F8" s="27"/>
      <c r="G8" s="27"/>
      <c r="H8" s="28"/>
    </row>
    <row r="9" spans="1:11" ht="13.5" customHeight="1">
      <c r="A9" s="2"/>
      <c r="B9" s="2"/>
      <c r="C9" s="20" t="s">
        <v>39</v>
      </c>
      <c r="D9" s="21"/>
      <c r="E9" s="20" t="s">
        <v>38</v>
      </c>
      <c r="F9" s="21"/>
      <c r="G9" s="20" t="s">
        <v>37</v>
      </c>
      <c r="H9" s="21"/>
    </row>
    <row r="10" spans="1:11">
      <c r="A10" s="8" t="s">
        <v>3</v>
      </c>
      <c r="B10" s="8" t="s">
        <v>4</v>
      </c>
      <c r="C10" s="8" t="s">
        <v>5</v>
      </c>
      <c r="D10" s="8" t="s">
        <v>6</v>
      </c>
      <c r="E10" s="8" t="s">
        <v>5</v>
      </c>
      <c r="F10" s="8" t="s">
        <v>6</v>
      </c>
      <c r="G10" s="8" t="s">
        <v>5</v>
      </c>
      <c r="H10" s="8" t="s">
        <v>6</v>
      </c>
    </row>
    <row r="11" spans="1:11">
      <c r="A11" s="9"/>
      <c r="B11" s="9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</row>
    <row r="12" spans="1:11">
      <c r="A12" s="4">
        <v>1</v>
      </c>
      <c r="B12" s="5" t="s">
        <v>14</v>
      </c>
      <c r="C12" s="6">
        <v>5.6203632026847554</v>
      </c>
      <c r="D12" s="11">
        <f>-1+C12/E12</f>
        <v>-0.25437057031444721</v>
      </c>
      <c r="E12" s="6">
        <v>7.5377432527776937</v>
      </c>
      <c r="F12" s="11">
        <f>-1+E12/G12</f>
        <v>0.78189293828315076</v>
      </c>
      <c r="G12" s="6">
        <v>4.2301886330164651</v>
      </c>
      <c r="H12" s="6"/>
      <c r="J12" s="18"/>
      <c r="K12" s="3"/>
    </row>
    <row r="13" spans="1:11" ht="24">
      <c r="A13" s="4">
        <v>2</v>
      </c>
      <c r="B13" s="5" t="s">
        <v>15</v>
      </c>
      <c r="C13" s="6"/>
      <c r="D13" s="12"/>
      <c r="E13" s="6"/>
      <c r="F13" s="12"/>
      <c r="G13" s="6"/>
      <c r="H13" s="6"/>
      <c r="I13" s="17"/>
      <c r="J13" s="3"/>
      <c r="K13" s="3"/>
    </row>
    <row r="14" spans="1:11">
      <c r="A14" s="4">
        <v>3</v>
      </c>
      <c r="B14" s="5" t="s">
        <v>16</v>
      </c>
      <c r="C14" s="6">
        <v>6.2008777566841609</v>
      </c>
      <c r="D14" s="11">
        <f t="shared" ref="D14:F22" si="0">-1+C14/E14</f>
        <v>-0.15817817769577214</v>
      </c>
      <c r="E14" s="6">
        <v>7.3660216359219204</v>
      </c>
      <c r="F14" s="11">
        <f t="shared" ref="F14:F22" si="1">-1+E14/G14</f>
        <v>0.59342484430362519</v>
      </c>
      <c r="G14" s="6">
        <v>4.6227606292539605</v>
      </c>
      <c r="H14" s="6"/>
    </row>
    <row r="15" spans="1:11" ht="24">
      <c r="A15" s="4">
        <v>4</v>
      </c>
      <c r="B15" s="5" t="s">
        <v>17</v>
      </c>
      <c r="C15" s="6">
        <f>38997/171.6</f>
        <v>227.25524475524477</v>
      </c>
      <c r="D15" s="11">
        <f t="shared" si="0"/>
        <v>-0.21947454722429383</v>
      </c>
      <c r="E15" s="6">
        <f>50341/172.9</f>
        <v>291.15673799884325</v>
      </c>
      <c r="F15" s="11">
        <f t="shared" si="0"/>
        <v>0.32815618189066087</v>
      </c>
      <c r="G15" s="6">
        <f>37881/172.8</f>
        <v>219.21874999999997</v>
      </c>
      <c r="H15" s="6"/>
      <c r="I15" s="17"/>
      <c r="K15" s="19"/>
    </row>
    <row r="16" spans="1:11" ht="24">
      <c r="A16" s="4">
        <v>5</v>
      </c>
      <c r="B16" s="5" t="s">
        <v>18</v>
      </c>
      <c r="C16" s="6">
        <f>339524/4208</f>
        <v>80.685361216730044</v>
      </c>
      <c r="D16" s="11">
        <f t="shared" si="0"/>
        <v>-0.21029533875596307</v>
      </c>
      <c r="E16" s="6">
        <f>427588/4185</f>
        <v>102.17156511350059</v>
      </c>
      <c r="F16" s="11">
        <f t="shared" si="1"/>
        <v>-0.27530288172781181</v>
      </c>
      <c r="G16" s="6">
        <f>590446/4188</f>
        <v>140.98519579751672</v>
      </c>
      <c r="H16" s="6"/>
      <c r="I16" s="17"/>
      <c r="K16" s="3"/>
    </row>
    <row r="17" spans="1:13" ht="24">
      <c r="A17" s="4">
        <v>6</v>
      </c>
      <c r="B17" s="5" t="s">
        <v>19</v>
      </c>
      <c r="C17" s="6">
        <f>259883/180381</f>
        <v>1.4407448678075852</v>
      </c>
      <c r="D17" s="11">
        <f t="shared" si="0"/>
        <v>6.0869041252042955E-3</v>
      </c>
      <c r="E17" s="6">
        <f>258736/180678</f>
        <v>1.4320282491504224</v>
      </c>
      <c r="F17" s="11">
        <f t="shared" si="1"/>
        <v>-4.714679886782347E-2</v>
      </c>
      <c r="G17" s="6">
        <f>271197/180451</f>
        <v>1.5028844395431447</v>
      </c>
      <c r="H17" s="6"/>
      <c r="I17" s="17"/>
      <c r="J17" s="18"/>
    </row>
    <row r="18" spans="1:13" ht="24">
      <c r="A18" s="4">
        <v>7</v>
      </c>
      <c r="B18" s="5" t="s">
        <v>20</v>
      </c>
      <c r="C18" s="6">
        <f>15145415/180381</f>
        <v>83.963471762547059</v>
      </c>
      <c r="D18" s="11">
        <f t="shared" si="0"/>
        <v>2.2658826359627904E-2</v>
      </c>
      <c r="E18" s="6">
        <f>14834226/180678</f>
        <v>82.10311161292465</v>
      </c>
      <c r="F18" s="11">
        <f t="shared" si="1"/>
        <v>-2.8030857356624139E-2</v>
      </c>
      <c r="G18" s="6">
        <f>15242859/180451</f>
        <v>84.47090345855662</v>
      </c>
      <c r="H18" s="6"/>
      <c r="I18" s="17"/>
    </row>
    <row r="19" spans="1:13" ht="36">
      <c r="A19" s="4">
        <v>8</v>
      </c>
      <c r="B19" s="5" t="s">
        <v>21</v>
      </c>
      <c r="C19" s="7">
        <f>5945909/144</f>
        <v>41291.034722222219</v>
      </c>
      <c r="D19" s="11">
        <f t="shared" si="0"/>
        <v>2.4576392922543988E-2</v>
      </c>
      <c r="E19" s="7">
        <f>5722684/142</f>
        <v>40300.591549295772</v>
      </c>
      <c r="F19" s="11">
        <f t="shared" si="1"/>
        <v>8.7631998732656147E-2</v>
      </c>
      <c r="G19" s="7">
        <f>5224546/141</f>
        <v>37053.517730496453</v>
      </c>
      <c r="H19" s="6"/>
      <c r="I19" s="17"/>
      <c r="J19" s="17"/>
      <c r="K19" s="17"/>
      <c r="L19" s="17"/>
      <c r="M19" s="17"/>
    </row>
    <row r="20" spans="1:13">
      <c r="A20" s="4">
        <v>9</v>
      </c>
      <c r="B20" s="5" t="s">
        <v>22</v>
      </c>
      <c r="C20" s="7">
        <v>19411819</v>
      </c>
      <c r="D20" s="11">
        <f t="shared" si="0"/>
        <v>-2.4513963520341409E-2</v>
      </c>
      <c r="E20" s="7">
        <v>19899638</v>
      </c>
      <c r="F20" s="11">
        <f t="shared" si="1"/>
        <v>-6.2903753378905636E-2</v>
      </c>
      <c r="G20" s="7">
        <v>21235426</v>
      </c>
      <c r="H20" s="6"/>
      <c r="I20" s="17"/>
    </row>
    <row r="21" spans="1:13" ht="24">
      <c r="A21" s="4">
        <v>10</v>
      </c>
      <c r="B21" s="5" t="s">
        <v>23</v>
      </c>
      <c r="C21" s="6">
        <f>C20/8773805</f>
        <v>2.2124744053463692</v>
      </c>
      <c r="D21" s="11">
        <f t="shared" si="0"/>
        <v>-7.0560618353712634E-2</v>
      </c>
      <c r="E21" s="6">
        <f>E20/8359648</f>
        <v>2.3804397027243254</v>
      </c>
      <c r="F21" s="11">
        <f t="shared" si="1"/>
        <v>-9.7978523283871355E-2</v>
      </c>
      <c r="G21" s="6">
        <f>G20/8046753</f>
        <v>2.6390055715640832</v>
      </c>
      <c r="H21" s="6"/>
      <c r="I21" s="17"/>
    </row>
    <row r="22" spans="1:13">
      <c r="A22" s="4">
        <v>11</v>
      </c>
      <c r="B22" s="5" t="s">
        <v>24</v>
      </c>
      <c r="C22" s="7">
        <v>251512.90000000002</v>
      </c>
      <c r="D22" s="11">
        <f t="shared" si="0"/>
        <v>-8.8734055294304337E-2</v>
      </c>
      <c r="E22" s="7">
        <v>276003.84000000037</v>
      </c>
      <c r="F22" s="11">
        <f t="shared" si="1"/>
        <v>-5.0443326704876501E-2</v>
      </c>
      <c r="G22" s="7">
        <v>290666</v>
      </c>
      <c r="H22" s="6"/>
      <c r="I22" s="17"/>
    </row>
    <row r="23" spans="1:13" ht="24">
      <c r="A23" s="4">
        <v>12</v>
      </c>
      <c r="B23" s="5" t="s">
        <v>25</v>
      </c>
      <c r="C23" s="15">
        <f>C22/8773805</f>
        <v>2.8666342595943268E-2</v>
      </c>
      <c r="D23" s="11">
        <f>+C23/E23-1</f>
        <v>-0.1317492772945057</v>
      </c>
      <c r="E23" s="15">
        <f>E22/8359648</f>
        <v>3.3016203553068307E-2</v>
      </c>
      <c r="F23" s="11">
        <f>+E23/G23-1</f>
        <v>-8.5984480505930994E-2</v>
      </c>
      <c r="G23" s="15">
        <f>G22/8046753</f>
        <v>3.6122147653842487E-2</v>
      </c>
      <c r="H23" s="6"/>
      <c r="I23" s="17"/>
    </row>
    <row r="24" spans="1:13">
      <c r="A24" s="4">
        <v>13</v>
      </c>
      <c r="B24" s="5" t="s">
        <v>26</v>
      </c>
      <c r="C24" s="7">
        <v>9183690</v>
      </c>
      <c r="D24" s="11">
        <f>-1+C24/E24</f>
        <v>-1.1396664642889465E-2</v>
      </c>
      <c r="E24" s="7">
        <v>9289560</v>
      </c>
      <c r="F24" s="11">
        <f>-1+E24/G24</f>
        <v>4.2534153588827284E-2</v>
      </c>
      <c r="G24" s="7">
        <v>8910557</v>
      </c>
      <c r="H24" s="6"/>
      <c r="I24" s="17"/>
    </row>
    <row r="25" spans="1:13" ht="24">
      <c r="A25" s="4">
        <v>14</v>
      </c>
      <c r="B25" s="5" t="s">
        <v>27</v>
      </c>
      <c r="C25" s="6">
        <f>C24/8773805</f>
        <v>1.0467169033275756</v>
      </c>
      <c r="D25" s="11">
        <f>+C25/E25-1</f>
        <v>-5.8062505924009189E-2</v>
      </c>
      <c r="E25" s="6">
        <f>E24/8359648</f>
        <v>1.1112381765356627</v>
      </c>
      <c r="F25" s="11">
        <f>+E25/G25-1</f>
        <v>3.5129263807944788E-3</v>
      </c>
      <c r="G25" s="6">
        <f>G24/8046753</f>
        <v>1.1073481440277837</v>
      </c>
      <c r="H25" s="6"/>
      <c r="I25" s="17"/>
    </row>
    <row r="26" spans="1:13">
      <c r="A26" s="4">
        <v>15</v>
      </c>
      <c r="B26" s="5" t="s">
        <v>28</v>
      </c>
      <c r="C26" s="7">
        <v>387516.33</v>
      </c>
      <c r="D26" s="11">
        <f>+C26/E26-1</f>
        <v>5.0825059508088133E-2</v>
      </c>
      <c r="E26" s="7">
        <v>368773.4</v>
      </c>
      <c r="F26" s="11">
        <f>+E26/G26-1</f>
        <v>7.2825119277492023E-2</v>
      </c>
      <c r="G26" s="7">
        <v>343740.46</v>
      </c>
      <c r="H26" s="6"/>
      <c r="I26" s="17"/>
    </row>
    <row r="27" spans="1:13" ht="24">
      <c r="A27" s="4">
        <v>16</v>
      </c>
      <c r="B27" s="5" t="s">
        <v>34</v>
      </c>
      <c r="C27" s="10">
        <f>C26/144</f>
        <v>2691.0856250000002</v>
      </c>
      <c r="D27" s="11">
        <f>+C27/E27-1</f>
        <v>3.6230267014920159E-2</v>
      </c>
      <c r="E27" s="10">
        <f>E26/142</f>
        <v>2596.9957746478876</v>
      </c>
      <c r="F27" s="11">
        <f>+E27/G27-1</f>
        <v>6.5270012803706923E-2</v>
      </c>
      <c r="G27" s="10">
        <f>G26/141</f>
        <v>2437.8756028368798</v>
      </c>
      <c r="H27" s="6"/>
      <c r="I27" s="17"/>
    </row>
    <row r="28" spans="1:13">
      <c r="A28" s="4">
        <v>17</v>
      </c>
      <c r="B28" s="5" t="s">
        <v>29</v>
      </c>
      <c r="C28" s="7">
        <v>10036868.579999998</v>
      </c>
      <c r="D28" s="11">
        <f>+C28/E28-1</f>
        <v>-7.4232139086225724E-2</v>
      </c>
      <c r="E28" s="7">
        <v>10841668.85</v>
      </c>
      <c r="F28" s="11">
        <f>+E28/G28-1</f>
        <v>0.1253715156404227</v>
      </c>
      <c r="G28" s="7">
        <v>9633857.5300000012</v>
      </c>
      <c r="H28" s="6"/>
      <c r="I28" s="17"/>
    </row>
    <row r="29" spans="1:13" ht="24">
      <c r="A29" s="4">
        <v>18</v>
      </c>
      <c r="B29" s="5" t="s">
        <v>30</v>
      </c>
      <c r="C29" s="6">
        <f>C28/3717626</f>
        <v>2.6998058922548953</v>
      </c>
      <c r="D29" s="11">
        <f>-1+C29/E29</f>
        <v>-1.7734447678791065E-2</v>
      </c>
      <c r="E29" s="6">
        <f>E28/3944505</f>
        <v>2.7485499067690369</v>
      </c>
      <c r="F29" s="11">
        <f>-1+E29/G29</f>
        <v>-8.4524485012804851E-2</v>
      </c>
      <c r="G29" s="6">
        <f>G28/3208805</f>
        <v>3.0023194086271996</v>
      </c>
      <c r="H29" s="6"/>
      <c r="I29" s="17"/>
    </row>
    <row r="30" spans="1:13" ht="24">
      <c r="A30" s="4">
        <v>19</v>
      </c>
      <c r="B30" s="5" t="s">
        <v>31</v>
      </c>
      <c r="C30" s="6">
        <f>C28/8773805</f>
        <v>1.1439584741169877</v>
      </c>
      <c r="D30" s="11">
        <f>-1+C30/E30</f>
        <v>-0.11793190674375487</v>
      </c>
      <c r="E30" s="6">
        <f>E28/8359648</f>
        <v>1.2969049474331933</v>
      </c>
      <c r="F30" s="11">
        <f>+E30/G30-1</f>
        <v>8.3249751615632306E-2</v>
      </c>
      <c r="G30" s="6">
        <f>G28/8046753</f>
        <v>1.1972353979300721</v>
      </c>
      <c r="H30" s="6"/>
      <c r="I30" s="17"/>
    </row>
    <row r="31" spans="1:13">
      <c r="A31" s="4">
        <v>20</v>
      </c>
      <c r="B31" s="5" t="s">
        <v>32</v>
      </c>
      <c r="C31" s="6">
        <f>C28/14450392</f>
        <v>0.69457413888841202</v>
      </c>
      <c r="D31" s="11">
        <f>-1+C31/E31</f>
        <v>0.14272140759180663</v>
      </c>
      <c r="E31" s="6">
        <f>E28/17836839</f>
        <v>0.60782456185201872</v>
      </c>
      <c r="F31" s="11">
        <f>+E31/G31-1</f>
        <v>3.5069115993312971E-2</v>
      </c>
      <c r="G31" s="6">
        <f>G28/16405570</f>
        <v>0.58723089353189195</v>
      </c>
      <c r="H31" s="6"/>
    </row>
    <row r="32" spans="1:13" ht="24">
      <c r="A32" s="4">
        <v>21</v>
      </c>
      <c r="B32" s="5" t="s">
        <v>33</v>
      </c>
      <c r="C32" s="6">
        <f>611171/186349</f>
        <v>3.2797117237012272</v>
      </c>
      <c r="D32" s="11">
        <f>-1+C32/E32</f>
        <v>-0.11319857790246968</v>
      </c>
      <c r="E32" s="6">
        <f>687063/185775</f>
        <v>3.6983609204683083</v>
      </c>
      <c r="F32" s="11">
        <f>+E32/G32-1</f>
        <v>-0.15516591573238991</v>
      </c>
      <c r="G32" s="6">
        <f>809925/185015</f>
        <v>4.3776180309704618</v>
      </c>
      <c r="H32" s="6"/>
    </row>
    <row r="34" spans="1:2">
      <c r="A34" s="13"/>
      <c r="B34" s="14"/>
    </row>
    <row r="35" spans="1:2">
      <c r="B35" s="14"/>
    </row>
  </sheetData>
  <mergeCells count="5">
    <mergeCell ref="C9:D9"/>
    <mergeCell ref="E9:F9"/>
    <mergeCell ref="G9:H9"/>
    <mergeCell ref="A7:A8"/>
    <mergeCell ref="C7:H8"/>
  </mergeCells>
  <phoneticPr fontId="6" type="noConversion"/>
  <printOptions horizontalCentered="1"/>
  <pageMargins left="0.75" right="0.75" top="1" bottom="1" header="0.25" footer="0.5"/>
  <pageSetup scale="77" orientation="landscape" r:id="rId1"/>
  <headerFooter alignWithMargins="0">
    <oddHeader>&amp;R&amp;8CASE NO. 2024-00276
ATTACHMENT 1
TO STAFF DR NO. 1-52</oddHeader>
  </headerFooter>
  <ignoredErrors>
    <ignoredError sqref="D23 D26 D25 D34:H35 D27:D28 D29 D24 D30 D31 D32 D33 F23 H23 F32 H32 F31 H31 F30 H30 H28 H27 F27 F26 H26 H25 F24 H24 H29 F28 E33:H33 F25 F29 F19 J33 J29 J24 J25 J26 J27 J28 J30 J31 J32 J23 H15 F16 H16 F17 H17 F18 H18 F21 F20 H20 J19 J16 J17 J18 J21:J22 J20 H19 F22 H22 H21 E15: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Wilen, Eric</cp:lastModifiedBy>
  <cp:lastPrinted>2024-10-25T00:54:57Z</cp:lastPrinted>
  <dcterms:created xsi:type="dcterms:W3CDTF">2009-11-12T13:08:29Z</dcterms:created>
  <dcterms:modified xsi:type="dcterms:W3CDTF">2024-10-25T00:55:03Z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