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 Attachments\Staff_1-54 - Witness Workpapers\"/>
    </mc:Choice>
  </mc:AlternateContent>
  <xr:revisionPtr revIDLastSave="0" documentId="13_ncr:1_{6CD86504-543F-41AC-99D6-49FC94EED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ors" sheetId="2" r:id="rId1"/>
    <sheet name="class peakday" sheetId="4" r:id="rId2"/>
  </sheets>
  <definedNames>
    <definedName name="_xlnm.Print_Area" localSheetId="0">factors!$A$2:$H$20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B25" i="4" l="1"/>
  <c r="C25" i="4" l="1"/>
  <c r="C20" i="4"/>
  <c r="D20" i="4" s="1"/>
  <c r="C19" i="4"/>
  <c r="D19" i="4" s="1"/>
  <c r="C18" i="4"/>
  <c r="D18" i="4" s="1"/>
  <c r="E18" i="4" s="1"/>
  <c r="C15" i="4"/>
  <c r="D15" i="4" s="1"/>
  <c r="E15" i="4" s="1"/>
  <c r="D25" i="4"/>
  <c r="B20" i="4"/>
  <c r="B19" i="4"/>
  <c r="B18" i="4"/>
  <c r="B15" i="4"/>
  <c r="F18" i="4" l="1"/>
  <c r="H18" i="4" s="1"/>
  <c r="B21" i="4"/>
  <c r="E20" i="4"/>
  <c r="F20" i="4"/>
  <c r="H20" i="4" s="1"/>
  <c r="F15" i="4"/>
  <c r="H15" i="4" s="1"/>
  <c r="J15" i="4" s="1"/>
  <c r="K15" i="4" s="1"/>
  <c r="E19" i="4"/>
  <c r="F19" i="4"/>
  <c r="H19" i="4" s="1"/>
  <c r="D21" i="4"/>
  <c r="C21" i="4"/>
  <c r="D11" i="4"/>
  <c r="C11" i="4"/>
  <c r="B9" i="4"/>
  <c r="F7" i="4"/>
  <c r="F11" i="4" s="1"/>
  <c r="E7" i="4"/>
  <c r="E11" i="4" s="1"/>
  <c r="D7" i="4"/>
  <c r="C7" i="4"/>
  <c r="B2" i="4"/>
  <c r="F21" i="4" l="1"/>
  <c r="H21" i="4" s="1"/>
  <c r="E21" i="4"/>
  <c r="B11" i="4"/>
  <c r="B7" i="4"/>
  <c r="E21" i="2" l="1"/>
  <c r="D21" i="2"/>
  <c r="E23" i="2" l="1"/>
  <c r="D14" i="2"/>
  <c r="D15" i="2" l="1"/>
  <c r="B23" i="4"/>
  <c r="I3" i="2"/>
  <c r="B27" i="4" l="1"/>
  <c r="B6" i="4"/>
  <c r="B5" i="4"/>
  <c r="B4" i="4"/>
  <c r="B19" i="2"/>
  <c r="I8" i="2" l="1"/>
  <c r="C3" i="2"/>
  <c r="I16" i="2" l="1"/>
  <c r="H14" i="2"/>
  <c r="G14" i="2"/>
  <c r="F14" i="2"/>
  <c r="E14" i="2"/>
  <c r="E9" i="2"/>
  <c r="E6" i="2"/>
  <c r="J3" i="2"/>
  <c r="I10" i="2"/>
  <c r="J10" i="2" s="1"/>
  <c r="C16" i="2"/>
  <c r="I13" i="2"/>
  <c r="C13" i="2"/>
  <c r="I12" i="2"/>
  <c r="C12" i="2"/>
  <c r="C11" i="2"/>
  <c r="I11" i="2"/>
  <c r="H9" i="2"/>
  <c r="G9" i="2"/>
  <c r="F9" i="2"/>
  <c r="D9" i="2"/>
  <c r="H6" i="2"/>
  <c r="G6" i="2"/>
  <c r="D6" i="2"/>
  <c r="C10" i="2"/>
  <c r="I7" i="2"/>
  <c r="I5" i="2"/>
  <c r="I4" i="2"/>
  <c r="C8" i="2"/>
  <c r="C7" i="2"/>
  <c r="C5" i="2"/>
  <c r="C4" i="2"/>
  <c r="D19" i="2" l="1"/>
  <c r="F15" i="2"/>
  <c r="F19" i="2" s="1"/>
  <c r="C23" i="4"/>
  <c r="C6" i="2"/>
  <c r="C9" i="2"/>
  <c r="G15" i="2"/>
  <c r="G19" i="2" s="1"/>
  <c r="H15" i="2"/>
  <c r="H19" i="2" s="1"/>
  <c r="I14" i="2"/>
  <c r="I15" i="2" s="1"/>
  <c r="J15" i="2" s="1"/>
  <c r="I9" i="2"/>
  <c r="J9" i="2" s="1"/>
  <c r="C14" i="2"/>
  <c r="E15" i="2"/>
  <c r="E19" i="2" s="1"/>
  <c r="J17" i="2"/>
  <c r="I6" i="2"/>
  <c r="J6" i="2" l="1"/>
  <c r="I19" i="2"/>
  <c r="J19" i="2" s="1"/>
  <c r="C15" i="2"/>
  <c r="D23" i="4"/>
  <c r="C27" i="4"/>
  <c r="J18" i="4"/>
  <c r="K18" i="4" s="1"/>
  <c r="C19" i="2"/>
  <c r="J20" i="4"/>
  <c r="K20" i="4" s="1"/>
  <c r="J19" i="4"/>
  <c r="K19" i="4" s="1"/>
  <c r="J21" i="4"/>
  <c r="K21" i="4" s="1"/>
  <c r="E23" i="4" l="1"/>
  <c r="D27" i="4"/>
  <c r="F23" i="4"/>
  <c r="H23" i="4" s="1"/>
  <c r="F27" i="4"/>
  <c r="J23" i="4" l="1"/>
  <c r="K23" i="4" s="1"/>
  <c r="K27" i="4" l="1"/>
</calcChain>
</file>

<file path=xl/sharedStrings.xml><?xml version="1.0" encoding="utf-8"?>
<sst xmlns="http://schemas.openxmlformats.org/spreadsheetml/2006/main" count="57" uniqueCount="42">
  <si>
    <t>Residential</t>
  </si>
  <si>
    <t>Customers</t>
  </si>
  <si>
    <t>Bills</t>
  </si>
  <si>
    <t>Current Rev</t>
  </si>
  <si>
    <t>Mcf</t>
  </si>
  <si>
    <t>Com Firm</t>
  </si>
  <si>
    <t>Com Int</t>
  </si>
  <si>
    <t>Com Total</t>
  </si>
  <si>
    <t>Ind Firm</t>
  </si>
  <si>
    <t>Ind Int</t>
  </si>
  <si>
    <t>Ind Total</t>
  </si>
  <si>
    <t>PA</t>
  </si>
  <si>
    <t>Other</t>
  </si>
  <si>
    <t>Total</t>
  </si>
  <si>
    <t>Winter Volumes</t>
  </si>
  <si>
    <t>Base Rate Revenue</t>
  </si>
  <si>
    <t>Gas Costs</t>
  </si>
  <si>
    <t>Total Revenues</t>
  </si>
  <si>
    <t>Transp. T-4</t>
  </si>
  <si>
    <t>Transp. Firm</t>
  </si>
  <si>
    <t>Transp. EDR</t>
  </si>
  <si>
    <t>Transp. T-3 (Int.)</t>
  </si>
  <si>
    <t>Transp. Sp. Cont.</t>
  </si>
  <si>
    <t>Delta</t>
  </si>
  <si>
    <t>Total Base Load per year</t>
  </si>
  <si>
    <t>Average Daily Base Load per Customer</t>
  </si>
  <si>
    <t>Heating Load Per Year</t>
  </si>
  <si>
    <t>Annual HDDs</t>
  </si>
  <si>
    <t>Heating Load per Customer per HDD</t>
  </si>
  <si>
    <t>Peak Design Day HDD</t>
  </si>
  <si>
    <t>Peak Day per Average Customer</t>
  </si>
  <si>
    <t>Total Class Peak Day, Mcf</t>
  </si>
  <si>
    <t>Base Load - Jul</t>
  </si>
  <si>
    <t>Base Load - Aug</t>
  </si>
  <si>
    <t>Customers - Jul</t>
  </si>
  <si>
    <t>Customers - Aug</t>
  </si>
  <si>
    <t>Base Load per Customer</t>
  </si>
  <si>
    <t>From KY Revenue Billing Unit Forecast TYE 6.30.2024.xlsx (Test Year Monthly - (Pres) tab)</t>
  </si>
  <si>
    <t>C.2.1 F</t>
  </si>
  <si>
    <t>Transp. Total</t>
  </si>
  <si>
    <t>Non-Residential Firm</t>
  </si>
  <si>
    <t>Interruptible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</si>
</sst>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3" fontId="0" fillId="0" borderId="0" xfId="1" applyFont="1" applyAlignment="1">
      <alignment horizontal="center" wrapText="1"/>
    </xf>
    <xf numFmtId="43" fontId="0" fillId="0" borderId="0" xfId="0" applyNumberFormat="1"/>
    <xf numFmtId="43" fontId="0" fillId="0" borderId="0" xfId="0" applyNumberFormat="1" applyAlignment="1">
      <alignment horizontal="center" wrapText="1"/>
    </xf>
    <xf numFmtId="43" fontId="0" fillId="0" borderId="0" xfId="1" applyFont="1" applyFill="1"/>
    <xf numFmtId="43" fontId="0" fillId="0" borderId="0" xfId="1" applyFont="1" applyFill="1" applyAlignment="1">
      <alignment horizontal="center" wrapText="1"/>
    </xf>
    <xf numFmtId="43" fontId="2" fillId="0" borderId="0" xfId="1" applyFont="1" applyFill="1" applyAlignment="1">
      <alignment horizontal="center" wrapText="1"/>
    </xf>
    <xf numFmtId="0" fontId="2" fillId="0" borderId="0" xfId="0" applyFont="1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43" fontId="2" fillId="0" borderId="0" xfId="1" applyFont="1" applyFill="1"/>
    <xf numFmtId="164" fontId="2" fillId="0" borderId="2" xfId="1" applyNumberFormat="1" applyFont="1" applyFill="1" applyBorder="1" applyAlignment="1">
      <alignment horizontal="center" wrapText="1"/>
    </xf>
    <xf numFmtId="10" fontId="0" fillId="0" borderId="0" xfId="2" applyNumberFormat="1" applyFont="1" applyFill="1"/>
    <xf numFmtId="165" fontId="0" fillId="0" borderId="0" xfId="1" applyNumberFormat="1" applyFont="1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164" fontId="3" fillId="0" borderId="0" xfId="1" applyNumberFormat="1" applyFont="1" applyFill="1"/>
    <xf numFmtId="43" fontId="3" fillId="0" borderId="0" xfId="1" applyFont="1" applyFill="1"/>
    <xf numFmtId="164" fontId="4" fillId="0" borderId="0" xfId="1" applyNumberFormat="1" applyFont="1" applyFill="1"/>
    <xf numFmtId="164" fontId="5" fillId="0" borderId="0" xfId="1" applyNumberFormat="1" applyFont="1" applyFill="1"/>
    <xf numFmtId="43" fontId="5" fillId="0" borderId="0" xfId="1" applyFont="1" applyFill="1"/>
    <xf numFmtId="43" fontId="5" fillId="0" borderId="0" xfId="1" applyFont="1" applyFill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Alignment="1">
      <alignment horizontal="right" wrapText="1"/>
    </xf>
    <xf numFmtId="43" fontId="0" fillId="0" borderId="1" xfId="0" applyNumberForma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43" fontId="0" fillId="0" borderId="0" xfId="0" applyNumberFormat="1" applyAlignment="1">
      <alignment horizontal="left" wrapText="1"/>
    </xf>
    <xf numFmtId="0" fontId="5" fillId="0" borderId="0" xfId="0" applyFont="1"/>
    <xf numFmtId="0" fontId="0" fillId="0" borderId="3" xfId="0" applyBorder="1" applyAlignment="1">
      <alignment horizontal="center" wrapText="1"/>
    </xf>
    <xf numFmtId="43" fontId="5" fillId="0" borderId="3" xfId="1" applyFont="1" applyFill="1" applyBorder="1"/>
    <xf numFmtId="43" fontId="0" fillId="0" borderId="3" xfId="1" applyFont="1" applyFill="1" applyBorder="1"/>
    <xf numFmtId="43" fontId="3" fillId="0" borderId="3" xfId="1" applyFont="1" applyFill="1" applyBorder="1"/>
    <xf numFmtId="43" fontId="0" fillId="0" borderId="3" xfId="0" applyNumberFormat="1" applyBorder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9" sqref="F19"/>
    </sheetView>
  </sheetViews>
  <sheetFormatPr defaultRowHeight="15" x14ac:dyDescent="0.25"/>
  <cols>
    <col min="1" max="1" width="25.7109375" customWidth="1"/>
    <col min="2" max="6" width="18.7109375" style="2" customWidth="1"/>
    <col min="7" max="9" width="18.7109375" customWidth="1"/>
    <col min="10" max="10" width="15" bestFit="1" customWidth="1"/>
    <col min="11" max="11" width="15.28515625" bestFit="1" customWidth="1"/>
    <col min="12" max="13" width="11.5703125" bestFit="1" customWidth="1"/>
  </cols>
  <sheetData>
    <row r="1" spans="1:11" x14ac:dyDescent="0.25">
      <c r="B1" s="2" t="s">
        <v>38</v>
      </c>
      <c r="C1" s="41" t="s">
        <v>37</v>
      </c>
      <c r="D1" s="41"/>
      <c r="E1" s="41"/>
      <c r="F1" s="41"/>
      <c r="G1" s="41"/>
      <c r="H1" s="41"/>
      <c r="I1" s="41"/>
    </row>
    <row r="2" spans="1:11" x14ac:dyDescent="0.25">
      <c r="A2" s="2"/>
      <c r="B2" s="2" t="s">
        <v>3</v>
      </c>
      <c r="C2" s="1" t="s">
        <v>1</v>
      </c>
      <c r="D2" s="1" t="s">
        <v>4</v>
      </c>
      <c r="E2" s="1" t="s">
        <v>14</v>
      </c>
      <c r="F2" s="1" t="s">
        <v>2</v>
      </c>
      <c r="G2" s="2" t="s">
        <v>15</v>
      </c>
      <c r="H2" s="21" t="s">
        <v>16</v>
      </c>
      <c r="I2" s="1" t="s">
        <v>17</v>
      </c>
      <c r="J2" s="1" t="s">
        <v>23</v>
      </c>
    </row>
    <row r="3" spans="1:11" x14ac:dyDescent="0.25">
      <c r="A3" s="2" t="s">
        <v>0</v>
      </c>
      <c r="B3" s="29">
        <v>103051755.40043777</v>
      </c>
      <c r="C3" s="6">
        <f t="shared" ref="C3:C16" si="0">+F3/12</f>
        <v>160460.25</v>
      </c>
      <c r="D3" s="28">
        <v>9938592.8194675054</v>
      </c>
      <c r="E3" s="28">
        <v>7673366.935842271</v>
      </c>
      <c r="F3" s="27">
        <v>1925523</v>
      </c>
      <c r="G3" s="28">
        <v>52550517.162381537</v>
      </c>
      <c r="H3" s="28">
        <v>50501238.238056242</v>
      </c>
      <c r="I3" s="6">
        <f t="shared" ref="I3:I8" si="1">+G3+H3</f>
        <v>103051755.40043777</v>
      </c>
      <c r="J3" s="4">
        <f>+B3-I3</f>
        <v>0</v>
      </c>
    </row>
    <row r="4" spans="1:11" x14ac:dyDescent="0.25">
      <c r="A4" s="2" t="s">
        <v>5</v>
      </c>
      <c r="B4" s="29"/>
      <c r="C4" s="6">
        <f t="shared" si="0"/>
        <v>18398.416666666668</v>
      </c>
      <c r="D4" s="28">
        <v>5607328.0143165365</v>
      </c>
      <c r="E4" s="28">
        <v>3991142.9923078744</v>
      </c>
      <c r="F4" s="27">
        <v>220781</v>
      </c>
      <c r="G4" s="28">
        <v>22900358.899592604</v>
      </c>
      <c r="H4" s="28">
        <v>28493403.153488085</v>
      </c>
      <c r="I4" s="6">
        <f t="shared" si="1"/>
        <v>51393762.053080693</v>
      </c>
      <c r="J4" s="4"/>
    </row>
    <row r="5" spans="1:11" x14ac:dyDescent="0.25">
      <c r="A5" s="2" t="s">
        <v>6</v>
      </c>
      <c r="B5" s="29"/>
      <c r="C5" s="6">
        <f t="shared" si="0"/>
        <v>2.6666666666666665</v>
      </c>
      <c r="D5" s="28">
        <v>6812.1940999999997</v>
      </c>
      <c r="E5" s="28">
        <v>5595.6557000000003</v>
      </c>
      <c r="F5" s="27">
        <v>32</v>
      </c>
      <c r="G5" s="28">
        <v>23150.279104969999</v>
      </c>
      <c r="H5" s="28">
        <v>26911.2856942574</v>
      </c>
      <c r="I5" s="6">
        <f t="shared" si="1"/>
        <v>50061.564799227403</v>
      </c>
      <c r="J5" s="4"/>
    </row>
    <row r="6" spans="1:11" x14ac:dyDescent="0.25">
      <c r="A6" s="2" t="s">
        <v>7</v>
      </c>
      <c r="B6" s="29">
        <v>51443822.090331733</v>
      </c>
      <c r="C6" s="6">
        <f t="shared" si="0"/>
        <v>18401.083333333332</v>
      </c>
      <c r="D6" s="6">
        <f>+D4+D5</f>
        <v>5614140.2084165365</v>
      </c>
      <c r="E6" s="6">
        <f>+E4+E5</f>
        <v>3996738.6480078744</v>
      </c>
      <c r="F6" s="26">
        <f>+F4+F5</f>
        <v>220813</v>
      </c>
      <c r="G6" s="6">
        <f>+G4+G5</f>
        <v>22923509.178697575</v>
      </c>
      <c r="H6" s="6">
        <f>+H4+H5</f>
        <v>28520314.439182341</v>
      </c>
      <c r="I6" s="6">
        <f t="shared" si="1"/>
        <v>51443823.617879912</v>
      </c>
      <c r="J6" s="4">
        <f>+B6-I6</f>
        <v>-1.5275481790304184</v>
      </c>
    </row>
    <row r="7" spans="1:11" x14ac:dyDescent="0.25">
      <c r="A7" s="2" t="s">
        <v>8</v>
      </c>
      <c r="B7" s="29"/>
      <c r="C7" s="6">
        <f t="shared" si="0"/>
        <v>210.33333333333334</v>
      </c>
      <c r="D7" s="28">
        <v>619481.63760000002</v>
      </c>
      <c r="E7" s="28">
        <v>418578.44360000006</v>
      </c>
      <c r="F7" s="27">
        <v>2524</v>
      </c>
      <c r="G7" s="28">
        <v>961468.21903748019</v>
      </c>
      <c r="H7" s="28">
        <v>3149855.5427205926</v>
      </c>
      <c r="I7" s="6">
        <f t="shared" si="1"/>
        <v>4111323.7617580728</v>
      </c>
      <c r="J7" s="4"/>
    </row>
    <row r="8" spans="1:11" x14ac:dyDescent="0.25">
      <c r="A8" s="2" t="s">
        <v>9</v>
      </c>
      <c r="B8" s="29"/>
      <c r="C8" s="6">
        <f t="shared" si="0"/>
        <v>6.083333333333333</v>
      </c>
      <c r="D8" s="28">
        <v>205902.31940000001</v>
      </c>
      <c r="E8" s="28">
        <v>103509.09699999999</v>
      </c>
      <c r="F8" s="27">
        <v>73</v>
      </c>
      <c r="G8" s="28">
        <v>203104.18545818</v>
      </c>
      <c r="H8" s="28">
        <v>816205.62235878315</v>
      </c>
      <c r="I8" s="6">
        <f t="shared" si="1"/>
        <v>1019309.8078169632</v>
      </c>
      <c r="J8" s="4"/>
    </row>
    <row r="9" spans="1:11" x14ac:dyDescent="0.25">
      <c r="A9" s="2" t="s">
        <v>10</v>
      </c>
      <c r="B9" s="29">
        <v>5130632.042026856</v>
      </c>
      <c r="C9" s="6">
        <f t="shared" si="0"/>
        <v>216.41666666666666</v>
      </c>
      <c r="D9" s="6">
        <f t="shared" ref="D9:I9" si="2">+D7+D8</f>
        <v>825383.95700000005</v>
      </c>
      <c r="E9" s="6">
        <f t="shared" si="2"/>
        <v>522087.54060000007</v>
      </c>
      <c r="F9" s="24">
        <f t="shared" si="2"/>
        <v>2597</v>
      </c>
      <c r="G9" s="6">
        <f t="shared" si="2"/>
        <v>1164572.4044956602</v>
      </c>
      <c r="H9" s="6">
        <f t="shared" si="2"/>
        <v>3966061.1650793757</v>
      </c>
      <c r="I9" s="6">
        <f t="shared" si="2"/>
        <v>5130633.5695750359</v>
      </c>
      <c r="J9" s="4">
        <f>+B9-I9</f>
        <v>-1.527548179961741</v>
      </c>
    </row>
    <row r="10" spans="1:11" x14ac:dyDescent="0.25">
      <c r="A10" s="2" t="s">
        <v>11</v>
      </c>
      <c r="B10" s="29">
        <v>7198509.0309889168</v>
      </c>
      <c r="C10" s="6">
        <f t="shared" si="0"/>
        <v>1501.5</v>
      </c>
      <c r="D10" s="28">
        <v>915391.31620000012</v>
      </c>
      <c r="E10" s="28">
        <v>654493.08730000001</v>
      </c>
      <c r="F10" s="27">
        <v>18018</v>
      </c>
      <c r="G10" s="28">
        <v>2545224.801407455</v>
      </c>
      <c r="H10" s="28">
        <v>4653284.2295814613</v>
      </c>
      <c r="I10" s="12">
        <f>+G10+H10</f>
        <v>7198509.0309889168</v>
      </c>
      <c r="J10" s="4">
        <f>+B10-I10</f>
        <v>0</v>
      </c>
    </row>
    <row r="11" spans="1:11" x14ac:dyDescent="0.25">
      <c r="A11" s="2" t="s">
        <v>21</v>
      </c>
      <c r="B11" s="29"/>
      <c r="C11" s="6">
        <f t="shared" si="0"/>
        <v>71</v>
      </c>
      <c r="D11" s="28">
        <v>8614485.2873999998</v>
      </c>
      <c r="E11" s="28">
        <v>3754366.0079999999</v>
      </c>
      <c r="F11" s="27">
        <v>852</v>
      </c>
      <c r="G11" s="28">
        <v>8179587.6445077807</v>
      </c>
      <c r="H11" s="6">
        <v>0</v>
      </c>
      <c r="I11" s="6">
        <f>+G11+H11</f>
        <v>8179587.6445077807</v>
      </c>
      <c r="J11" s="4"/>
    </row>
    <row r="12" spans="1:11" x14ac:dyDescent="0.25">
      <c r="A12" s="2" t="s">
        <v>18</v>
      </c>
      <c r="B12" s="29"/>
      <c r="C12" s="6">
        <f t="shared" si="0"/>
        <v>117.92948717948717</v>
      </c>
      <c r="D12" s="28">
        <v>7910070.2277023811</v>
      </c>
      <c r="E12" s="28">
        <v>3597159.4489107146</v>
      </c>
      <c r="F12" s="27">
        <v>1415.153846153846</v>
      </c>
      <c r="G12" s="28">
        <v>9273095.0083004031</v>
      </c>
      <c r="H12" s="6">
        <v>0</v>
      </c>
      <c r="I12" s="6">
        <f>+G12+H12</f>
        <v>9273095.0083004031</v>
      </c>
      <c r="J12" s="4"/>
    </row>
    <row r="13" spans="1:11" x14ac:dyDescent="0.25">
      <c r="A13" s="2" t="s">
        <v>20</v>
      </c>
      <c r="B13" s="29"/>
      <c r="C13" s="6">
        <f t="shared" si="0"/>
        <v>0</v>
      </c>
      <c r="D13" s="28">
        <v>0</v>
      </c>
      <c r="E13" s="28">
        <v>0</v>
      </c>
      <c r="F13" s="27">
        <v>0</v>
      </c>
      <c r="G13" s="27">
        <v>0</v>
      </c>
      <c r="H13" s="6">
        <v>0</v>
      </c>
      <c r="I13" s="6">
        <f>+G13+H13</f>
        <v>0</v>
      </c>
      <c r="J13" s="4"/>
    </row>
    <row r="14" spans="1:11" x14ac:dyDescent="0.25">
      <c r="A14" s="2" t="s">
        <v>19</v>
      </c>
      <c r="B14" s="28"/>
      <c r="C14" s="6">
        <f t="shared" si="0"/>
        <v>117.92948717948717</v>
      </c>
      <c r="D14" s="6">
        <f t="shared" ref="D14:I14" si="3">+D12+D13</f>
        <v>7910070.2277023811</v>
      </c>
      <c r="E14" s="6">
        <f t="shared" si="3"/>
        <v>3597159.4489107146</v>
      </c>
      <c r="F14" s="25">
        <f t="shared" si="3"/>
        <v>1415.153846153846</v>
      </c>
      <c r="G14" s="6">
        <f t="shared" si="3"/>
        <v>9273095.0083004031</v>
      </c>
      <c r="H14" s="6">
        <f t="shared" si="3"/>
        <v>0</v>
      </c>
      <c r="I14" s="6">
        <f t="shared" si="3"/>
        <v>9273095.0083004031</v>
      </c>
      <c r="J14" s="4"/>
    </row>
    <row r="15" spans="1:11" x14ac:dyDescent="0.25">
      <c r="A15" s="36" t="s">
        <v>39</v>
      </c>
      <c r="B15" s="37">
        <v>20570920.755260002</v>
      </c>
      <c r="C15" s="38">
        <f t="shared" si="0"/>
        <v>188.92948717948715</v>
      </c>
      <c r="D15" s="38">
        <f t="shared" ref="D15:H15" si="4">+D11+D14</f>
        <v>16524555.515102381</v>
      </c>
      <c r="E15" s="38">
        <f t="shared" si="4"/>
        <v>7351525.4569107145</v>
      </c>
      <c r="F15" s="39">
        <f>+F11+F14</f>
        <v>2267.1538461538457</v>
      </c>
      <c r="G15" s="38">
        <f t="shared" si="4"/>
        <v>17452682.652808182</v>
      </c>
      <c r="H15" s="38">
        <f t="shared" si="4"/>
        <v>0</v>
      </c>
      <c r="I15" s="38">
        <f>+I11+I14</f>
        <v>17452682.652808182</v>
      </c>
      <c r="J15" s="40">
        <f>+B15-I15-I16</f>
        <v>-1.527548179961741</v>
      </c>
      <c r="K15" s="4"/>
    </row>
    <row r="16" spans="1:11" x14ac:dyDescent="0.25">
      <c r="A16" s="2" t="s">
        <v>22</v>
      </c>
      <c r="B16" s="30"/>
      <c r="C16" s="6">
        <f t="shared" si="0"/>
        <v>12.846153846153841</v>
      </c>
      <c r="D16" s="28">
        <v>15505182.068</v>
      </c>
      <c r="E16" s="28">
        <v>6990870.6610000003</v>
      </c>
      <c r="F16" s="27">
        <v>154.1538461538461</v>
      </c>
      <c r="G16" s="28">
        <v>3118239.63</v>
      </c>
      <c r="H16" s="6">
        <v>0</v>
      </c>
      <c r="I16" s="12">
        <f>+G16+H16</f>
        <v>3118239.63</v>
      </c>
      <c r="J16" s="4"/>
    </row>
    <row r="17" spans="1:10" x14ac:dyDescent="0.25">
      <c r="A17" s="2" t="s">
        <v>12</v>
      </c>
      <c r="B17" s="29">
        <v>426373.89996584691</v>
      </c>
      <c r="C17" s="6">
        <v>0</v>
      </c>
      <c r="D17" s="28">
        <v>0</v>
      </c>
      <c r="E17" s="28">
        <v>0</v>
      </c>
      <c r="F17" s="35">
        <v>0</v>
      </c>
      <c r="G17" s="29">
        <v>0</v>
      </c>
      <c r="H17" s="6">
        <v>0</v>
      </c>
      <c r="I17" s="8">
        <v>426373.89996584691</v>
      </c>
      <c r="J17" s="4">
        <f>+B17-I17</f>
        <v>0</v>
      </c>
    </row>
    <row r="18" spans="1:10" x14ac:dyDescent="0.25">
      <c r="A18" s="2"/>
      <c r="B18" s="8"/>
      <c r="C18" s="6"/>
      <c r="D18" s="6"/>
      <c r="E18" s="6"/>
      <c r="F18"/>
      <c r="G18" s="6"/>
      <c r="H18" s="6"/>
      <c r="I18" s="6"/>
    </row>
    <row r="19" spans="1:10" x14ac:dyDescent="0.25">
      <c r="A19" s="2" t="s">
        <v>13</v>
      </c>
      <c r="B19" s="8">
        <f t="shared" ref="B19:H19" si="5">B3+B6+B9+B10+B15+B16+B17</f>
        <v>187822013.2190111</v>
      </c>
      <c r="C19" s="8">
        <f t="shared" si="5"/>
        <v>180781.02564102566</v>
      </c>
      <c r="D19" s="8">
        <f>D3+D6+D9+D10+D15+D16+D17</f>
        <v>49323245.884186417</v>
      </c>
      <c r="E19" s="8">
        <f>E3+E6+E9+E10+E15+E16+E17</f>
        <v>27189082.329660863</v>
      </c>
      <c r="F19" s="22">
        <f>F3+F6+F9+F10+F15+F16+F17</f>
        <v>2169372.307692308</v>
      </c>
      <c r="G19" s="8">
        <f>G3+G6+G9+G10+G15+G16+G17</f>
        <v>99754745.829790413</v>
      </c>
      <c r="H19" s="8">
        <f t="shared" si="5"/>
        <v>87640898.071899414</v>
      </c>
      <c r="I19" s="8">
        <f>I3+I6+I9+I10+I15+I16+I17</f>
        <v>187822017.80165568</v>
      </c>
      <c r="J19" s="4">
        <f>+B19-I19</f>
        <v>-4.5826445817947388</v>
      </c>
    </row>
    <row r="20" spans="1:10" x14ac:dyDescent="0.25">
      <c r="A20" s="2"/>
      <c r="C20"/>
      <c r="D20" s="6"/>
      <c r="E20" s="6"/>
      <c r="F20" s="6"/>
    </row>
    <row r="21" spans="1:10" x14ac:dyDescent="0.25">
      <c r="D21" s="5">
        <f>+D3+D4+D7+D10</f>
        <v>17080793.78758404</v>
      </c>
      <c r="E21" s="5">
        <f>+E3+E4+E7+E10</f>
        <v>12737581.459050147</v>
      </c>
      <c r="F21"/>
    </row>
    <row r="22" spans="1:10" x14ac:dyDescent="0.25">
      <c r="E22"/>
      <c r="F22"/>
    </row>
    <row r="23" spans="1:10" x14ac:dyDescent="0.25">
      <c r="E23" s="14">
        <f>+E21/D21</f>
        <v>0.74572538123544607</v>
      </c>
      <c r="F23"/>
    </row>
  </sheetData>
  <mergeCells count="1">
    <mergeCell ref="C1:I1"/>
  </mergeCell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AF36-DAEB-4DB0-9F7C-CB55515984ED}">
  <sheetPr>
    <pageSetUpPr fitToPage="1"/>
  </sheetPr>
  <dimension ref="A1:U32"/>
  <sheetViews>
    <sheetView tabSelected="1" workbookViewId="0">
      <selection activeCell="F19" sqref="F19"/>
    </sheetView>
  </sheetViews>
  <sheetFormatPr defaultRowHeight="15" x14ac:dyDescent="0.25"/>
  <cols>
    <col min="1" max="1" width="20.7109375" style="19" customWidth="1"/>
    <col min="2" max="11" width="18.7109375" customWidth="1"/>
  </cols>
  <sheetData>
    <row r="1" spans="1:20" ht="30" x14ac:dyDescent="0.25">
      <c r="B1" s="2" t="s">
        <v>36</v>
      </c>
      <c r="C1" s="11" t="s">
        <v>32</v>
      </c>
      <c r="D1" s="11" t="s">
        <v>33</v>
      </c>
      <c r="E1" s="10" t="s">
        <v>34</v>
      </c>
      <c r="F1" s="10" t="s">
        <v>35</v>
      </c>
    </row>
    <row r="2" spans="1:20" x14ac:dyDescent="0.25">
      <c r="A2" s="20" t="s">
        <v>0</v>
      </c>
      <c r="B2" s="5">
        <f>+(C2+D2)/(E2+F2)</f>
        <v>0.96904359941039742</v>
      </c>
      <c r="C2" s="31">
        <v>153941.29715873633</v>
      </c>
      <c r="D2" s="31">
        <v>153731.98374126368</v>
      </c>
      <c r="E2" s="27">
        <v>158859</v>
      </c>
      <c r="F2" s="27">
        <v>158643</v>
      </c>
    </row>
    <row r="3" spans="1:20" x14ac:dyDescent="0.25">
      <c r="A3" s="20"/>
      <c r="B3" s="5"/>
      <c r="C3" s="31"/>
      <c r="D3" s="31"/>
      <c r="E3" s="27"/>
      <c r="F3" s="27"/>
    </row>
    <row r="4" spans="1:20" x14ac:dyDescent="0.25">
      <c r="A4" s="20" t="s">
        <v>5</v>
      </c>
      <c r="B4" s="5">
        <f t="shared" ref="B4:B7" si="0">+(C4+D4)/(E4+F4)</f>
        <v>8.4150800157489165</v>
      </c>
      <c r="C4" s="29">
        <v>150680.35940157488</v>
      </c>
      <c r="D4" s="29">
        <v>150226.0718015749</v>
      </c>
      <c r="E4" s="27">
        <v>17906</v>
      </c>
      <c r="F4" s="27">
        <v>17852</v>
      </c>
    </row>
    <row r="5" spans="1:20" x14ac:dyDescent="0.25">
      <c r="A5" s="20" t="s">
        <v>8</v>
      </c>
      <c r="B5" s="5">
        <f t="shared" si="0"/>
        <v>89.699957655502402</v>
      </c>
      <c r="C5" s="29">
        <v>15877.684700000002</v>
      </c>
      <c r="D5" s="29">
        <v>21616.8976</v>
      </c>
      <c r="E5" s="27">
        <v>203</v>
      </c>
      <c r="F5" s="27">
        <v>215</v>
      </c>
    </row>
    <row r="6" spans="1:20" x14ac:dyDescent="0.25">
      <c r="A6" s="20" t="s">
        <v>11</v>
      </c>
      <c r="B6" s="5">
        <f t="shared" si="0"/>
        <v>16.179897988602079</v>
      </c>
      <c r="C6" s="29">
        <v>24108.536100000001</v>
      </c>
      <c r="D6" s="29">
        <v>24156.099600000001</v>
      </c>
      <c r="E6" s="27">
        <v>1490</v>
      </c>
      <c r="F6" s="27">
        <v>1493</v>
      </c>
    </row>
    <row r="7" spans="1:20" x14ac:dyDescent="0.25">
      <c r="A7" s="20" t="s">
        <v>40</v>
      </c>
      <c r="B7" s="32">
        <f t="shared" si="0"/>
        <v>9.8742472791222902</v>
      </c>
      <c r="C7" s="33">
        <f>SUM(C4:C6)</f>
        <v>190666.58020157489</v>
      </c>
      <c r="D7" s="33">
        <f t="shared" ref="D7:F7" si="1">SUM(D4:D6)</f>
        <v>195999.06900157488</v>
      </c>
      <c r="E7" s="33">
        <f t="shared" si="1"/>
        <v>19599</v>
      </c>
      <c r="F7" s="33">
        <f t="shared" si="1"/>
        <v>19560</v>
      </c>
    </row>
    <row r="8" spans="1:20" x14ac:dyDescent="0.25">
      <c r="A8" s="20"/>
      <c r="B8" s="5"/>
      <c r="C8" s="29"/>
      <c r="D8" s="29"/>
      <c r="E8" s="27"/>
      <c r="F8" s="27"/>
    </row>
    <row r="9" spans="1:20" x14ac:dyDescent="0.25">
      <c r="A9" s="20" t="s">
        <v>18</v>
      </c>
      <c r="B9" s="5">
        <f>+(C9+D9)/(E9+F9)</f>
        <v>5092.0075744759706</v>
      </c>
      <c r="C9" s="29">
        <v>545201.34872023796</v>
      </c>
      <c r="D9" s="29">
        <v>649853.65972023783</v>
      </c>
      <c r="E9" s="27">
        <v>117.34615384615384</v>
      </c>
      <c r="F9" s="27">
        <v>117.34615384615384</v>
      </c>
    </row>
    <row r="10" spans="1:20" x14ac:dyDescent="0.25">
      <c r="A10" s="20"/>
      <c r="B10" s="2"/>
      <c r="C10" s="7"/>
      <c r="D10" s="7"/>
    </row>
    <row r="11" spans="1:20" ht="15.75" thickBot="1" x14ac:dyDescent="0.3">
      <c r="A11" s="20" t="s">
        <v>13</v>
      </c>
      <c r="B11" s="5">
        <f>+(C11+D11)/(E11+F11)</f>
        <v>5.2939667787155935</v>
      </c>
      <c r="C11" s="13">
        <f>C2+C7+C9</f>
        <v>889809.22608054918</v>
      </c>
      <c r="D11" s="13">
        <f t="shared" ref="D11:F11" si="2">D2+D7+D9</f>
        <v>999584.71246307646</v>
      </c>
      <c r="E11" s="13">
        <f t="shared" si="2"/>
        <v>178575.34615384616</v>
      </c>
      <c r="F11" s="13">
        <f t="shared" si="2"/>
        <v>178320.34615384616</v>
      </c>
    </row>
    <row r="12" spans="1:20" ht="15.75" thickTop="1" x14ac:dyDescent="0.25">
      <c r="B12" s="2"/>
      <c r="C12" s="3"/>
      <c r="D12" s="3"/>
      <c r="E12" s="3"/>
      <c r="F12" s="2"/>
    </row>
    <row r="13" spans="1:20" x14ac:dyDescent="0.25">
      <c r="B13" s="2"/>
      <c r="C13" s="3"/>
      <c r="D13" s="3"/>
      <c r="E13" s="3"/>
      <c r="F13" s="2"/>
    </row>
    <row r="14" spans="1:20" ht="30" x14ac:dyDescent="0.25">
      <c r="B14" s="1" t="s">
        <v>4</v>
      </c>
      <c r="C14" s="1" t="s">
        <v>2</v>
      </c>
      <c r="D14" s="2" t="s">
        <v>24</v>
      </c>
      <c r="E14" s="3" t="s">
        <v>25</v>
      </c>
      <c r="F14" s="3" t="s">
        <v>26</v>
      </c>
      <c r="G14" s="3" t="s">
        <v>27</v>
      </c>
      <c r="H14" s="2" t="s">
        <v>28</v>
      </c>
      <c r="I14" s="2" t="s">
        <v>29</v>
      </c>
      <c r="J14" s="2" t="s">
        <v>30</v>
      </c>
      <c r="K14" s="2" t="s">
        <v>31</v>
      </c>
    </row>
    <row r="15" spans="1:20" x14ac:dyDescent="0.25">
      <c r="A15" s="20" t="s">
        <v>0</v>
      </c>
      <c r="B15" s="34">
        <f>+factors!D3</f>
        <v>9938592.8194675054</v>
      </c>
      <c r="C15" s="34">
        <f>+factors!F3</f>
        <v>1925523</v>
      </c>
      <c r="D15" s="5">
        <f>+B2*C15</f>
        <v>1865915.7386675067</v>
      </c>
      <c r="E15" s="15">
        <f>+D15/365/(C15/12)</f>
        <v>3.1858967651848681E-2</v>
      </c>
      <c r="F15" s="3">
        <f>B15-D15</f>
        <v>8072677.0807999987</v>
      </c>
      <c r="G15" s="16">
        <v>3857</v>
      </c>
      <c r="H15" s="15">
        <f>+F15/G15/(C15/12)</f>
        <v>1.3043690250365685E-2</v>
      </c>
      <c r="I15">
        <v>60</v>
      </c>
      <c r="J15" s="17">
        <f>+E15+H15*I15</f>
        <v>0.81448038267378975</v>
      </c>
      <c r="K15" s="18">
        <f>+J15*(C15/12)</f>
        <v>130691.72582393198</v>
      </c>
      <c r="L15" s="18"/>
      <c r="M15" s="19"/>
      <c r="N15" s="23"/>
      <c r="O15" s="3"/>
      <c r="P15" s="16"/>
      <c r="Q15" s="15"/>
      <c r="S15" s="17"/>
      <c r="T15" s="18"/>
    </row>
    <row r="16" spans="1:20" x14ac:dyDescent="0.25">
      <c r="A16" s="20"/>
      <c r="B16" s="20"/>
      <c r="C16" s="20"/>
      <c r="D16" s="5"/>
      <c r="E16" s="15"/>
      <c r="F16" s="3"/>
      <c r="G16" s="16"/>
      <c r="H16" s="15"/>
      <c r="J16" s="17"/>
      <c r="K16" s="18"/>
      <c r="L16" s="18"/>
      <c r="M16" s="19"/>
      <c r="N16" s="23"/>
      <c r="O16" s="3"/>
      <c r="P16" s="16"/>
      <c r="Q16" s="15"/>
      <c r="S16" s="17"/>
      <c r="T16" s="18"/>
    </row>
    <row r="17" spans="1:21" x14ac:dyDescent="0.25">
      <c r="A17" s="20"/>
      <c r="B17" s="20"/>
      <c r="C17" s="20"/>
      <c r="D17" s="5"/>
      <c r="E17" s="15"/>
      <c r="F17" s="3"/>
      <c r="G17" s="16"/>
      <c r="H17" s="15"/>
      <c r="J17" s="17"/>
      <c r="K17" s="18"/>
      <c r="L17" s="18"/>
      <c r="M17" s="19"/>
      <c r="N17" s="23"/>
      <c r="O17" s="3"/>
      <c r="P17" s="16"/>
      <c r="Q17" s="15"/>
      <c r="S17" s="17"/>
      <c r="T17" s="18"/>
    </row>
    <row r="18" spans="1:21" x14ac:dyDescent="0.25">
      <c r="A18" s="20" t="s">
        <v>5</v>
      </c>
      <c r="B18" s="34">
        <f>+factors!D4</f>
        <v>5607328.0143165365</v>
      </c>
      <c r="C18" s="34">
        <f>+factors!F4</f>
        <v>220781</v>
      </c>
      <c r="D18" s="5">
        <f>+B4*C18</f>
        <v>1857889.7809570616</v>
      </c>
      <c r="E18" s="15">
        <f t="shared" ref="E18:E20" si="3">+D18/365/(C18/12)</f>
        <v>0.27666016490133422</v>
      </c>
      <c r="F18" s="3">
        <f t="shared" ref="F18:F20" si="4">B18-D18</f>
        <v>3749438.2333594747</v>
      </c>
      <c r="G18" s="16">
        <v>3857</v>
      </c>
      <c r="H18" s="15">
        <f t="shared" ref="H18:H20" si="5">+F18/G18/(C18/12)</f>
        <v>5.2836752248909317E-2</v>
      </c>
      <c r="I18">
        <v>60</v>
      </c>
      <c r="J18" s="17">
        <f>+E18+H18*I18</f>
        <v>3.4468652998358933</v>
      </c>
      <c r="K18" s="18">
        <f t="shared" ref="K18:K20" si="6">+J18*(C18/12)</f>
        <v>63416.863980255701</v>
      </c>
      <c r="L18" s="18"/>
      <c r="N18" s="23"/>
      <c r="O18" s="3"/>
      <c r="P18" s="16"/>
      <c r="Q18" s="15"/>
      <c r="S18" s="17"/>
      <c r="T18" s="18"/>
      <c r="U18" s="18"/>
    </row>
    <row r="19" spans="1:21" x14ac:dyDescent="0.25">
      <c r="A19" s="20" t="s">
        <v>8</v>
      </c>
      <c r="B19" s="34">
        <f>+factors!D7</f>
        <v>619481.63760000002</v>
      </c>
      <c r="C19" s="34">
        <f>+factors!F7</f>
        <v>2524</v>
      </c>
      <c r="D19" s="5">
        <f>+B5*C19</f>
        <v>226402.69312248807</v>
      </c>
      <c r="E19" s="15">
        <f t="shared" si="3"/>
        <v>2.9490397037425446</v>
      </c>
      <c r="F19" s="3">
        <f t="shared" si="4"/>
        <v>393078.94447751192</v>
      </c>
      <c r="G19" s="16">
        <v>3857</v>
      </c>
      <c r="H19" s="15">
        <f t="shared" si="5"/>
        <v>0.4845315239431448</v>
      </c>
      <c r="I19">
        <v>60</v>
      </c>
      <c r="J19" s="17">
        <f>+E19+H19*I19</f>
        <v>32.020931140331236</v>
      </c>
      <c r="K19" s="18">
        <f t="shared" si="6"/>
        <v>6735.0691831830036</v>
      </c>
      <c r="L19" s="18"/>
      <c r="N19" s="23"/>
      <c r="O19" s="3"/>
      <c r="P19" s="16"/>
      <c r="Q19" s="15"/>
      <c r="S19" s="17"/>
      <c r="T19" s="18"/>
    </row>
    <row r="20" spans="1:21" x14ac:dyDescent="0.25">
      <c r="A20" s="20" t="s">
        <v>11</v>
      </c>
      <c r="B20" s="34">
        <f>+factors!D10</f>
        <v>915391.31620000012</v>
      </c>
      <c r="C20" s="34">
        <f>+factors!F10</f>
        <v>18018</v>
      </c>
      <c r="D20" s="5">
        <f>+B6*C20</f>
        <v>291529.40195863228</v>
      </c>
      <c r="E20" s="15">
        <f t="shared" si="3"/>
        <v>0.53194185168006836</v>
      </c>
      <c r="F20" s="3">
        <f t="shared" si="4"/>
        <v>623861.91424136783</v>
      </c>
      <c r="G20" s="16">
        <v>3857</v>
      </c>
      <c r="H20" s="15">
        <f t="shared" si="5"/>
        <v>0.10772425469981886</v>
      </c>
      <c r="I20">
        <v>60</v>
      </c>
      <c r="J20" s="17">
        <f>+E20+H20*I20</f>
        <v>6.9953971336691998</v>
      </c>
      <c r="K20" s="18">
        <f t="shared" si="6"/>
        <v>10503.588796204303</v>
      </c>
      <c r="M20" s="5"/>
      <c r="N20" s="23"/>
      <c r="O20" s="3"/>
      <c r="P20" s="16"/>
      <c r="Q20" s="15"/>
      <c r="S20" s="17"/>
      <c r="T20" s="18"/>
    </row>
    <row r="21" spans="1:21" x14ac:dyDescent="0.25">
      <c r="A21" s="20" t="s">
        <v>40</v>
      </c>
      <c r="B21" s="34">
        <f>SUM(B18:B20)</f>
        <v>7142200.9681165367</v>
      </c>
      <c r="C21" s="34">
        <f>SUM(C18:C20)</f>
        <v>241323</v>
      </c>
      <c r="D21" s="34">
        <f>SUM(D18:D20)</f>
        <v>2375821.8760381816</v>
      </c>
      <c r="E21" s="15">
        <f>+D21/365/(C21/12)</f>
        <v>0.32367081613811827</v>
      </c>
      <c r="F21" s="3">
        <f>B21-D21</f>
        <v>4766379.0920783551</v>
      </c>
      <c r="G21" s="16">
        <v>3857</v>
      </c>
      <c r="H21" s="15">
        <f>+F21/G21/(C21/12)</f>
        <v>6.1449941306383087E-2</v>
      </c>
      <c r="I21">
        <v>60</v>
      </c>
      <c r="J21" s="17">
        <f>+E21+H21*I21</f>
        <v>4.0106672945211033</v>
      </c>
      <c r="K21" s="18">
        <f>+J21*(C21/12)</f>
        <v>80655.521959643011</v>
      </c>
      <c r="M21" s="5"/>
      <c r="N21" s="23"/>
      <c r="O21" s="3"/>
      <c r="P21" s="16"/>
      <c r="Q21" s="15"/>
      <c r="S21" s="17"/>
      <c r="T21" s="18"/>
    </row>
    <row r="22" spans="1:21" x14ac:dyDescent="0.25">
      <c r="A22" s="20"/>
      <c r="B22" s="20"/>
      <c r="C22" s="20"/>
      <c r="D22" s="5"/>
      <c r="E22" s="15"/>
      <c r="F22" s="3"/>
      <c r="G22" s="16"/>
      <c r="H22" s="15"/>
      <c r="J22" s="17"/>
      <c r="K22" s="18"/>
      <c r="M22" s="5"/>
      <c r="N22" s="23"/>
      <c r="O22" s="3"/>
      <c r="P22" s="16"/>
      <c r="Q22" s="15"/>
      <c r="S22" s="17"/>
      <c r="T22" s="18"/>
    </row>
    <row r="23" spans="1:21" ht="16.5" customHeight="1" x14ac:dyDescent="0.25">
      <c r="A23" s="20" t="s">
        <v>19</v>
      </c>
      <c r="B23" s="34">
        <f>+factors!D14</f>
        <v>7910070.2277023811</v>
      </c>
      <c r="C23" s="34">
        <f>+factors!F14</f>
        <v>1415.153846153846</v>
      </c>
      <c r="D23" s="5">
        <f>B9*C23</f>
        <v>7205974.1036641859</v>
      </c>
      <c r="E23" s="15">
        <f>+D23/365/(C23/12)</f>
        <v>167.40846820194969</v>
      </c>
      <c r="F23" s="3">
        <f>B23-D23</f>
        <v>704096.12403819524</v>
      </c>
      <c r="G23" s="16">
        <v>3857</v>
      </c>
      <c r="H23" s="15">
        <f>+F23/G23/(C23/12)</f>
        <v>1.5479606080722017</v>
      </c>
      <c r="I23">
        <v>60</v>
      </c>
      <c r="J23" s="17">
        <f>+E23+H23*I23</f>
        <v>260.28610468628176</v>
      </c>
      <c r="K23" s="18">
        <f>+J23*(C23/12)</f>
        <v>30695.406845599518</v>
      </c>
      <c r="L23" s="9"/>
      <c r="M23" s="5"/>
      <c r="N23" s="23"/>
      <c r="O23" s="3"/>
      <c r="P23" s="16"/>
      <c r="Q23" s="15"/>
      <c r="S23" s="17"/>
      <c r="T23" s="18"/>
    </row>
    <row r="24" spans="1:21" x14ac:dyDescent="0.25">
      <c r="A24" s="20"/>
      <c r="B24" s="20"/>
      <c r="C24" s="20"/>
      <c r="D24" s="5"/>
      <c r="E24" s="15"/>
      <c r="F24" s="3"/>
      <c r="G24" s="16"/>
      <c r="H24" s="15"/>
      <c r="J24" s="17"/>
      <c r="K24" s="18"/>
      <c r="L24" s="9"/>
      <c r="M24" s="5"/>
      <c r="N24" s="23"/>
      <c r="O24" s="3"/>
      <c r="P24" s="16"/>
      <c r="Q24" s="15"/>
      <c r="S24" s="17"/>
      <c r="T24" s="18"/>
    </row>
    <row r="25" spans="1:21" x14ac:dyDescent="0.25">
      <c r="A25" s="20" t="s">
        <v>41</v>
      </c>
      <c r="B25" s="34">
        <f>+SUM(factors!D5,factors!D8,factors!D11,factors!D16)</f>
        <v>24332381.868900001</v>
      </c>
      <c r="C25" s="34">
        <f>+SUM(factors!F5,factors!F8,factors!F11,factors!F16)</f>
        <v>1111.1538461538462</v>
      </c>
      <c r="D25" s="5">
        <f>+B25</f>
        <v>24332381.868900001</v>
      </c>
      <c r="E25" s="15"/>
      <c r="F25" s="3">
        <v>0</v>
      </c>
      <c r="G25" s="16"/>
      <c r="H25" s="15"/>
      <c r="J25" s="17"/>
      <c r="K25" s="18"/>
      <c r="L25" s="9"/>
      <c r="M25" s="5"/>
      <c r="N25" s="23"/>
      <c r="O25" s="3"/>
      <c r="P25" s="16"/>
      <c r="Q25" s="15"/>
      <c r="S25" s="17"/>
      <c r="T25" s="18"/>
    </row>
    <row r="26" spans="1:21" x14ac:dyDescent="0.25">
      <c r="A26" s="20"/>
      <c r="B26" s="20"/>
      <c r="C26" s="20"/>
      <c r="D26" s="5"/>
      <c r="E26" s="15"/>
      <c r="F26" s="3"/>
      <c r="G26" s="16"/>
      <c r="H26" s="15"/>
      <c r="J26" s="17"/>
      <c r="K26" s="18"/>
      <c r="L26" s="9"/>
      <c r="M26" s="5"/>
      <c r="N26" s="23"/>
      <c r="O26" s="3"/>
      <c r="P26" s="16"/>
      <c r="Q26" s="15"/>
      <c r="S26" s="17"/>
      <c r="T26" s="18"/>
    </row>
    <row r="27" spans="1:21" x14ac:dyDescent="0.25">
      <c r="A27" s="20" t="s">
        <v>13</v>
      </c>
      <c r="B27" s="34">
        <f>SUM(B15,B21:B25)</f>
        <v>49323245.884186424</v>
      </c>
      <c r="C27" s="34">
        <f>SUM(C15,C21:C25)</f>
        <v>2169372.307692308</v>
      </c>
      <c r="D27" s="34">
        <f>SUM(D15,D21:D25)</f>
        <v>35780093.587269872</v>
      </c>
      <c r="E27" s="8">
        <v>0</v>
      </c>
      <c r="F27" s="34">
        <f>SUM(F15,F21:F25)</f>
        <v>13543152.29691655</v>
      </c>
      <c r="G27" s="8">
        <v>0</v>
      </c>
      <c r="H27" s="8"/>
      <c r="I27" s="8"/>
      <c r="J27" s="8"/>
      <c r="K27" s="22">
        <f>K15+K21+K23</f>
        <v>242042.6546291745</v>
      </c>
      <c r="L27" s="18"/>
      <c r="M27" s="8"/>
      <c r="N27" s="8"/>
      <c r="O27" s="8"/>
      <c r="P27" s="8"/>
      <c r="Q27" s="8"/>
      <c r="R27" s="8"/>
      <c r="S27" s="8"/>
      <c r="T27" s="8"/>
    </row>
    <row r="28" spans="1:21" x14ac:dyDescent="0.25">
      <c r="B28" s="19"/>
      <c r="C28" s="19"/>
      <c r="D28" s="2"/>
      <c r="E28" s="2"/>
      <c r="F28" s="2"/>
      <c r="G28" s="2"/>
      <c r="H28" s="2"/>
      <c r="K28" s="18"/>
    </row>
    <row r="29" spans="1:21" x14ac:dyDescent="0.25">
      <c r="B29" s="19"/>
      <c r="C29" s="19"/>
      <c r="D29" s="2"/>
      <c r="E29" s="2"/>
      <c r="F29" s="2"/>
      <c r="G29" s="2"/>
      <c r="H29" s="2"/>
      <c r="J29" s="9"/>
    </row>
    <row r="30" spans="1:21" x14ac:dyDescent="0.25">
      <c r="B30" s="19"/>
      <c r="C30" s="19"/>
      <c r="D30" s="2"/>
      <c r="E30" s="2"/>
      <c r="F30" s="2"/>
      <c r="G30" s="2"/>
      <c r="H30" s="2"/>
      <c r="J30" s="9"/>
    </row>
    <row r="31" spans="1:21" x14ac:dyDescent="0.25">
      <c r="B31" s="19"/>
      <c r="C31" s="19"/>
      <c r="D31" s="2"/>
      <c r="E31" s="2"/>
      <c r="F31" s="2"/>
      <c r="G31" s="2"/>
      <c r="H31" s="2"/>
      <c r="J31" s="9"/>
    </row>
    <row r="32" spans="1:21" x14ac:dyDescent="0.25">
      <c r="B32" s="2"/>
      <c r="C32" s="2"/>
      <c r="D32" s="2"/>
      <c r="E32" s="2"/>
      <c r="F32" s="2"/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factors</vt:lpstr>
      <vt:lpstr>class peakday</vt:lpstr>
      <vt:lpstr>factors!Print_Area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Wilen, Eric</cp:lastModifiedBy>
  <cp:lastPrinted>2024-10-25T03:44:34Z</cp:lastPrinted>
  <dcterms:created xsi:type="dcterms:W3CDTF">2017-09-10T18:21:26Z</dcterms:created>
  <dcterms:modified xsi:type="dcterms:W3CDTF">2024-10-25T03:44:38Z</dcterms:modified>
</cp:coreProperties>
</file>