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omments1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omments2.xml" ContentType="application/vnd.openxmlformats-officedocument.spreadsheetml.comments+xml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omments3.xml" ContentType="application/vnd.openxmlformats-officedocument.spreadsheetml.comments+xml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omments4.xml" ContentType="application/vnd.openxmlformats-officedocument.spreadsheetml.comments+xml"/>
  <Override PartName="/xl/customProperty2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W:\MdSt-KY Rate Case\2024 KY Rate Case\Relied Upons - Filing Copy\"/>
    </mc:Choice>
  </mc:AlternateContent>
  <xr:revisionPtr revIDLastSave="0" documentId="13_ncr:1_{6A1A455C-AACB-424A-9686-C7E4C8FC4D16}" xr6:coauthVersionLast="47" xr6:coauthVersionMax="47" xr10:uidLastSave="{00000000-0000-0000-0000-000000000000}"/>
  <bookViews>
    <workbookView xWindow="-120" yWindow="-120" windowWidth="29040" windowHeight="15720" firstSheet="1" activeTab="1" xr2:uid="{52E82702-0065-4E98-BD91-BAC7ECE22AC9}"/>
  </bookViews>
  <sheets>
    <sheet name="Dashboard" sheetId="83" state="hidden" r:id="rId1"/>
    <sheet name="Summary of Rates" sheetId="108" r:id="rId2"/>
    <sheet name="Summary of Revenue" sheetId="72" r:id="rId3"/>
    <sheet name="Summary of Stats" sheetId="78" r:id="rId4"/>
    <sheet name="Bill Frequency" sheetId="20" r:id="rId5"/>
    <sheet name="Test Year Revenue Present" sheetId="76" r:id="rId6"/>
    <sheet name="Contract &amp; Vol Adj" sheetId="56" r:id="rId7"/>
    <sheet name="WNA Summary" sheetId="55" r:id="rId8"/>
    <sheet name="WNA" sheetId="113" r:id="rId9"/>
    <sheet name="Test Year Monthly - (Pres)" sheetId="65" r:id="rId10"/>
    <sheet name="Test Year Revenue Proposed" sheetId="91" r:id="rId11"/>
    <sheet name="Test Year Monthly - (Prop)" sheetId="115" r:id="rId12"/>
    <sheet name="Rate Design" sheetId="44" r:id="rId13"/>
    <sheet name="Monthly Forecast" sheetId="60" r:id="rId14"/>
    <sheet name="TBS Adjustments" sheetId="117" r:id="rId15"/>
    <sheet name="Peak Day Estimate" sheetId="81" r:id="rId16"/>
    <sheet name="Other Revenue" sheetId="64" r:id="rId17"/>
    <sheet name="HDDs" sheetId="82" r:id="rId18"/>
    <sheet name="Gas Cost Worksheet" sheetId="80" r:id="rId19"/>
    <sheet name="CCS Extract" sheetId="61" state="hidden" r:id="rId20"/>
  </sheets>
  <definedNames>
    <definedName name="__123Graph_A" hidden="1">#REF!</definedName>
    <definedName name="__123Graph_B" hidden="1">#REF!</definedName>
    <definedName name="__123Graph_X" hidden="1">#REF!</definedName>
    <definedName name="_Dist_Bin" localSheetId="18" hidden="1">#REF!</definedName>
    <definedName name="_Dist_Bin" hidden="1">#REF!</definedName>
    <definedName name="_Dist_Values" localSheetId="18" hidden="1">#REF!</definedName>
    <definedName name="_Dist_Values" hidden="1">#REF!</definedName>
    <definedName name="_Fill" localSheetId="18" hidden="1">#REF!</definedName>
    <definedName name="_Fill" localSheetId="3" hidden="1">#REF!</definedName>
    <definedName name="_Fill" localSheetId="11" hidden="1">#REF!</definedName>
    <definedName name="_Fill" localSheetId="10" hidden="1">#REF!</definedName>
    <definedName name="_Fill" localSheetId="8" hidden="1">#REF!</definedName>
    <definedName name="_Fill" hidden="1">#REF!</definedName>
    <definedName name="_xlnm._FilterDatabase" localSheetId="14" hidden="1">'TBS Adjustments'!$B$6:$Q$87</definedName>
    <definedName name="_Order1" hidden="1">255</definedName>
    <definedName name="_Order2" hidden="1">255</definedName>
    <definedName name="_Regression_Out" localSheetId="3" hidden="1">#REF!</definedName>
    <definedName name="_Regression_Out" localSheetId="11" hidden="1">#REF!</definedName>
    <definedName name="_Regression_Out" localSheetId="10" hidden="1">#REF!</definedName>
    <definedName name="_Regression_Out" localSheetId="8" hidden="1">#REF!</definedName>
    <definedName name="_Regression_Out" hidden="1">#REF!</definedName>
    <definedName name="_Regression_Y" localSheetId="3" hidden="1">#REF!</definedName>
    <definedName name="_Regression_Y" localSheetId="11" hidden="1">#REF!</definedName>
    <definedName name="_Regression_Y" localSheetId="10" hidden="1">#REF!</definedName>
    <definedName name="_Regression_Y" localSheetId="8" hidden="1">#REF!</definedName>
    <definedName name="_Regression_Y" hidden="1">#REF!</definedName>
    <definedName name="_xlnm.Print_Area" localSheetId="4">'Bill Frequency'!$A$11:$R$86</definedName>
    <definedName name="_xlnm.Print_Area" localSheetId="6">'Contract &amp; Vol Adj'!$A$3:$R$84</definedName>
    <definedName name="_xlnm.Print_Area" localSheetId="18">'Gas Cost Worksheet'!$A$1:$CN$140</definedName>
    <definedName name="_xlnm.Print_Area" localSheetId="17">HDDs!$A$2:$F$30</definedName>
    <definedName name="_xlnm.Print_Area" localSheetId="13">'Monthly Forecast'!$A$3:$CI$103</definedName>
    <definedName name="_xlnm.Print_Area" localSheetId="16">'Other Revenue'!$A$3:$CI$63</definedName>
    <definedName name="_xlnm.Print_Area" localSheetId="15">'Peak Day Estimate'!$A$1:$P$36</definedName>
    <definedName name="_xlnm.Print_Area" localSheetId="12">'Rate Design'!$A$1:$R$55</definedName>
    <definedName name="_xlnm.Print_Area" localSheetId="1">'Summary of Rates'!$A$1:$F$55</definedName>
    <definedName name="_xlnm.Print_Area" localSheetId="2">'Summary of Revenue'!$A$1:$AS$36</definedName>
    <definedName name="_xlnm.Print_Area" localSheetId="14">'TBS Adjustments'!$A$1:$Q$165</definedName>
    <definedName name="_xlnm.Print_Area" localSheetId="9">'Test Year Monthly - (Pres)'!$A$3:$P$104</definedName>
    <definedName name="_xlnm.Print_Area" localSheetId="11">'Test Year Monthly - (Prop)'!$A$3:$P$104</definedName>
    <definedName name="_xlnm.Print_Area" localSheetId="5">'Test Year Revenue Present'!$A$3:$P$51</definedName>
    <definedName name="_xlnm.Print_Area" localSheetId="10">'Test Year Revenue Proposed'!$A$3:$P$51</definedName>
    <definedName name="_xlnm.Print_Area" localSheetId="8">WNA!$A$13:$N$95</definedName>
    <definedName name="_xlnm.Print_Area" localSheetId="7">'WNA Summary'!$A$3:$R$32</definedName>
    <definedName name="_xlnm.Print_Titles" localSheetId="4">'Bill Frequency'!$1:$10</definedName>
    <definedName name="_xlnm.Print_Titles" localSheetId="6">'Contract &amp; Vol Adj'!$3:$11</definedName>
    <definedName name="_xlnm.Print_Titles" localSheetId="18">'Gas Cost Worksheet'!$A:$B</definedName>
    <definedName name="_xlnm.Print_Titles" localSheetId="13">'Monthly Forecast'!$A:$C,'Monthly Forecast'!$3:$9</definedName>
    <definedName name="_xlnm.Print_Titles" localSheetId="16">'Other Revenue'!$A:$C</definedName>
    <definedName name="_xlnm.Print_Titles" localSheetId="2">'Summary of Revenue'!$A:$C</definedName>
    <definedName name="_xlnm.Print_Titles" localSheetId="3">'Summary of Stats'!$A:$B</definedName>
    <definedName name="_xlnm.Print_Titles" localSheetId="14">'TBS Adjustments'!$1:$7</definedName>
    <definedName name="_xlnm.Print_Titles" localSheetId="9">'Test Year Monthly - (Pres)'!$3:$11</definedName>
    <definedName name="_xlnm.Print_Titles" localSheetId="11">'Test Year Monthly - (Prop)'!$3:$11</definedName>
    <definedName name="_xlnm.Print_Titles" localSheetId="8">WNA!$A:$B,WNA!$3:$16</definedName>
    <definedName name="solver_adj" localSheetId="12" hidden="1">'Rate Design'!$N$59</definedName>
    <definedName name="solver_cvg" localSheetId="12" hidden="1">0.0001</definedName>
    <definedName name="solver_drv" localSheetId="12" hidden="1">1</definedName>
    <definedName name="solver_eng" localSheetId="12" hidden="1">1</definedName>
    <definedName name="solver_est" localSheetId="12" hidden="1">1</definedName>
    <definedName name="solver_itr" localSheetId="12" hidden="1">2147483647</definedName>
    <definedName name="solver_mip" localSheetId="12" hidden="1">2147483647</definedName>
    <definedName name="solver_mni" localSheetId="12" hidden="1">30</definedName>
    <definedName name="solver_mrt" localSheetId="12" hidden="1">0.075</definedName>
    <definedName name="solver_msl" localSheetId="12" hidden="1">2</definedName>
    <definedName name="solver_neg" localSheetId="12" hidden="1">1</definedName>
    <definedName name="solver_nod" localSheetId="12" hidden="1">2147483647</definedName>
    <definedName name="solver_num" localSheetId="12" hidden="1">0</definedName>
    <definedName name="solver_nwt" localSheetId="12" hidden="1">1</definedName>
    <definedName name="solver_opt" localSheetId="12" hidden="1">'Rate Design'!$N$57</definedName>
    <definedName name="solver_pre" localSheetId="12" hidden="1">0.000001</definedName>
    <definedName name="solver_rbv" localSheetId="12" hidden="1">1</definedName>
    <definedName name="solver_rlx" localSheetId="12" hidden="1">2</definedName>
    <definedName name="solver_rsd" localSheetId="12" hidden="1">0</definedName>
    <definedName name="solver_scl" localSheetId="12" hidden="1">1</definedName>
    <definedName name="solver_sho" localSheetId="12" hidden="1">2</definedName>
    <definedName name="solver_ssz" localSheetId="12" hidden="1">100</definedName>
    <definedName name="solver_tim" localSheetId="12" hidden="1">2147483647</definedName>
    <definedName name="solver_tol" localSheetId="12" hidden="1">0.01</definedName>
    <definedName name="solver_typ" localSheetId="12" hidden="1">3</definedName>
    <definedName name="solver_val" localSheetId="12" hidden="1">0</definedName>
    <definedName name="solver_ver" localSheetId="12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81" l="1"/>
  <c r="A26" i="81"/>
  <c r="A8" i="81"/>
  <c r="A9" i="81" s="1"/>
  <c r="A10" i="81" s="1"/>
  <c r="A11" i="81" s="1"/>
  <c r="A12" i="81" s="1"/>
  <c r="A13" i="81" s="1"/>
  <c r="A14" i="81" s="1"/>
  <c r="A15" i="81" s="1"/>
  <c r="A16" i="81" s="1"/>
  <c r="A17" i="81" s="1"/>
  <c r="A18" i="81" s="1"/>
  <c r="A19" i="81" s="1"/>
  <c r="A20" i="81" s="1"/>
  <c r="A21" i="81" s="1"/>
  <c r="A22" i="81" s="1"/>
  <c r="A23" i="81" s="1"/>
  <c r="A24" i="81" s="1"/>
  <c r="A7" i="81"/>
  <c r="A11" i="117"/>
  <c r="A12" i="117"/>
  <c r="A13" i="117"/>
  <c r="A14" i="117" s="1"/>
  <c r="A15" i="117" s="1"/>
  <c r="A16" i="117" s="1"/>
  <c r="A17" i="117" s="1"/>
  <c r="A18" i="117" s="1"/>
  <c r="A19" i="117" s="1"/>
  <c r="A20" i="117" s="1"/>
  <c r="A21" i="117" s="1"/>
  <c r="A22" i="117" s="1"/>
  <c r="A23" i="117" s="1"/>
  <c r="A24" i="117" s="1"/>
  <c r="A25" i="117" s="1"/>
  <c r="A26" i="117" s="1"/>
  <c r="A27" i="117" s="1"/>
  <c r="A28" i="117" s="1"/>
  <c r="A29" i="117" s="1"/>
  <c r="A30" i="117" s="1"/>
  <c r="A31" i="117" s="1"/>
  <c r="A32" i="117" s="1"/>
  <c r="A33" i="117" s="1"/>
  <c r="A34" i="117" s="1"/>
  <c r="A35" i="117" s="1"/>
  <c r="A36" i="117" s="1"/>
  <c r="A37" i="117" s="1"/>
  <c r="A38" i="117" s="1"/>
  <c r="A39" i="117" s="1"/>
  <c r="A40" i="117" s="1"/>
  <c r="A41" i="117" s="1"/>
  <c r="A42" i="117" s="1"/>
  <c r="A43" i="117" s="1"/>
  <c r="A44" i="117" s="1"/>
  <c r="A45" i="117" s="1"/>
  <c r="A46" i="117" s="1"/>
  <c r="A47" i="117" s="1"/>
  <c r="A48" i="117" s="1"/>
  <c r="A49" i="117" s="1"/>
  <c r="A50" i="117" s="1"/>
  <c r="A51" i="117" s="1"/>
  <c r="A52" i="117" s="1"/>
  <c r="A53" i="117" s="1"/>
  <c r="A54" i="117" s="1"/>
  <c r="A55" i="117" s="1"/>
  <c r="A56" i="117" s="1"/>
  <c r="A57" i="117" s="1"/>
  <c r="A58" i="117" s="1"/>
  <c r="A59" i="117" s="1"/>
  <c r="A60" i="117" s="1"/>
  <c r="A61" i="117" s="1"/>
  <c r="A62" i="117" s="1"/>
  <c r="A63" i="117" s="1"/>
  <c r="A64" i="117" s="1"/>
  <c r="A65" i="117" s="1"/>
  <c r="A66" i="117" s="1"/>
  <c r="A67" i="117" s="1"/>
  <c r="A68" i="117" s="1"/>
  <c r="A69" i="117" s="1"/>
  <c r="A70" i="117" s="1"/>
  <c r="A71" i="117" s="1"/>
  <c r="A72" i="117" s="1"/>
  <c r="A73" i="117" s="1"/>
  <c r="A74" i="117" s="1"/>
  <c r="A75" i="117" s="1"/>
  <c r="A76" i="117" s="1"/>
  <c r="A77" i="117" s="1"/>
  <c r="A78" i="117" s="1"/>
  <c r="A79" i="117" s="1"/>
  <c r="A80" i="117" s="1"/>
  <c r="A81" i="117" s="1"/>
  <c r="A82" i="117" s="1"/>
  <c r="A83" i="117" s="1"/>
  <c r="A84" i="117" s="1"/>
  <c r="A85" i="117" s="1"/>
  <c r="A86" i="117" s="1"/>
  <c r="A87" i="117" s="1"/>
  <c r="A88" i="117" s="1"/>
  <c r="A89" i="117" s="1"/>
  <c r="A90" i="117" s="1"/>
  <c r="A91" i="117" s="1"/>
  <c r="A92" i="117" s="1"/>
  <c r="A93" i="117" s="1"/>
  <c r="A94" i="117" s="1"/>
  <c r="A95" i="117" s="1"/>
  <c r="A96" i="117" s="1"/>
  <c r="A97" i="117" s="1"/>
  <c r="A98" i="117" s="1"/>
  <c r="A99" i="117" s="1"/>
  <c r="A100" i="117" s="1"/>
  <c r="A101" i="117" s="1"/>
  <c r="A102" i="117" s="1"/>
  <c r="A103" i="117" s="1"/>
  <c r="A104" i="117" s="1"/>
  <c r="A105" i="117" s="1"/>
  <c r="A106" i="117" s="1"/>
  <c r="A107" i="117" s="1"/>
  <c r="A108" i="117" s="1"/>
  <c r="A109" i="117" s="1"/>
  <c r="A110" i="117" s="1"/>
  <c r="A111" i="117" s="1"/>
  <c r="A112" i="117" s="1"/>
  <c r="A113" i="117" s="1"/>
  <c r="A114" i="117" s="1"/>
  <c r="A115" i="117" s="1"/>
  <c r="A116" i="117" s="1"/>
  <c r="A117" i="117" s="1"/>
  <c r="A118" i="117" s="1"/>
  <c r="A119" i="117" s="1"/>
  <c r="A120" i="117" s="1"/>
  <c r="A121" i="117" s="1"/>
  <c r="A122" i="117" s="1"/>
  <c r="A123" i="117" s="1"/>
  <c r="A124" i="117" s="1"/>
  <c r="A125" i="117" s="1"/>
  <c r="A126" i="117" s="1"/>
  <c r="A127" i="117" s="1"/>
  <c r="A128" i="117" s="1"/>
  <c r="A129" i="117" s="1"/>
  <c r="A130" i="117" s="1"/>
  <c r="A131" i="117" s="1"/>
  <c r="A132" i="117" s="1"/>
  <c r="A133" i="117" s="1"/>
  <c r="A134" i="117" s="1"/>
  <c r="A135" i="117" s="1"/>
  <c r="A136" i="117" s="1"/>
  <c r="A137" i="117" s="1"/>
  <c r="A138" i="117" s="1"/>
  <c r="A139" i="117" s="1"/>
  <c r="A140" i="117" s="1"/>
  <c r="A141" i="117" s="1"/>
  <c r="A142" i="117" s="1"/>
  <c r="A143" i="117" s="1"/>
  <c r="A144" i="117" s="1"/>
  <c r="A145" i="117" s="1"/>
  <c r="A146" i="117" s="1"/>
  <c r="A147" i="117" s="1"/>
  <c r="A148" i="117" s="1"/>
  <c r="A149" i="117" s="1"/>
  <c r="A150" i="117" s="1"/>
  <c r="A151" i="117" s="1"/>
  <c r="A152" i="117" s="1"/>
  <c r="A153" i="117" s="1"/>
  <c r="A154" i="117" s="1"/>
  <c r="A155" i="117" s="1"/>
  <c r="A156" i="117" s="1"/>
  <c r="A157" i="117" s="1"/>
  <c r="A158" i="117" s="1"/>
  <c r="A159" i="117" s="1"/>
  <c r="A160" i="117" s="1"/>
  <c r="A161" i="117" s="1"/>
  <c r="A162" i="117" s="1"/>
  <c r="A163" i="117" s="1"/>
  <c r="A164" i="117" s="1"/>
  <c r="A165" i="117" s="1"/>
  <c r="A10" i="117"/>
  <c r="C9" i="113"/>
  <c r="A27" i="81" l="1"/>
  <c r="A28" i="81" s="1"/>
  <c r="A29" i="81" s="1"/>
  <c r="A30" i="81" s="1"/>
  <c r="A31" i="81" s="1"/>
  <c r="A32" i="81" s="1"/>
  <c r="A33" i="81" s="1"/>
  <c r="A34" i="81" s="1"/>
  <c r="A35" i="81" s="1"/>
  <c r="A36" i="81" s="1"/>
  <c r="X19" i="80"/>
  <c r="Y19" i="80"/>
  <c r="Z19" i="80"/>
  <c r="AA19" i="80"/>
  <c r="AB19" i="80"/>
  <c r="AJ19" i="80"/>
  <c r="AK19" i="80"/>
  <c r="AL19" i="80"/>
  <c r="AM19" i="80"/>
  <c r="AN19" i="80"/>
  <c r="AV19" i="80"/>
  <c r="AW19" i="80"/>
  <c r="AX19" i="80"/>
  <c r="AY19" i="80"/>
  <c r="AZ19" i="80"/>
  <c r="BH19" i="80"/>
  <c r="BI19" i="80"/>
  <c r="BJ19" i="80"/>
  <c r="BK19" i="80"/>
  <c r="BL19" i="80"/>
  <c r="BT19" i="80"/>
  <c r="BU19" i="80"/>
  <c r="BV19" i="80"/>
  <c r="BW19" i="80"/>
  <c r="BX19" i="80"/>
  <c r="Q14" i="80"/>
  <c r="R14" i="80"/>
  <c r="S14" i="80"/>
  <c r="T14" i="80"/>
  <c r="U14" i="80"/>
  <c r="V14" i="80"/>
  <c r="W14" i="80"/>
  <c r="AC14" i="80"/>
  <c r="AD14" i="80"/>
  <c r="AE14" i="80"/>
  <c r="AF14" i="80"/>
  <c r="AG14" i="80"/>
  <c r="AH14" i="80"/>
  <c r="AI14" i="80"/>
  <c r="AO14" i="80"/>
  <c r="AP14" i="80"/>
  <c r="AQ14" i="80"/>
  <c r="AR14" i="80"/>
  <c r="AS14" i="80"/>
  <c r="AT14" i="80"/>
  <c r="AU14" i="80"/>
  <c r="BA14" i="80"/>
  <c r="BB14" i="80"/>
  <c r="BC14" i="80"/>
  <c r="BD14" i="80"/>
  <c r="BE14" i="80"/>
  <c r="BF14" i="80"/>
  <c r="BG14" i="80"/>
  <c r="BM14" i="80"/>
  <c r="BN14" i="80"/>
  <c r="BO14" i="80"/>
  <c r="BP14" i="80"/>
  <c r="BQ14" i="80"/>
  <c r="BR14" i="80"/>
  <c r="BS14" i="80"/>
  <c r="BY14" i="80"/>
  <c r="BZ14" i="80"/>
  <c r="CA14" i="80"/>
  <c r="CB14" i="80"/>
  <c r="CC14" i="80"/>
  <c r="CD14" i="80"/>
  <c r="P14" i="80"/>
  <c r="O14" i="80"/>
  <c r="N14" i="80"/>
  <c r="M14" i="80"/>
  <c r="I18" i="80"/>
  <c r="J18" i="80"/>
  <c r="K18" i="80"/>
  <c r="I19" i="80"/>
  <c r="J19" i="80"/>
  <c r="K19" i="80"/>
  <c r="I20" i="80"/>
  <c r="J20" i="80"/>
  <c r="K20" i="80"/>
  <c r="I129" i="80"/>
  <c r="J129" i="80"/>
  <c r="N56" i="44"/>
  <c r="Q127" i="80" l="1"/>
  <c r="Q19" i="80" s="1"/>
  <c r="L14" i="80"/>
  <c r="G38" i="44"/>
  <c r="G37" i="44" l="1"/>
  <c r="AM102" i="44"/>
  <c r="AM112" i="44" s="1"/>
  <c r="AP86" i="44" l="1"/>
  <c r="AP85" i="44"/>
  <c r="AO85" i="44"/>
  <c r="AP76" i="44"/>
  <c r="AO76" i="44"/>
  <c r="AP60" i="44"/>
  <c r="AO60" i="44"/>
  <c r="AN60" i="44"/>
  <c r="AN76" i="44"/>
  <c r="AN85" i="44"/>
  <c r="AN86" i="44"/>
  <c r="AM85" i="44"/>
  <c r="AM76" i="44"/>
  <c r="AM60" i="44"/>
  <c r="C6" i="78" l="1"/>
  <c r="AA6" i="72"/>
  <c r="D6" i="72"/>
  <c r="G132" i="117"/>
  <c r="H132" i="117"/>
  <c r="I132" i="117"/>
  <c r="J132" i="117"/>
  <c r="K132" i="117"/>
  <c r="L132" i="117"/>
  <c r="M132" i="117"/>
  <c r="N132" i="117"/>
  <c r="O132" i="117"/>
  <c r="P132" i="117"/>
  <c r="Q132" i="117"/>
  <c r="G133" i="117"/>
  <c r="H133" i="117"/>
  <c r="I133" i="117"/>
  <c r="J133" i="117"/>
  <c r="K133" i="117"/>
  <c r="L133" i="117"/>
  <c r="M133" i="117"/>
  <c r="N133" i="117"/>
  <c r="O133" i="117"/>
  <c r="P133" i="117"/>
  <c r="Q133" i="117"/>
  <c r="G134" i="117"/>
  <c r="H134" i="117"/>
  <c r="I134" i="117"/>
  <c r="J134" i="117"/>
  <c r="K134" i="117"/>
  <c r="L134" i="117"/>
  <c r="M134" i="117"/>
  <c r="N134" i="117"/>
  <c r="O134" i="117"/>
  <c r="P134" i="117"/>
  <c r="Q134" i="117"/>
  <c r="G135" i="117"/>
  <c r="H135" i="117"/>
  <c r="I135" i="117"/>
  <c r="J135" i="117"/>
  <c r="K135" i="117"/>
  <c r="L135" i="117"/>
  <c r="M135" i="117"/>
  <c r="N135" i="117"/>
  <c r="O135" i="117"/>
  <c r="P135" i="117"/>
  <c r="Q135" i="117"/>
  <c r="G137" i="117"/>
  <c r="H137" i="117"/>
  <c r="I137" i="117"/>
  <c r="J137" i="117"/>
  <c r="K137" i="117"/>
  <c r="L137" i="117"/>
  <c r="M137" i="117"/>
  <c r="N137" i="117"/>
  <c r="O137" i="117"/>
  <c r="P137" i="117"/>
  <c r="Q137" i="117"/>
  <c r="G138" i="117"/>
  <c r="H138" i="117"/>
  <c r="I138" i="117"/>
  <c r="J138" i="117"/>
  <c r="K138" i="117"/>
  <c r="L138" i="117"/>
  <c r="M138" i="117"/>
  <c r="N138" i="117"/>
  <c r="O138" i="117"/>
  <c r="P138" i="117"/>
  <c r="Q138" i="117"/>
  <c r="G139" i="117"/>
  <c r="H139" i="117"/>
  <c r="I139" i="117"/>
  <c r="J139" i="117"/>
  <c r="K139" i="117"/>
  <c r="L139" i="117"/>
  <c r="M139" i="117"/>
  <c r="N139" i="117"/>
  <c r="O139" i="117"/>
  <c r="P139" i="117"/>
  <c r="Q139" i="117"/>
  <c r="G141" i="117"/>
  <c r="H141" i="117"/>
  <c r="I141" i="117"/>
  <c r="J141" i="117"/>
  <c r="K141" i="117"/>
  <c r="L141" i="117"/>
  <c r="M141" i="117"/>
  <c r="N141" i="117"/>
  <c r="O141" i="117"/>
  <c r="P141" i="117"/>
  <c r="Q141" i="117"/>
  <c r="G142" i="117"/>
  <c r="H142" i="117"/>
  <c r="I142" i="117"/>
  <c r="J142" i="117"/>
  <c r="K142" i="117"/>
  <c r="L142" i="117"/>
  <c r="M142" i="117"/>
  <c r="N142" i="117"/>
  <c r="O142" i="117"/>
  <c r="P142" i="117"/>
  <c r="Q142" i="117"/>
  <c r="G143" i="117"/>
  <c r="H143" i="117"/>
  <c r="I143" i="117"/>
  <c r="J143" i="117"/>
  <c r="K143" i="117"/>
  <c r="L143" i="117"/>
  <c r="M143" i="117"/>
  <c r="N143" i="117"/>
  <c r="O143" i="117"/>
  <c r="P143" i="117"/>
  <c r="Q143" i="117"/>
  <c r="G145" i="117"/>
  <c r="H145" i="117"/>
  <c r="I145" i="117"/>
  <c r="J145" i="117"/>
  <c r="K145" i="117"/>
  <c r="L145" i="117"/>
  <c r="M145" i="117"/>
  <c r="N145" i="117"/>
  <c r="O145" i="117"/>
  <c r="P145" i="117"/>
  <c r="Q145" i="117"/>
  <c r="G146" i="117"/>
  <c r="H146" i="117"/>
  <c r="I146" i="117"/>
  <c r="J146" i="117"/>
  <c r="K146" i="117"/>
  <c r="L146" i="117"/>
  <c r="M146" i="117"/>
  <c r="N146" i="117"/>
  <c r="O146" i="117"/>
  <c r="P146" i="117"/>
  <c r="Q146" i="117"/>
  <c r="G147" i="117"/>
  <c r="H147" i="117"/>
  <c r="I147" i="117"/>
  <c r="J147" i="117"/>
  <c r="K147" i="117"/>
  <c r="L147" i="117"/>
  <c r="M147" i="117"/>
  <c r="N147" i="117"/>
  <c r="O147" i="117"/>
  <c r="P147" i="117"/>
  <c r="Q147" i="117"/>
  <c r="G148" i="117"/>
  <c r="H148" i="117"/>
  <c r="I148" i="117"/>
  <c r="J148" i="117"/>
  <c r="K148" i="117"/>
  <c r="L148" i="117"/>
  <c r="M148" i="117"/>
  <c r="N148" i="117"/>
  <c r="O148" i="117"/>
  <c r="P148" i="117"/>
  <c r="Q148" i="117"/>
  <c r="G150" i="117"/>
  <c r="H150" i="117"/>
  <c r="I150" i="117"/>
  <c r="J150" i="117"/>
  <c r="K150" i="117"/>
  <c r="L150" i="117"/>
  <c r="M150" i="117"/>
  <c r="N150" i="117"/>
  <c r="O150" i="117"/>
  <c r="P150" i="117"/>
  <c r="Q150" i="117"/>
  <c r="G151" i="117"/>
  <c r="H151" i="117"/>
  <c r="I151" i="117"/>
  <c r="J151" i="117"/>
  <c r="K151" i="117"/>
  <c r="L151" i="117"/>
  <c r="M151" i="117"/>
  <c r="N151" i="117"/>
  <c r="O151" i="117"/>
  <c r="P151" i="117"/>
  <c r="Q151" i="117"/>
  <c r="G152" i="117"/>
  <c r="H152" i="117"/>
  <c r="I152" i="117"/>
  <c r="J152" i="117"/>
  <c r="K152" i="117"/>
  <c r="L152" i="117"/>
  <c r="M152" i="117"/>
  <c r="N152" i="117"/>
  <c r="O152" i="117"/>
  <c r="P152" i="117"/>
  <c r="Q152" i="117"/>
  <c r="G153" i="117"/>
  <c r="H153" i="117"/>
  <c r="I153" i="117"/>
  <c r="J153" i="117"/>
  <c r="K153" i="117"/>
  <c r="L153" i="117"/>
  <c r="M153" i="117"/>
  <c r="N153" i="117"/>
  <c r="O153" i="117"/>
  <c r="P153" i="117"/>
  <c r="Q153" i="117"/>
  <c r="G155" i="117"/>
  <c r="H155" i="117"/>
  <c r="I155" i="117"/>
  <c r="J155" i="117"/>
  <c r="K155" i="117"/>
  <c r="L155" i="117"/>
  <c r="M155" i="117"/>
  <c r="N155" i="117"/>
  <c r="O155" i="117"/>
  <c r="P155" i="117"/>
  <c r="Q155" i="117"/>
  <c r="G156" i="117"/>
  <c r="H156" i="117"/>
  <c r="I156" i="117"/>
  <c r="J156" i="117"/>
  <c r="K156" i="117"/>
  <c r="L156" i="117"/>
  <c r="M156" i="117"/>
  <c r="N156" i="117"/>
  <c r="O156" i="117"/>
  <c r="P156" i="117"/>
  <c r="Q156" i="117"/>
  <c r="G157" i="117"/>
  <c r="H157" i="117"/>
  <c r="I157" i="117"/>
  <c r="J157" i="117"/>
  <c r="K157" i="117"/>
  <c r="L157" i="117"/>
  <c r="M157" i="117"/>
  <c r="N157" i="117"/>
  <c r="O157" i="117"/>
  <c r="P157" i="117"/>
  <c r="Q157" i="117"/>
  <c r="G158" i="117"/>
  <c r="H158" i="117"/>
  <c r="I158" i="117"/>
  <c r="J158" i="117"/>
  <c r="K158" i="117"/>
  <c r="L158" i="117"/>
  <c r="M158" i="117"/>
  <c r="N158" i="117"/>
  <c r="O158" i="117"/>
  <c r="P158" i="117"/>
  <c r="Q158" i="117"/>
  <c r="F158" i="117"/>
  <c r="F157" i="117"/>
  <c r="F156" i="117"/>
  <c r="F155" i="117"/>
  <c r="F153" i="117"/>
  <c r="F152" i="117"/>
  <c r="F151" i="117"/>
  <c r="F150" i="117"/>
  <c r="F148" i="117"/>
  <c r="F147" i="117"/>
  <c r="F146" i="117"/>
  <c r="F145" i="117"/>
  <c r="F143" i="117"/>
  <c r="F142" i="117"/>
  <c r="F141" i="117"/>
  <c r="F139" i="117"/>
  <c r="F138" i="117"/>
  <c r="F137" i="117"/>
  <c r="F135" i="117"/>
  <c r="F134" i="117"/>
  <c r="F133" i="117"/>
  <c r="F132" i="117"/>
  <c r="R136" i="117"/>
  <c r="R140" i="117"/>
  <c r="R144" i="117"/>
  <c r="R149" i="117"/>
  <c r="R154" i="117"/>
  <c r="B3" i="117"/>
  <c r="B15" i="117"/>
  <c r="B21" i="117" s="1"/>
  <c r="B27" i="117" s="1"/>
  <c r="B33" i="117" s="1"/>
  <c r="B39" i="117" s="1"/>
  <c r="B45" i="117" s="1"/>
  <c r="B51" i="117" s="1"/>
  <c r="B57" i="117" s="1"/>
  <c r="B63" i="117" s="1"/>
  <c r="B69" i="117" s="1"/>
  <c r="B75" i="117" s="1"/>
  <c r="B81" i="117" s="1"/>
  <c r="B87" i="117" s="1"/>
  <c r="B93" i="117" s="1"/>
  <c r="B99" i="117" s="1"/>
  <c r="B105" i="117" s="1"/>
  <c r="B111" i="117" s="1"/>
  <c r="B117" i="117" l="1"/>
  <c r="B123" i="117" s="1"/>
  <c r="R157" i="117"/>
  <c r="R142" i="117"/>
  <c r="R143" i="117"/>
  <c r="R158" i="117"/>
  <c r="R145" i="117"/>
  <c r="R146" i="117"/>
  <c r="R132" i="117"/>
  <c r="R133" i="117"/>
  <c r="R148" i="117"/>
  <c r="R134" i="117"/>
  <c r="R150" i="117"/>
  <c r="R151" i="117"/>
  <c r="R137" i="117"/>
  <c r="R152" i="117"/>
  <c r="R138" i="117"/>
  <c r="R153" i="117"/>
  <c r="R139" i="117"/>
  <c r="R141" i="117"/>
  <c r="R156" i="117"/>
  <c r="R147" i="117"/>
  <c r="R135" i="117"/>
  <c r="R155" i="117"/>
  <c r="O13" i="55" l="1"/>
  <c r="L88" i="80" l="1"/>
  <c r="L86" i="80"/>
  <c r="Q128" i="80" l="1"/>
  <c r="R128" i="80" s="1"/>
  <c r="S128" i="80" s="1"/>
  <c r="T128" i="80" s="1"/>
  <c r="U128" i="80" s="1"/>
  <c r="V128" i="80" s="1"/>
  <c r="W128" i="80" s="1"/>
  <c r="P13" i="80" l="1"/>
  <c r="O13" i="80"/>
  <c r="N13" i="80"/>
  <c r="M13" i="80"/>
  <c r="Q126" i="80" l="1"/>
  <c r="L13" i="80"/>
  <c r="R127" i="80"/>
  <c r="R19" i="80" s="1"/>
  <c r="CE44" i="80"/>
  <c r="CF44" i="80"/>
  <c r="CG44" i="80"/>
  <c r="CH44" i="80"/>
  <c r="CI44" i="80"/>
  <c r="CE49" i="80"/>
  <c r="CF49" i="80"/>
  <c r="CG49" i="80"/>
  <c r="CH49" i="80"/>
  <c r="CI49" i="80"/>
  <c r="R126" i="80" l="1"/>
  <c r="S126" i="80" s="1"/>
  <c r="T126" i="80" s="1"/>
  <c r="U126" i="80" s="1"/>
  <c r="V126" i="80" s="1"/>
  <c r="W126" i="80" s="1"/>
  <c r="Q18" i="80"/>
  <c r="S127" i="80"/>
  <c r="S19" i="80" s="1"/>
  <c r="I46" i="80"/>
  <c r="I41" i="80"/>
  <c r="T127" i="80" l="1"/>
  <c r="T19" i="80" s="1"/>
  <c r="AB121" i="80"/>
  <c r="AN121" i="80" s="1"/>
  <c r="AC121" i="80"/>
  <c r="AD121" i="80"/>
  <c r="AP121" i="80" s="1"/>
  <c r="AE121" i="80"/>
  <c r="AQ121" i="80" s="1"/>
  <c r="AF121" i="80"/>
  <c r="AF132" i="80" s="1"/>
  <c r="AG121" i="80"/>
  <c r="AG132" i="80" s="1"/>
  <c r="AH121" i="80"/>
  <c r="AI121" i="80"/>
  <c r="AI132" i="80" s="1"/>
  <c r="AL121" i="80"/>
  <c r="AX121" i="80" s="1"/>
  <c r="AX132" i="80" s="1"/>
  <c r="AO121" i="80"/>
  <c r="AO132" i="80" s="1"/>
  <c r="AS121" i="80"/>
  <c r="AS132" i="80" s="1"/>
  <c r="AT121" i="80"/>
  <c r="AU121" i="80"/>
  <c r="AU132" i="80" s="1"/>
  <c r="BE121" i="80"/>
  <c r="BE132" i="80" s="1"/>
  <c r="BF121" i="80"/>
  <c r="BQ121" i="80"/>
  <c r="BQ132" i="80" s="1"/>
  <c r="BR121" i="80"/>
  <c r="BR132" i="80" s="1"/>
  <c r="CC121" i="80"/>
  <c r="CC132" i="80" s="1"/>
  <c r="CD121" i="80"/>
  <c r="CD132" i="80" s="1"/>
  <c r="AB122" i="80"/>
  <c r="AB14" i="80" s="1"/>
  <c r="AC122" i="80"/>
  <c r="AC133" i="80" s="1"/>
  <c r="AD122" i="80"/>
  <c r="AE122" i="80"/>
  <c r="AQ122" i="80" s="1"/>
  <c r="AF122" i="80"/>
  <c r="AF133" i="80" s="1"/>
  <c r="AG122" i="80"/>
  <c r="AG124" i="80" s="1"/>
  <c r="AH122" i="80"/>
  <c r="AI122" i="80"/>
  <c r="AS122" i="80"/>
  <c r="AS133" i="80" s="1"/>
  <c r="AT122" i="80"/>
  <c r="AT133" i="80" s="1"/>
  <c r="AU122" i="80"/>
  <c r="BE122" i="80"/>
  <c r="BE133" i="80" s="1"/>
  <c r="BF122" i="80"/>
  <c r="BF133" i="80" s="1"/>
  <c r="BG122" i="80"/>
  <c r="BS122" i="80"/>
  <c r="CE122" i="80"/>
  <c r="AB123" i="80"/>
  <c r="AC123" i="80"/>
  <c r="AC134" i="80" s="1"/>
  <c r="AD123" i="80"/>
  <c r="AP123" i="80" s="1"/>
  <c r="AP134" i="80" s="1"/>
  <c r="AE123" i="80"/>
  <c r="AQ123" i="80" s="1"/>
  <c r="AF123" i="80"/>
  <c r="AR123" i="80" s="1"/>
  <c r="AG123" i="80"/>
  <c r="AH123" i="80"/>
  <c r="AH134" i="80" s="1"/>
  <c r="AI123" i="80"/>
  <c r="AI134" i="80" s="1"/>
  <c r="AS123" i="80"/>
  <c r="AT123" i="80"/>
  <c r="AT134" i="80" s="1"/>
  <c r="AU123" i="80"/>
  <c r="AU134" i="80" s="1"/>
  <c r="BE123" i="80"/>
  <c r="BF123" i="80"/>
  <c r="BG123" i="80"/>
  <c r="BQ123" i="80"/>
  <c r="BR123" i="80"/>
  <c r="BS123" i="80"/>
  <c r="CC123" i="80"/>
  <c r="CD123" i="80"/>
  <c r="CE123" i="80"/>
  <c r="AI124" i="80"/>
  <c r="U121" i="80"/>
  <c r="V121" i="80"/>
  <c r="W121" i="80"/>
  <c r="X121" i="80"/>
  <c r="AJ121" i="80" s="1"/>
  <c r="Y121" i="80"/>
  <c r="Y132" i="80" s="1"/>
  <c r="Z121" i="80"/>
  <c r="Z132" i="80" s="1"/>
  <c r="U122" i="80"/>
  <c r="U133" i="80" s="1"/>
  <c r="V122" i="80"/>
  <c r="V133" i="80" s="1"/>
  <c r="W122" i="80"/>
  <c r="W133" i="80" s="1"/>
  <c r="X122" i="80"/>
  <c r="X14" i="80" s="1"/>
  <c r="Y122" i="80"/>
  <c r="Y14" i="80" s="1"/>
  <c r="Z122" i="80"/>
  <c r="Z14" i="80" s="1"/>
  <c r="U123" i="80"/>
  <c r="V123" i="80"/>
  <c r="W123" i="80"/>
  <c r="X123" i="80"/>
  <c r="Y123" i="80"/>
  <c r="Z123" i="80"/>
  <c r="Z15" i="80" s="1"/>
  <c r="U124" i="80"/>
  <c r="V124" i="80"/>
  <c r="W124" i="80"/>
  <c r="AA122" i="80"/>
  <c r="AA14" i="80" s="1"/>
  <c r="AA123" i="80"/>
  <c r="AA121" i="80"/>
  <c r="AM121" i="80" s="1"/>
  <c r="AY121" i="80" s="1"/>
  <c r="AB126" i="80"/>
  <c r="AC126" i="80"/>
  <c r="AC137" i="80" s="1"/>
  <c r="AD126" i="80"/>
  <c r="AP126" i="80" s="1"/>
  <c r="AE126" i="80"/>
  <c r="AQ126" i="80" s="1"/>
  <c r="AF126" i="80"/>
  <c r="AR126" i="80" s="1"/>
  <c r="AN126" i="80"/>
  <c r="AZ126" i="80"/>
  <c r="BL126" i="80"/>
  <c r="BX126" i="80"/>
  <c r="CJ126" i="80"/>
  <c r="AB127" i="80"/>
  <c r="AC127" i="80"/>
  <c r="AC19" i="80" s="1"/>
  <c r="AD127" i="80"/>
  <c r="AD19" i="80" s="1"/>
  <c r="AE127" i="80"/>
  <c r="AE19" i="80" s="1"/>
  <c r="AF127" i="80"/>
  <c r="AF19" i="80" s="1"/>
  <c r="AN127" i="80"/>
  <c r="AN138" i="80" s="1"/>
  <c r="AZ127" i="80"/>
  <c r="BL127" i="80"/>
  <c r="BL138" i="80" s="1"/>
  <c r="BX127" i="80"/>
  <c r="CJ127" i="80"/>
  <c r="AB128" i="80"/>
  <c r="AB139" i="80" s="1"/>
  <c r="AC128" i="80"/>
  <c r="AC139" i="80" s="1"/>
  <c r="AD128" i="80"/>
  <c r="AD139" i="80" s="1"/>
  <c r="AE128" i="80"/>
  <c r="AE139" i="80" s="1"/>
  <c r="AF128" i="80"/>
  <c r="AF139" i="80" s="1"/>
  <c r="AN128" i="80"/>
  <c r="AN139" i="80" s="1"/>
  <c r="AZ128" i="80"/>
  <c r="AZ139" i="80" s="1"/>
  <c r="BL128" i="80"/>
  <c r="BL139" i="80" s="1"/>
  <c r="BX128" i="80"/>
  <c r="BX139" i="80" s="1"/>
  <c r="CJ128" i="80"/>
  <c r="CJ139" i="80" s="1"/>
  <c r="T129" i="80"/>
  <c r="P129" i="80"/>
  <c r="Q129" i="80"/>
  <c r="R129" i="80"/>
  <c r="S129" i="80"/>
  <c r="T137" i="80"/>
  <c r="U132" i="80"/>
  <c r="V132" i="80"/>
  <c r="W132" i="80"/>
  <c r="W135" i="80" s="1"/>
  <c r="AB132" i="80"/>
  <c r="AC132" i="80"/>
  <c r="AD132" i="80"/>
  <c r="AE132" i="80"/>
  <c r="AG133" i="80"/>
  <c r="AH133" i="80"/>
  <c r="AI133" i="80"/>
  <c r="AU133" i="80"/>
  <c r="BG133" i="80"/>
  <c r="BS133" i="80"/>
  <c r="CE133" i="80"/>
  <c r="U134" i="80"/>
  <c r="V134" i="80"/>
  <c r="W134" i="80"/>
  <c r="Z134" i="80"/>
  <c r="AD134" i="80"/>
  <c r="AE134" i="80"/>
  <c r="AF134" i="80"/>
  <c r="AG134" i="80"/>
  <c r="AS134" i="80"/>
  <c r="BE134" i="80"/>
  <c r="BF134" i="80"/>
  <c r="BG134" i="80"/>
  <c r="BQ134" i="80"/>
  <c r="BR134" i="80"/>
  <c r="BS134" i="80"/>
  <c r="CC134" i="80"/>
  <c r="CD134" i="80"/>
  <c r="CE134" i="80"/>
  <c r="AB137" i="80"/>
  <c r="AN137" i="80"/>
  <c r="AZ137" i="80"/>
  <c r="BL137" i="80"/>
  <c r="BX137" i="80"/>
  <c r="CJ137" i="80"/>
  <c r="AB138" i="80"/>
  <c r="AZ138" i="80"/>
  <c r="BX138" i="80"/>
  <c r="CJ138" i="80"/>
  <c r="P132" i="80"/>
  <c r="Q132" i="80"/>
  <c r="R132" i="80"/>
  <c r="S132" i="80"/>
  <c r="T132" i="80"/>
  <c r="P133" i="80"/>
  <c r="Q133" i="80"/>
  <c r="R133" i="80"/>
  <c r="S133" i="80"/>
  <c r="T133" i="80"/>
  <c r="P134" i="80"/>
  <c r="Q134" i="80"/>
  <c r="R134" i="80"/>
  <c r="S134" i="80"/>
  <c r="T134" i="80"/>
  <c r="P137" i="80"/>
  <c r="Q137" i="80"/>
  <c r="R137" i="80"/>
  <c r="S137" i="80"/>
  <c r="P138" i="80"/>
  <c r="Q138" i="80"/>
  <c r="R138" i="80"/>
  <c r="S138" i="80"/>
  <c r="P139" i="80"/>
  <c r="Q139" i="80"/>
  <c r="R139" i="80"/>
  <c r="S139" i="80"/>
  <c r="T139" i="80"/>
  <c r="H137" i="80"/>
  <c r="H140" i="80" s="1"/>
  <c r="H138" i="80"/>
  <c r="H139" i="80"/>
  <c r="H132" i="80"/>
  <c r="I132" i="80"/>
  <c r="J132" i="80"/>
  <c r="K132" i="80"/>
  <c r="L132" i="80"/>
  <c r="M132" i="80"/>
  <c r="N132" i="80"/>
  <c r="O132" i="80"/>
  <c r="H133" i="80"/>
  <c r="I133" i="80"/>
  <c r="J133" i="80"/>
  <c r="K133" i="80"/>
  <c r="L133" i="80"/>
  <c r="M133" i="80"/>
  <c r="N133" i="80"/>
  <c r="O133" i="80"/>
  <c r="H134" i="80"/>
  <c r="I134" i="80"/>
  <c r="J134" i="80"/>
  <c r="K134" i="80"/>
  <c r="L134" i="80"/>
  <c r="M134" i="80"/>
  <c r="N134" i="80"/>
  <c r="O134" i="80"/>
  <c r="H129" i="80"/>
  <c r="I124" i="80"/>
  <c r="J124" i="80"/>
  <c r="K124" i="80"/>
  <c r="L124" i="80"/>
  <c r="M124" i="80"/>
  <c r="N124" i="80"/>
  <c r="O124" i="80"/>
  <c r="H124" i="80"/>
  <c r="CE119" i="80"/>
  <c r="CF119" i="80"/>
  <c r="CG119" i="80"/>
  <c r="CH119" i="80"/>
  <c r="CI119" i="80"/>
  <c r="CJ119" i="80"/>
  <c r="CK119" i="80"/>
  <c r="CL119" i="80"/>
  <c r="CM119" i="80"/>
  <c r="CN119" i="80"/>
  <c r="AL123" i="80" l="1"/>
  <c r="AX123" i="80" s="1"/>
  <c r="AA134" i="80"/>
  <c r="AA15" i="80"/>
  <c r="AK123" i="80"/>
  <c r="AK134" i="80" s="1"/>
  <c r="Y15" i="80"/>
  <c r="X134" i="80"/>
  <c r="X15" i="80"/>
  <c r="AB134" i="80"/>
  <c r="AB15" i="80"/>
  <c r="AN122" i="80"/>
  <c r="AN14" i="80" s="1"/>
  <c r="AA133" i="80"/>
  <c r="Z133" i="80"/>
  <c r="Z135" i="80" s="1"/>
  <c r="Y133" i="80"/>
  <c r="X133" i="80"/>
  <c r="AR127" i="80"/>
  <c r="AQ127" i="80"/>
  <c r="U127" i="80"/>
  <c r="U19" i="80" s="1"/>
  <c r="AP127" i="80"/>
  <c r="AP19" i="80" s="1"/>
  <c r="AC138" i="80"/>
  <c r="AC140" i="80" s="1"/>
  <c r="AL122" i="80"/>
  <c r="AL14" i="80" s="1"/>
  <c r="AR128" i="80"/>
  <c r="BD128" i="80" s="1"/>
  <c r="BD139" i="80" s="1"/>
  <c r="AM122" i="80"/>
  <c r="AM14" i="80" s="1"/>
  <c r="AJ122" i="80"/>
  <c r="AJ14" i="80" s="1"/>
  <c r="AE137" i="80"/>
  <c r="AA132" i="80"/>
  <c r="AJ132" i="80"/>
  <c r="AV121" i="80"/>
  <c r="BH121" i="80" s="1"/>
  <c r="AK121" i="80"/>
  <c r="AW121" i="80" s="1"/>
  <c r="BI121" i="80" s="1"/>
  <c r="BI132" i="80" s="1"/>
  <c r="AM123" i="80"/>
  <c r="AY123" i="80" s="1"/>
  <c r="BK123" i="80" s="1"/>
  <c r="AD137" i="80"/>
  <c r="AD138" i="80"/>
  <c r="AO128" i="80"/>
  <c r="AO139" i="80" s="1"/>
  <c r="AQ128" i="80"/>
  <c r="AP128" i="80"/>
  <c r="BB128" i="80" s="1"/>
  <c r="BB139" i="80" s="1"/>
  <c r="Y134" i="80"/>
  <c r="X132" i="80"/>
  <c r="X135" i="80" s="1"/>
  <c r="AA124" i="80"/>
  <c r="L135" i="80"/>
  <c r="J135" i="80"/>
  <c r="S135" i="80"/>
  <c r="I135" i="80"/>
  <c r="K135" i="80"/>
  <c r="AS135" i="80"/>
  <c r="AR137" i="80"/>
  <c r="BD126" i="80"/>
  <c r="AQ137" i="80"/>
  <c r="BC126" i="80"/>
  <c r="BP128" i="80"/>
  <c r="AF137" i="80"/>
  <c r="AP137" i="80"/>
  <c r="BB126" i="80"/>
  <c r="AD129" i="80"/>
  <c r="AO127" i="80"/>
  <c r="AO19" i="80" s="1"/>
  <c r="AO126" i="80"/>
  <c r="Q140" i="80"/>
  <c r="AN123" i="80"/>
  <c r="AN134" i="80" s="1"/>
  <c r="AL134" i="80"/>
  <c r="X124" i="80"/>
  <c r="AJ123" i="80"/>
  <c r="Z124" i="80"/>
  <c r="AK122" i="80"/>
  <c r="AK14" i="80" s="1"/>
  <c r="Y124" i="80"/>
  <c r="R135" i="80"/>
  <c r="AD124" i="80"/>
  <c r="AP122" i="80"/>
  <c r="AP133" i="80" s="1"/>
  <c r="AP124" i="80"/>
  <c r="BB121" i="80"/>
  <c r="AP132" i="80"/>
  <c r="AP135" i="80" s="1"/>
  <c r="AQ132" i="80"/>
  <c r="BC121" i="80"/>
  <c r="AR121" i="80"/>
  <c r="AF124" i="80"/>
  <c r="AO122" i="80"/>
  <c r="AO133" i="80" s="1"/>
  <c r="BA121" i="80"/>
  <c r="AN132" i="80"/>
  <c r="AZ121" i="80"/>
  <c r="AR134" i="80"/>
  <c r="BD123" i="80"/>
  <c r="AQ134" i="80"/>
  <c r="BC123" i="80"/>
  <c r="AR122" i="80"/>
  <c r="AR124" i="80" s="1"/>
  <c r="BB123" i="80"/>
  <c r="BA122" i="80"/>
  <c r="V135" i="80"/>
  <c r="AG135" i="80"/>
  <c r="U135" i="80"/>
  <c r="AF135" i="80"/>
  <c r="BX140" i="80"/>
  <c r="AZ140" i="80"/>
  <c r="H135" i="80"/>
  <c r="Q135" i="80"/>
  <c r="O135" i="80"/>
  <c r="P135" i="80"/>
  <c r="AC135" i="80"/>
  <c r="N135" i="80"/>
  <c r="AN140" i="80"/>
  <c r="M135" i="80"/>
  <c r="T135" i="80"/>
  <c r="AX134" i="80"/>
  <c r="BJ123" i="80"/>
  <c r="AQ124" i="80"/>
  <c r="AQ133" i="80"/>
  <c r="BC122" i="80"/>
  <c r="AM132" i="80"/>
  <c r="BK121" i="80"/>
  <c r="AL132" i="80"/>
  <c r="AY132" i="80"/>
  <c r="BJ121" i="80"/>
  <c r="BR122" i="80"/>
  <c r="BQ122" i="80"/>
  <c r="AO123" i="80"/>
  <c r="BE135" i="80"/>
  <c r="AE124" i="80"/>
  <c r="AE133" i="80"/>
  <c r="AE135" i="80" s="1"/>
  <c r="BE124" i="80"/>
  <c r="AW123" i="80"/>
  <c r="AU135" i="80"/>
  <c r="BF132" i="80"/>
  <c r="BF135" i="80" s="1"/>
  <c r="BF124" i="80"/>
  <c r="AT132" i="80"/>
  <c r="AT135" i="80" s="1"/>
  <c r="AT124" i="80"/>
  <c r="AH132" i="80"/>
  <c r="AH135" i="80" s="1"/>
  <c r="AH124" i="80"/>
  <c r="AD133" i="80"/>
  <c r="AD135" i="80" s="1"/>
  <c r="BR124" i="80"/>
  <c r="AB133" i="80"/>
  <c r="AB124" i="80"/>
  <c r="AU124" i="80"/>
  <c r="AC124" i="80"/>
  <c r="AS124" i="80"/>
  <c r="BG121" i="80"/>
  <c r="AI135" i="80"/>
  <c r="CJ140" i="80"/>
  <c r="AB140" i="80"/>
  <c r="AF138" i="80"/>
  <c r="AF129" i="80"/>
  <c r="AE138" i="80"/>
  <c r="AE129" i="80"/>
  <c r="BL140" i="80"/>
  <c r="AC129" i="80"/>
  <c r="CJ129" i="80"/>
  <c r="BX129" i="80"/>
  <c r="AZ129" i="80"/>
  <c r="AB129" i="80"/>
  <c r="BL129" i="80"/>
  <c r="AN129" i="80"/>
  <c r="T138" i="80"/>
  <c r="T140" i="80" s="1"/>
  <c r="S140" i="80"/>
  <c r="R140" i="80"/>
  <c r="P140" i="80"/>
  <c r="AA135" i="80" l="1"/>
  <c r="AB135" i="80"/>
  <c r="AN133" i="80"/>
  <c r="Y135" i="80"/>
  <c r="AQ138" i="80"/>
  <c r="AQ19" i="80"/>
  <c r="AR138" i="80"/>
  <c r="AR19" i="80"/>
  <c r="AR139" i="80"/>
  <c r="AZ122" i="80"/>
  <c r="AZ14" i="80" s="1"/>
  <c r="AM133" i="80"/>
  <c r="AX122" i="80"/>
  <c r="AX14" i="80" s="1"/>
  <c r="AL124" i="80"/>
  <c r="AL133" i="80"/>
  <c r="AL135" i="80" s="1"/>
  <c r="AP138" i="80"/>
  <c r="V127" i="80"/>
  <c r="V19" i="80" s="1"/>
  <c r="BC127" i="80"/>
  <c r="BC19" i="80" s="1"/>
  <c r="AV122" i="80"/>
  <c r="AV14" i="80" s="1"/>
  <c r="BD127" i="80"/>
  <c r="BD19" i="80" s="1"/>
  <c r="BB127" i="80"/>
  <c r="BB19" i="80" s="1"/>
  <c r="AY134" i="80"/>
  <c r="AY122" i="80"/>
  <c r="AM124" i="80"/>
  <c r="AE140" i="80"/>
  <c r="AJ124" i="80"/>
  <c r="BN128" i="80"/>
  <c r="BN139" i="80" s="1"/>
  <c r="AR129" i="80"/>
  <c r="AD140" i="80"/>
  <c r="AW132" i="80"/>
  <c r="AJ133" i="80"/>
  <c r="AP139" i="80"/>
  <c r="AV132" i="80"/>
  <c r="AF140" i="80"/>
  <c r="AK132" i="80"/>
  <c r="BA128" i="80"/>
  <c r="BA139" i="80" s="1"/>
  <c r="BU121" i="80"/>
  <c r="BU132" i="80" s="1"/>
  <c r="AQ139" i="80"/>
  <c r="BC128" i="80"/>
  <c r="AQ129" i="80"/>
  <c r="AP129" i="80"/>
  <c r="AZ123" i="80"/>
  <c r="AN124" i="80"/>
  <c r="AK124" i="80"/>
  <c r="AM134" i="80"/>
  <c r="AN135" i="80"/>
  <c r="BC137" i="80"/>
  <c r="BO126" i="80"/>
  <c r="BD137" i="80"/>
  <c r="BP126" i="80"/>
  <c r="BP139" i="80"/>
  <c r="CB128" i="80"/>
  <c r="BB137" i="80"/>
  <c r="BN126" i="80"/>
  <c r="AO138" i="80"/>
  <c r="BA127" i="80"/>
  <c r="BA19" i="80" s="1"/>
  <c r="AO129" i="80"/>
  <c r="BA126" i="80"/>
  <c r="AO137" i="80"/>
  <c r="BW123" i="80"/>
  <c r="BK134" i="80"/>
  <c r="AJ134" i="80"/>
  <c r="AV123" i="80"/>
  <c r="AK133" i="80"/>
  <c r="AW122" i="80"/>
  <c r="AW14" i="80" s="1"/>
  <c r="BB122" i="80"/>
  <c r="BB124" i="80" s="1"/>
  <c r="BB132" i="80"/>
  <c r="BN121" i="80"/>
  <c r="BO121" i="80"/>
  <c r="BC132" i="80"/>
  <c r="AR132" i="80"/>
  <c r="BD121" i="80"/>
  <c r="BM121" i="80"/>
  <c r="BA132" i="80"/>
  <c r="AZ132" i="80"/>
  <c r="BL121" i="80"/>
  <c r="BO123" i="80"/>
  <c r="BC134" i="80"/>
  <c r="BP123" i="80"/>
  <c r="BD134" i="80"/>
  <c r="BA133" i="80"/>
  <c r="BM122" i="80"/>
  <c r="BN122" i="80"/>
  <c r="BB133" i="80"/>
  <c r="AQ135" i="80"/>
  <c r="BN123" i="80"/>
  <c r="BB134" i="80"/>
  <c r="AR133" i="80"/>
  <c r="AR135" i="80" s="1"/>
  <c r="BD122" i="80"/>
  <c r="BH132" i="80"/>
  <c r="BT121" i="80"/>
  <c r="BI123" i="80"/>
  <c r="AW134" i="80"/>
  <c r="BG132" i="80"/>
  <c r="BG135" i="80" s="1"/>
  <c r="BS121" i="80"/>
  <c r="BG124" i="80"/>
  <c r="BR133" i="80"/>
  <c r="BR135" i="80" s="1"/>
  <c r="CD122" i="80"/>
  <c r="BC133" i="80"/>
  <c r="BO122" i="80"/>
  <c r="BC124" i="80"/>
  <c r="BJ132" i="80"/>
  <c r="BV121" i="80"/>
  <c r="AO134" i="80"/>
  <c r="AO135" i="80" s="1"/>
  <c r="BA123" i="80"/>
  <c r="AO124" i="80"/>
  <c r="BJ134" i="80"/>
  <c r="BV123" i="80"/>
  <c r="CC122" i="80"/>
  <c r="BQ133" i="80"/>
  <c r="BQ135" i="80" s="1"/>
  <c r="BQ124" i="80"/>
  <c r="BK132" i="80"/>
  <c r="BW121" i="80"/>
  <c r="AQ140" i="80" l="1"/>
  <c r="AR140" i="80"/>
  <c r="AY133" i="80"/>
  <c r="AY135" i="80" s="1"/>
  <c r="AY14" i="80"/>
  <c r="AM135" i="80"/>
  <c r="AZ124" i="80"/>
  <c r="BL122" i="80"/>
  <c r="BL14" i="80" s="1"/>
  <c r="AZ133" i="80"/>
  <c r="AY124" i="80"/>
  <c r="BK122" i="80"/>
  <c r="BK14" i="80" s="1"/>
  <c r="AP140" i="80"/>
  <c r="BJ122" i="80"/>
  <c r="BJ14" i="80" s="1"/>
  <c r="AX133" i="80"/>
  <c r="AX135" i="80" s="1"/>
  <c r="AX124" i="80"/>
  <c r="BD138" i="80"/>
  <c r="BD140" i="80" s="1"/>
  <c r="BP127" i="80"/>
  <c r="BD129" i="80"/>
  <c r="AV133" i="80"/>
  <c r="BH122" i="80"/>
  <c r="BH14" i="80" s="1"/>
  <c r="BB138" i="80"/>
  <c r="BB140" i="80" s="1"/>
  <c r="BB129" i="80"/>
  <c r="BC138" i="80"/>
  <c r="BO127" i="80"/>
  <c r="BN127" i="80"/>
  <c r="BN19" i="80" s="1"/>
  <c r="W127" i="80"/>
  <c r="W19" i="80" s="1"/>
  <c r="CG121" i="80"/>
  <c r="CG132" i="80" s="1"/>
  <c r="BZ128" i="80"/>
  <c r="CL128" i="80" s="1"/>
  <c r="CL139" i="80" s="1"/>
  <c r="AJ135" i="80"/>
  <c r="BM128" i="80"/>
  <c r="BM139" i="80" s="1"/>
  <c r="BL123" i="80"/>
  <c r="BL134" i="80" s="1"/>
  <c r="AZ134" i="80"/>
  <c r="AK135" i="80"/>
  <c r="BO128" i="80"/>
  <c r="BC129" i="80"/>
  <c r="BC139" i="80"/>
  <c r="BB135" i="80"/>
  <c r="AO140" i="80"/>
  <c r="CB139" i="80"/>
  <c r="CN128" i="80"/>
  <c r="CN139" i="80" s="1"/>
  <c r="CB126" i="80"/>
  <c r="BP137" i="80"/>
  <c r="CA126" i="80"/>
  <c r="BO137" i="80"/>
  <c r="BZ126" i="80"/>
  <c r="BN137" i="80"/>
  <c r="BM127" i="80"/>
  <c r="BM19" i="80" s="1"/>
  <c r="BA138" i="80"/>
  <c r="BA137" i="80"/>
  <c r="BM126" i="80"/>
  <c r="BA129" i="80"/>
  <c r="CI123" i="80"/>
  <c r="CI134" i="80" s="1"/>
  <c r="BW134" i="80"/>
  <c r="AV134" i="80"/>
  <c r="BH123" i="80"/>
  <c r="AV124" i="80"/>
  <c r="AW133" i="80"/>
  <c r="AW135" i="80" s="1"/>
  <c r="BI122" i="80"/>
  <c r="BI14" i="80" s="1"/>
  <c r="AW124" i="80"/>
  <c r="BC135" i="80"/>
  <c r="BZ121" i="80"/>
  <c r="BN132" i="80"/>
  <c r="CA121" i="80"/>
  <c r="BO132" i="80"/>
  <c r="BD132" i="80"/>
  <c r="BP121" i="80"/>
  <c r="BY121" i="80"/>
  <c r="BM132" i="80"/>
  <c r="BX121" i="80"/>
  <c r="BL132" i="80"/>
  <c r="BZ122" i="80"/>
  <c r="BN124" i="80"/>
  <c r="BN133" i="80"/>
  <c r="BM133" i="80"/>
  <c r="BY122" i="80"/>
  <c r="CB123" i="80"/>
  <c r="BP134" i="80"/>
  <c r="BP122" i="80"/>
  <c r="BD133" i="80"/>
  <c r="BD124" i="80"/>
  <c r="BN134" i="80"/>
  <c r="BZ123" i="80"/>
  <c r="CA123" i="80"/>
  <c r="BO134" i="80"/>
  <c r="BW132" i="80"/>
  <c r="CI121" i="80"/>
  <c r="BA134" i="80"/>
  <c r="BA135" i="80" s="1"/>
  <c r="BM123" i="80"/>
  <c r="BA124" i="80"/>
  <c r="CD133" i="80"/>
  <c r="CD135" i="80" s="1"/>
  <c r="CD124" i="80"/>
  <c r="BV132" i="80"/>
  <c r="CH121" i="80"/>
  <c r="BS132" i="80"/>
  <c r="BS135" i="80" s="1"/>
  <c r="CE121" i="80"/>
  <c r="BS124" i="80"/>
  <c r="CC124" i="80"/>
  <c r="CC133" i="80"/>
  <c r="CC135" i="80" s="1"/>
  <c r="BI134" i="80"/>
  <c r="BU123" i="80"/>
  <c r="BO124" i="80"/>
  <c r="CA122" i="80"/>
  <c r="BO133" i="80"/>
  <c r="BT132" i="80"/>
  <c r="CF121" i="80"/>
  <c r="BV134" i="80"/>
  <c r="CH123" i="80"/>
  <c r="CH134" i="80" s="1"/>
  <c r="AV135" i="80" l="1"/>
  <c r="BZ139" i="80"/>
  <c r="BW122" i="80"/>
  <c r="BW14" i="80" s="1"/>
  <c r="BY128" i="80"/>
  <c r="BY139" i="80" s="1"/>
  <c r="BK133" i="80"/>
  <c r="BK135" i="80" s="1"/>
  <c r="AZ135" i="80"/>
  <c r="BC140" i="80"/>
  <c r="BN129" i="80"/>
  <c r="BX123" i="80"/>
  <c r="BX134" i="80" s="1"/>
  <c r="BP129" i="80"/>
  <c r="BP19" i="80"/>
  <c r="BO129" i="80"/>
  <c r="BO19" i="80"/>
  <c r="BL124" i="80"/>
  <c r="BX122" i="80"/>
  <c r="BX14" i="80" s="1"/>
  <c r="BL133" i="80"/>
  <c r="BL135" i="80" s="1"/>
  <c r="BZ127" i="80"/>
  <c r="BZ19" i="80" s="1"/>
  <c r="BK124" i="80"/>
  <c r="BN138" i="80"/>
  <c r="BN140" i="80" s="1"/>
  <c r="BJ133" i="80"/>
  <c r="BJ135" i="80" s="1"/>
  <c r="BV122" i="80"/>
  <c r="BV14" i="80" s="1"/>
  <c r="BJ124" i="80"/>
  <c r="BH133" i="80"/>
  <c r="BT122" i="80"/>
  <c r="BT14" i="80" s="1"/>
  <c r="BP138" i="80"/>
  <c r="BP140" i="80" s="1"/>
  <c r="CB127" i="80"/>
  <c r="CB19" i="80" s="1"/>
  <c r="CA127" i="80"/>
  <c r="CA19" i="80" s="1"/>
  <c r="BO138" i="80"/>
  <c r="CA128" i="80"/>
  <c r="BO139" i="80"/>
  <c r="BD135" i="80"/>
  <c r="BA140" i="80"/>
  <c r="CB137" i="80"/>
  <c r="CN126" i="80"/>
  <c r="CA137" i="80"/>
  <c r="CM126" i="80"/>
  <c r="BZ137" i="80"/>
  <c r="CL126" i="80"/>
  <c r="BM138" i="80"/>
  <c r="BY127" i="80"/>
  <c r="BY19" i="80" s="1"/>
  <c r="BM137" i="80"/>
  <c r="BY126" i="80"/>
  <c r="BM129" i="80"/>
  <c r="BH134" i="80"/>
  <c r="BT123" i="80"/>
  <c r="BH124" i="80"/>
  <c r="BW133" i="80"/>
  <c r="BW135" i="80" s="1"/>
  <c r="CI122" i="80"/>
  <c r="CI133" i="80" s="1"/>
  <c r="BW124" i="80"/>
  <c r="BU122" i="80"/>
  <c r="BU14" i="80" s="1"/>
  <c r="BI133" i="80"/>
  <c r="BI135" i="80" s="1"/>
  <c r="BI124" i="80"/>
  <c r="BN135" i="80"/>
  <c r="BZ132" i="80"/>
  <c r="CL121" i="80"/>
  <c r="CL132" i="80" s="1"/>
  <c r="CA132" i="80"/>
  <c r="CM121" i="80"/>
  <c r="CM132" i="80" s="1"/>
  <c r="BO135" i="80"/>
  <c r="BP132" i="80"/>
  <c r="CB121" i="80"/>
  <c r="BY132" i="80"/>
  <c r="CK121" i="80"/>
  <c r="CK132" i="80" s="1"/>
  <c r="CJ121" i="80"/>
  <c r="CJ132" i="80" s="1"/>
  <c r="BX132" i="80"/>
  <c r="CB122" i="80"/>
  <c r="BP133" i="80"/>
  <c r="BP124" i="80"/>
  <c r="BP135" i="80"/>
  <c r="CN123" i="80"/>
  <c r="CN134" i="80" s="1"/>
  <c r="CB134" i="80"/>
  <c r="BY133" i="80"/>
  <c r="CK122" i="80"/>
  <c r="CK133" i="80" s="1"/>
  <c r="CM123" i="80"/>
  <c r="CM134" i="80" s="1"/>
  <c r="CA134" i="80"/>
  <c r="CL123" i="80"/>
  <c r="CL134" i="80" s="1"/>
  <c r="BZ134" i="80"/>
  <c r="BZ133" i="80"/>
  <c r="CL122" i="80"/>
  <c r="BZ124" i="80"/>
  <c r="CA133" i="80"/>
  <c r="CA124" i="80"/>
  <c r="CM122" i="80"/>
  <c r="CH132" i="80"/>
  <c r="BU134" i="80"/>
  <c r="CG123" i="80"/>
  <c r="BM134" i="80"/>
  <c r="BM135" i="80" s="1"/>
  <c r="BY123" i="80"/>
  <c r="BM124" i="80"/>
  <c r="CF132" i="80"/>
  <c r="CE124" i="80"/>
  <c r="CE132" i="80"/>
  <c r="CE135" i="80" s="1"/>
  <c r="CI132" i="80"/>
  <c r="BU124" i="80" l="1"/>
  <c r="CK128" i="80"/>
  <c r="CK139" i="80" s="1"/>
  <c r="BH135" i="80"/>
  <c r="CL127" i="80"/>
  <c r="CL138" i="80" s="1"/>
  <c r="BZ129" i="80"/>
  <c r="CJ123" i="80"/>
  <c r="BZ138" i="80"/>
  <c r="BZ140" i="80" s="1"/>
  <c r="CB129" i="80"/>
  <c r="BX124" i="80"/>
  <c r="CJ122" i="80"/>
  <c r="CJ133" i="80" s="1"/>
  <c r="BX133" i="80"/>
  <c r="BX135" i="80" s="1"/>
  <c r="BV133" i="80"/>
  <c r="BV135" i="80" s="1"/>
  <c r="CH122" i="80"/>
  <c r="BV124" i="80"/>
  <c r="BM140" i="80"/>
  <c r="CM127" i="80"/>
  <c r="CM138" i="80" s="1"/>
  <c r="CA138" i="80"/>
  <c r="CB138" i="80"/>
  <c r="CB140" i="80" s="1"/>
  <c r="CN127" i="80"/>
  <c r="CN138" i="80" s="1"/>
  <c r="CF122" i="80"/>
  <c r="CF133" i="80" s="1"/>
  <c r="BT133" i="80"/>
  <c r="BO140" i="80"/>
  <c r="CI124" i="80"/>
  <c r="CA139" i="80"/>
  <c r="CM128" i="80"/>
  <c r="CM139" i="80" s="1"/>
  <c r="CA129" i="80"/>
  <c r="CI135" i="80"/>
  <c r="CN137" i="80"/>
  <c r="CM137" i="80"/>
  <c r="CL137" i="80"/>
  <c r="CL140" i="80" s="1"/>
  <c r="CL129" i="80"/>
  <c r="BY138" i="80"/>
  <c r="CK127" i="80"/>
  <c r="CK138" i="80" s="1"/>
  <c r="CK126" i="80"/>
  <c r="BY137" i="80"/>
  <c r="BY129" i="80"/>
  <c r="CF123" i="80"/>
  <c r="BT134" i="80"/>
  <c r="BT124" i="80"/>
  <c r="CG122" i="80"/>
  <c r="CG133" i="80" s="1"/>
  <c r="BU133" i="80"/>
  <c r="BU135" i="80" s="1"/>
  <c r="BZ135" i="80"/>
  <c r="CB132" i="80"/>
  <c r="CN121" i="80"/>
  <c r="CN132" i="80" s="1"/>
  <c r="CA135" i="80"/>
  <c r="CL133" i="80"/>
  <c r="CL135" i="80" s="1"/>
  <c r="CL124" i="80"/>
  <c r="CB133" i="80"/>
  <c r="CN122" i="80"/>
  <c r="CB124" i="80"/>
  <c r="BY134" i="80"/>
  <c r="BY135" i="80" s="1"/>
  <c r="CK123" i="80"/>
  <c r="BY124" i="80"/>
  <c r="CJ134" i="80"/>
  <c r="CG134" i="80"/>
  <c r="CM133" i="80"/>
  <c r="CM135" i="80" s="1"/>
  <c r="CM124" i="80"/>
  <c r="CJ135" i="80" l="1"/>
  <c r="CJ124" i="80"/>
  <c r="CN129" i="80"/>
  <c r="CN140" i="80"/>
  <c r="CH133" i="80"/>
  <c r="CH135" i="80" s="1"/>
  <c r="CH124" i="80"/>
  <c r="CM129" i="80"/>
  <c r="CM140" i="80"/>
  <c r="BT135" i="80"/>
  <c r="CA140" i="80"/>
  <c r="CG124" i="80"/>
  <c r="CG135" i="80"/>
  <c r="CB135" i="80"/>
  <c r="BY140" i="80"/>
  <c r="CK137" i="80"/>
  <c r="CK140" i="80" s="1"/>
  <c r="CK129" i="80"/>
  <c r="CF134" i="80"/>
  <c r="CF135" i="80" s="1"/>
  <c r="CF124" i="80"/>
  <c r="CN133" i="80"/>
  <c r="CN135" i="80" s="1"/>
  <c r="CN124" i="80"/>
  <c r="CK134" i="80"/>
  <c r="CK135" i="80" s="1"/>
  <c r="CK124" i="80"/>
  <c r="J13" i="80" l="1"/>
  <c r="B35" i="80" l="1"/>
  <c r="G18" i="80" l="1"/>
  <c r="J38" i="44" l="1"/>
  <c r="J37" i="44"/>
  <c r="Y41" i="44" l="1"/>
  <c r="Q12" i="44" l="1"/>
  <c r="Q13" i="44"/>
  <c r="Q14" i="44"/>
  <c r="Q15" i="44"/>
  <c r="Q16" i="44"/>
  <c r="Q17" i="44"/>
  <c r="Q18" i="44"/>
  <c r="Q19" i="44"/>
  <c r="Q21" i="44"/>
  <c r="Q23" i="44"/>
  <c r="P13" i="44"/>
  <c r="P14" i="44"/>
  <c r="P15" i="44"/>
  <c r="P16" i="44"/>
  <c r="P17" i="44"/>
  <c r="P18" i="44"/>
  <c r="P19" i="44"/>
  <c r="P21" i="44"/>
  <c r="P22" i="44"/>
  <c r="P23" i="44"/>
  <c r="P12" i="44"/>
  <c r="Y7" i="64"/>
  <c r="D7" i="64"/>
  <c r="D7" i="60"/>
  <c r="Y7" i="60"/>
  <c r="P3" i="91"/>
  <c r="P20" i="44" l="1"/>
  <c r="E54" i="108" s="1"/>
  <c r="C54" i="108"/>
  <c r="Q20" i="44"/>
  <c r="F54" i="108" s="1"/>
  <c r="D54" i="108"/>
  <c r="Q22" i="44"/>
  <c r="O3" i="115"/>
  <c r="D10" i="83"/>
  <c r="D11" i="83" s="1"/>
  <c r="A6" i="76" s="1"/>
  <c r="X9" i="113" l="1"/>
  <c r="Z6" i="78"/>
  <c r="I35" i="44" l="1"/>
  <c r="I34" i="44"/>
  <c r="I32" i="44"/>
  <c r="I31" i="44"/>
  <c r="I29" i="44"/>
  <c r="I28" i="44"/>
  <c r="I27" i="44"/>
  <c r="I25" i="44"/>
  <c r="I24" i="44"/>
  <c r="I23" i="44"/>
  <c r="I21" i="44"/>
  <c r="I20" i="44"/>
  <c r="I19" i="44"/>
  <c r="H19" i="44"/>
  <c r="O59" i="44" s="1"/>
  <c r="I16" i="44"/>
  <c r="I15" i="44"/>
  <c r="I14" i="44"/>
  <c r="I13" i="44"/>
  <c r="I12" i="44"/>
  <c r="C89" i="60" l="1"/>
  <c r="O27" i="76"/>
  <c r="O27" i="91"/>
  <c r="Q78" i="20"/>
  <c r="C90" i="115"/>
  <c r="J19" i="44"/>
  <c r="E19" i="108" s="1"/>
  <c r="G19" i="44"/>
  <c r="G21" i="44"/>
  <c r="D21" i="108" s="1"/>
  <c r="G20" i="44"/>
  <c r="D20" i="108" s="1"/>
  <c r="D19" i="108" l="1"/>
  <c r="P60" i="44"/>
  <c r="P59" i="44"/>
  <c r="H20" i="44"/>
  <c r="H21" i="44" s="1"/>
  <c r="J21" i="44" s="1"/>
  <c r="H23" i="44"/>
  <c r="C19" i="44"/>
  <c r="J20" i="44" l="1"/>
  <c r="C20" i="44" s="1"/>
  <c r="H27" i="44"/>
  <c r="J27" i="44" s="1"/>
  <c r="H24" i="44"/>
  <c r="J23" i="44"/>
  <c r="C21" i="44"/>
  <c r="E21" i="108"/>
  <c r="P3" i="65"/>
  <c r="R3" i="56"/>
  <c r="M3" i="113"/>
  <c r="Q3" i="55"/>
  <c r="P3" i="76"/>
  <c r="R3" i="20"/>
  <c r="E20" i="108" l="1"/>
  <c r="J24" i="44"/>
  <c r="H25" i="44"/>
  <c r="J25" i="44" s="1"/>
  <c r="C459" i="82" l="1"/>
  <c r="G459" i="82"/>
  <c r="F459" i="82"/>
  <c r="E459" i="82"/>
  <c r="D459" i="82"/>
  <c r="D7" i="83" l="1"/>
  <c r="C7" i="78" l="1"/>
  <c r="D7" i="78" s="1"/>
  <c r="E7" i="78" s="1"/>
  <c r="F7" i="78" s="1"/>
  <c r="G7" i="78" s="1"/>
  <c r="H7" i="78" s="1"/>
  <c r="I7" i="78" s="1"/>
  <c r="J7" i="78" s="1"/>
  <c r="K7" i="78" s="1"/>
  <c r="L7" i="78" s="1"/>
  <c r="M7" i="78" s="1"/>
  <c r="N7" i="78" s="1"/>
  <c r="P7" i="78" s="1"/>
  <c r="Q7" i="78" s="1"/>
  <c r="R7" i="78" s="1"/>
  <c r="S7" i="78" s="1"/>
  <c r="T7" i="78" s="1"/>
  <c r="U7" i="78" s="1"/>
  <c r="V7" i="78" s="1"/>
  <c r="W7" i="78" s="1"/>
  <c r="X7" i="78" s="1"/>
  <c r="Z7" i="78" s="1"/>
  <c r="AA7" i="78" s="1"/>
  <c r="AB7" i="78" s="1"/>
  <c r="AC7" i="78" s="1"/>
  <c r="AD7" i="78" s="1"/>
  <c r="AE7" i="78" s="1"/>
  <c r="AF7" i="78" s="1"/>
  <c r="AG7" i="78" s="1"/>
  <c r="AH7" i="78" s="1"/>
  <c r="AI7" i="78" s="1"/>
  <c r="AJ7" i="78" s="1"/>
  <c r="AK7" i="78" s="1"/>
  <c r="D7" i="72"/>
  <c r="E7" i="72" s="1"/>
  <c r="F7" i="72" s="1"/>
  <c r="G7" i="72" s="1"/>
  <c r="H7" i="72" s="1"/>
  <c r="I7" i="72" s="1"/>
  <c r="J7" i="72" s="1"/>
  <c r="K7" i="72" s="1"/>
  <c r="L7" i="72" s="1"/>
  <c r="M7" i="72" s="1"/>
  <c r="N7" i="72" s="1"/>
  <c r="O7" i="72" s="1"/>
  <c r="Q7" i="72" s="1"/>
  <c r="R7" i="72" s="1"/>
  <c r="S7" i="72" s="1"/>
  <c r="T7" i="72" s="1"/>
  <c r="U7" i="72" s="1"/>
  <c r="V7" i="72" s="1"/>
  <c r="W7" i="72" s="1"/>
  <c r="X7" i="72" s="1"/>
  <c r="Y7" i="72" s="1"/>
  <c r="AA7" i="72" s="1"/>
  <c r="AB7" i="72" s="1"/>
  <c r="AC7" i="72" s="1"/>
  <c r="AD7" i="72" s="1"/>
  <c r="AE7" i="72" s="1"/>
  <c r="AF7" i="72" s="1"/>
  <c r="AG7" i="72" s="1"/>
  <c r="AH7" i="72" s="1"/>
  <c r="AI7" i="72" s="1"/>
  <c r="AJ7" i="72" s="1"/>
  <c r="AK7" i="72" s="1"/>
  <c r="AL7" i="72" s="1"/>
  <c r="D13" i="83"/>
  <c r="A21" i="83" s="1"/>
  <c r="C48" i="82"/>
  <c r="B21" i="83" l="1"/>
  <c r="C21" i="83" s="1"/>
  <c r="AN9" i="72" s="1"/>
  <c r="AM7" i="78"/>
  <c r="AN7" i="78" s="1"/>
  <c r="AO7" i="78" s="1"/>
  <c r="AP7" i="78" s="1"/>
  <c r="AQ7" i="78" s="1"/>
  <c r="AR7" i="78" s="1"/>
  <c r="AN7" i="72"/>
  <c r="C49" i="82"/>
  <c r="D48" i="82"/>
  <c r="E48" i="82"/>
  <c r="F48" i="82" s="1"/>
  <c r="F156" i="44"/>
  <c r="F155" i="44" s="1"/>
  <c r="E156" i="44"/>
  <c r="E155" i="44" s="1"/>
  <c r="F147" i="44"/>
  <c r="F146" i="44"/>
  <c r="F145" i="44"/>
  <c r="D49" i="82" l="1"/>
  <c r="C50" i="82"/>
  <c r="E49" i="82"/>
  <c r="F49" i="82" s="1"/>
  <c r="CC94" i="80"/>
  <c r="C51" i="82" l="1"/>
  <c r="E50" i="82"/>
  <c r="F50" i="82" s="1"/>
  <c r="D50" i="82"/>
  <c r="C52" i="82" l="1"/>
  <c r="E51" i="82"/>
  <c r="F51" i="82" s="1"/>
  <c r="D51" i="82"/>
  <c r="C53" i="82" l="1"/>
  <c r="D52" i="82"/>
  <c r="E52" i="82"/>
  <c r="F52" i="82" s="1"/>
  <c r="C54" i="82" l="1"/>
  <c r="E53" i="82"/>
  <c r="F53" i="82" s="1"/>
  <c r="D53" i="82"/>
  <c r="C55" i="82" l="1"/>
  <c r="D54" i="82"/>
  <c r="E54" i="82"/>
  <c r="F54" i="82" s="1"/>
  <c r="U137" i="80" l="1"/>
  <c r="AG126" i="80"/>
  <c r="I137" i="80" s="1"/>
  <c r="C56" i="82"/>
  <c r="E55" i="82"/>
  <c r="F55" i="82" s="1"/>
  <c r="D55" i="82"/>
  <c r="V138" i="80" l="1"/>
  <c r="AH127" i="80"/>
  <c r="AH19" i="80" s="1"/>
  <c r="AH126" i="80"/>
  <c r="V137" i="80"/>
  <c r="U138" i="80"/>
  <c r="AG127" i="80"/>
  <c r="AG19" i="80" s="1"/>
  <c r="AG128" i="80"/>
  <c r="U139" i="80"/>
  <c r="U129" i="80"/>
  <c r="AS126" i="80"/>
  <c r="AG137" i="80"/>
  <c r="C57" i="82"/>
  <c r="E56" i="82"/>
  <c r="F56" i="82" s="1"/>
  <c r="D56" i="82"/>
  <c r="J138" i="80" l="1"/>
  <c r="AS128" i="80"/>
  <c r="BE128" i="80" s="1"/>
  <c r="BQ128" i="80" s="1"/>
  <c r="CC128" i="80" s="1"/>
  <c r="I139" i="80"/>
  <c r="AG138" i="80"/>
  <c r="AT126" i="80"/>
  <c r="BF126" i="80" s="1"/>
  <c r="BR126" i="80" s="1"/>
  <c r="CD126" i="80" s="1"/>
  <c r="J137" i="80"/>
  <c r="U140" i="80"/>
  <c r="BE126" i="80"/>
  <c r="AS137" i="80"/>
  <c r="AH128" i="80"/>
  <c r="V139" i="80"/>
  <c r="V140" i="80" s="1"/>
  <c r="W138" i="80"/>
  <c r="AI127" i="80"/>
  <c r="AI19" i="80" s="1"/>
  <c r="AI126" i="80"/>
  <c r="K137" i="80" s="1"/>
  <c r="W137" i="80"/>
  <c r="AG129" i="80"/>
  <c r="AS127" i="80"/>
  <c r="AS19" i="80" s="1"/>
  <c r="V129" i="80"/>
  <c r="AT127" i="80"/>
  <c r="AT19" i="80" s="1"/>
  <c r="AH138" i="80"/>
  <c r="AG139" i="80"/>
  <c r="C58" i="82"/>
  <c r="E57" i="82"/>
  <c r="F57" i="82" s="1"/>
  <c r="D57" i="82"/>
  <c r="X126" i="80"/>
  <c r="AH137" i="80"/>
  <c r="X127" i="80"/>
  <c r="AG140" i="80" l="1"/>
  <c r="AT128" i="80"/>
  <c r="BF128" i="80" s="1"/>
  <c r="BR128" i="80" s="1"/>
  <c r="CD128" i="80" s="1"/>
  <c r="J139" i="80"/>
  <c r="I138" i="80"/>
  <c r="I140" i="80" s="1"/>
  <c r="AU127" i="80"/>
  <c r="AU19" i="80" s="1"/>
  <c r="K138" i="80"/>
  <c r="AH129" i="80"/>
  <c r="AS129" i="80"/>
  <c r="BE127" i="80"/>
  <c r="BE19" i="80" s="1"/>
  <c r="AS138" i="80"/>
  <c r="X137" i="80"/>
  <c r="AJ126" i="80"/>
  <c r="AU126" i="80"/>
  <c r="X138" i="80"/>
  <c r="AJ127" i="80"/>
  <c r="AV127" i="80" s="1"/>
  <c r="BH127" i="80" s="1"/>
  <c r="BT127" i="80" s="1"/>
  <c r="CF127" i="80" s="1"/>
  <c r="BF127" i="80"/>
  <c r="BF19" i="80" s="1"/>
  <c r="BQ126" i="80"/>
  <c r="BE137" i="80"/>
  <c r="AI138" i="80"/>
  <c r="AS139" i="80"/>
  <c r="AH139" i="80"/>
  <c r="AH140" i="80" s="1"/>
  <c r="AT138" i="80"/>
  <c r="C59" i="82"/>
  <c r="E58" i="82"/>
  <c r="F58" i="82" s="1"/>
  <c r="D58" i="82"/>
  <c r="AI137" i="80"/>
  <c r="J140" i="80"/>
  <c r="Y126" i="80"/>
  <c r="L137" i="80"/>
  <c r="AT137" i="80"/>
  <c r="L138" i="80"/>
  <c r="Y127" i="80"/>
  <c r="AT129" i="80" l="1"/>
  <c r="BE138" i="80"/>
  <c r="BG127" i="80"/>
  <c r="BG19" i="80" s="1"/>
  <c r="AS140" i="80"/>
  <c r="Y138" i="80"/>
  <c r="AK127" i="80"/>
  <c r="AW127" i="80" s="1"/>
  <c r="BI127" i="80" s="1"/>
  <c r="BU127" i="80" s="1"/>
  <c r="CG127" i="80" s="1"/>
  <c r="AV126" i="80"/>
  <c r="BG126" i="80"/>
  <c r="L129" i="80"/>
  <c r="X128" i="80"/>
  <c r="CC126" i="80"/>
  <c r="BQ137" i="80"/>
  <c r="AK126" i="80"/>
  <c r="Y137" i="80"/>
  <c r="AI128" i="80"/>
  <c r="W139" i="80"/>
  <c r="W140" i="80" s="1"/>
  <c r="W129" i="80"/>
  <c r="BE129" i="80"/>
  <c r="BQ127" i="80"/>
  <c r="BQ19" i="80" s="1"/>
  <c r="BF129" i="80"/>
  <c r="BR127" i="80"/>
  <c r="BR19" i="80" s="1"/>
  <c r="AJ138" i="80"/>
  <c r="BF138" i="80"/>
  <c r="AT139" i="80"/>
  <c r="AT140" i="80" s="1"/>
  <c r="BE139" i="80"/>
  <c r="AU138" i="80"/>
  <c r="E59" i="82"/>
  <c r="F59" i="82" s="1"/>
  <c r="D59" i="82"/>
  <c r="AJ137" i="80"/>
  <c r="L139" i="80"/>
  <c r="BF137" i="80"/>
  <c r="Z126" i="80"/>
  <c r="M137" i="80"/>
  <c r="Z127" i="80"/>
  <c r="M138" i="80"/>
  <c r="AU137" i="80"/>
  <c r="BE140" i="80" l="1"/>
  <c r="BS127" i="80"/>
  <c r="BS19" i="80" s="1"/>
  <c r="K129" i="80"/>
  <c r="K139" i="80"/>
  <c r="K140" i="80" s="1"/>
  <c r="M129" i="80"/>
  <c r="Y128" i="80"/>
  <c r="BS126" i="80"/>
  <c r="CC137" i="80"/>
  <c r="BR129" i="80"/>
  <c r="CD127" i="80"/>
  <c r="CD19" i="80" s="1"/>
  <c r="AL127" i="80"/>
  <c r="AX127" i="80" s="1"/>
  <c r="BJ127" i="80" s="1"/>
  <c r="BV127" i="80" s="1"/>
  <c r="CH127" i="80" s="1"/>
  <c r="Z138" i="80"/>
  <c r="AW126" i="80"/>
  <c r="AL126" i="80"/>
  <c r="Z137" i="80"/>
  <c r="AJ128" i="80"/>
  <c r="AJ139" i="80" s="1"/>
  <c r="AJ140" i="80" s="1"/>
  <c r="X139" i="80"/>
  <c r="X140" i="80" s="1"/>
  <c r="X129" i="80"/>
  <c r="BQ129" i="80"/>
  <c r="CC127" i="80"/>
  <c r="CC19" i="80" s="1"/>
  <c r="BQ138" i="80"/>
  <c r="BH126" i="80"/>
  <c r="AU128" i="80"/>
  <c r="AI129" i="80"/>
  <c r="AI139" i="80"/>
  <c r="AI140" i="80" s="1"/>
  <c r="CC139" i="80"/>
  <c r="BQ139" i="80"/>
  <c r="BF139" i="80"/>
  <c r="BF140" i="80" s="1"/>
  <c r="AK138" i="80"/>
  <c r="BR138" i="80"/>
  <c r="BG138" i="80"/>
  <c r="AV138" i="80"/>
  <c r="BG137" i="80"/>
  <c r="AK137" i="80"/>
  <c r="Z128" i="80"/>
  <c r="M139" i="80"/>
  <c r="N137" i="80"/>
  <c r="AA126" i="80"/>
  <c r="L140" i="80"/>
  <c r="BR137" i="80"/>
  <c r="N138" i="80"/>
  <c r="AA127" i="80"/>
  <c r="AV137" i="80"/>
  <c r="CD129" i="80" l="1"/>
  <c r="CC129" i="80"/>
  <c r="CE127" i="80"/>
  <c r="CE138" i="80" s="1"/>
  <c r="CD138" i="80"/>
  <c r="BG128" i="80"/>
  <c r="BG139" i="80" s="1"/>
  <c r="BG140" i="80" s="1"/>
  <c r="AU129" i="80"/>
  <c r="BI126" i="80"/>
  <c r="AM127" i="80"/>
  <c r="AY127" i="80" s="1"/>
  <c r="BK127" i="80" s="1"/>
  <c r="BW127" i="80" s="1"/>
  <c r="CI127" i="80" s="1"/>
  <c r="AA138" i="80"/>
  <c r="BT126" i="80"/>
  <c r="AU139" i="80"/>
  <c r="AU140" i="80" s="1"/>
  <c r="AA137" i="80"/>
  <c r="AM126" i="80"/>
  <c r="BQ140" i="80"/>
  <c r="Z139" i="80"/>
  <c r="Z140" i="80" s="1"/>
  <c r="AL128" i="80"/>
  <c r="AX128" i="80" s="1"/>
  <c r="BJ128" i="80" s="1"/>
  <c r="BV128" i="80" s="1"/>
  <c r="CH128" i="80" s="1"/>
  <c r="AV128" i="80"/>
  <c r="AV139" i="80" s="1"/>
  <c r="AV140" i="80" s="1"/>
  <c r="AJ129" i="80"/>
  <c r="CE126" i="80"/>
  <c r="Z129" i="80"/>
  <c r="AK128" i="80"/>
  <c r="Y139" i="80"/>
  <c r="Y140" i="80" s="1"/>
  <c r="Y129" i="80"/>
  <c r="AX126" i="80"/>
  <c r="AW138" i="80"/>
  <c r="AL138" i="80"/>
  <c r="BH138" i="80"/>
  <c r="CD139" i="80"/>
  <c r="BR139" i="80"/>
  <c r="BR140" i="80" s="1"/>
  <c r="BS138" i="80"/>
  <c r="CC138" i="80"/>
  <c r="CC140" i="80" s="1"/>
  <c r="O137" i="80"/>
  <c r="AL137" i="80"/>
  <c r="AA128" i="80"/>
  <c r="AA129" i="80" s="1"/>
  <c r="N139" i="80"/>
  <c r="O138" i="80"/>
  <c r="AW137" i="80"/>
  <c r="BS137" i="80"/>
  <c r="BH137" i="80"/>
  <c r="M140" i="80"/>
  <c r="N129" i="80"/>
  <c r="AY126" i="80" l="1"/>
  <c r="AW128" i="80"/>
  <c r="AK129" i="80"/>
  <c r="CF126" i="80"/>
  <c r="AA139" i="80"/>
  <c r="AA140" i="80" s="1"/>
  <c r="AM128" i="80"/>
  <c r="AY128" i="80" s="1"/>
  <c r="BK128" i="80" s="1"/>
  <c r="BW128" i="80" s="1"/>
  <c r="CI128" i="80" s="1"/>
  <c r="BH128" i="80"/>
  <c r="AV129" i="80"/>
  <c r="BU126" i="80"/>
  <c r="AX129" i="80"/>
  <c r="BJ126" i="80"/>
  <c r="AK139" i="80"/>
  <c r="AK140" i="80" s="1"/>
  <c r="AL129" i="80"/>
  <c r="BS128" i="80"/>
  <c r="BG129" i="80"/>
  <c r="CF138" i="80"/>
  <c r="BT138" i="80"/>
  <c r="AM138" i="80"/>
  <c r="AL139" i="80"/>
  <c r="AL140" i="80" s="1"/>
  <c r="AW139" i="80"/>
  <c r="AW140" i="80" s="1"/>
  <c r="AX138" i="80"/>
  <c r="CD137" i="80"/>
  <c r="CD140" i="80" s="1"/>
  <c r="BI138" i="80"/>
  <c r="N140" i="80"/>
  <c r="O129" i="80"/>
  <c r="AX137" i="80"/>
  <c r="Q124" i="80"/>
  <c r="R124" i="80"/>
  <c r="T124" i="80"/>
  <c r="BI137" i="80"/>
  <c r="BT137" i="80"/>
  <c r="AM137" i="80"/>
  <c r="O139" i="80"/>
  <c r="P124" i="80"/>
  <c r="BT128" i="80" l="1"/>
  <c r="BH129" i="80"/>
  <c r="CE128" i="80"/>
  <c r="BS129" i="80"/>
  <c r="BS139" i="80"/>
  <c r="BS140" i="80" s="1"/>
  <c r="BJ129" i="80"/>
  <c r="BV126" i="80"/>
  <c r="BI128" i="80"/>
  <c r="BI139" i="80" s="1"/>
  <c r="BI140" i="80" s="1"/>
  <c r="AW129" i="80"/>
  <c r="BH139" i="80"/>
  <c r="BH140" i="80" s="1"/>
  <c r="AY129" i="80"/>
  <c r="BK126" i="80"/>
  <c r="CG126" i="80"/>
  <c r="AM129" i="80"/>
  <c r="BU138" i="80"/>
  <c r="CG138" i="80"/>
  <c r="CE137" i="80"/>
  <c r="BJ138" i="80"/>
  <c r="AX139" i="80"/>
  <c r="AX140" i="80" s="1"/>
  <c r="AY138" i="80"/>
  <c r="BT139" i="80"/>
  <c r="BT140" i="80" s="1"/>
  <c r="AM139" i="80"/>
  <c r="AM140" i="80" s="1"/>
  <c r="O140" i="80"/>
  <c r="BU137" i="80"/>
  <c r="BJ137" i="80"/>
  <c r="AY137" i="80"/>
  <c r="S124" i="80"/>
  <c r="BU128" i="80" l="1"/>
  <c r="BI129" i="80"/>
  <c r="BV129" i="80"/>
  <c r="CH126" i="80"/>
  <c r="CH129" i="80" s="1"/>
  <c r="CE139" i="80"/>
  <c r="CE140" i="80" s="1"/>
  <c r="CE129" i="80"/>
  <c r="BK129" i="80"/>
  <c r="BW126" i="80"/>
  <c r="CF128" i="80"/>
  <c r="BT129" i="80"/>
  <c r="BJ139" i="80"/>
  <c r="BJ140" i="80" s="1"/>
  <c r="BU139" i="80"/>
  <c r="BU140" i="80" s="1"/>
  <c r="AY139" i="80"/>
  <c r="AY140" i="80" s="1"/>
  <c r="CH138" i="80"/>
  <c r="BV138" i="80"/>
  <c r="BK138" i="80"/>
  <c r="CF137" i="80"/>
  <c r="BK137" i="80"/>
  <c r="BV137" i="80"/>
  <c r="BW129" i="80" l="1"/>
  <c r="CI126" i="80"/>
  <c r="CI129" i="80" s="1"/>
  <c r="CF139" i="80"/>
  <c r="CF140" i="80" s="1"/>
  <c r="CF129" i="80"/>
  <c r="CG128" i="80"/>
  <c r="BU129" i="80"/>
  <c r="CI138" i="80"/>
  <c r="BW138" i="80"/>
  <c r="CG137" i="80"/>
  <c r="BK139" i="80"/>
  <c r="BK140" i="80" s="1"/>
  <c r="BV139" i="80"/>
  <c r="BV140" i="80" s="1"/>
  <c r="CH139" i="80"/>
  <c r="BW137" i="80"/>
  <c r="CG139" i="80" l="1"/>
  <c r="CG140" i="80" s="1"/>
  <c r="CG129" i="80"/>
  <c r="CH137" i="80"/>
  <c r="CH140" i="80" s="1"/>
  <c r="CI139" i="80"/>
  <c r="BW139" i="80"/>
  <c r="BW140" i="80"/>
  <c r="CI137" i="80" l="1"/>
  <c r="CI140" i="80" s="1"/>
  <c r="I47" i="80" l="1"/>
  <c r="G23" i="108" l="1"/>
  <c r="V18" i="65"/>
  <c r="R52" i="60"/>
  <c r="S52" i="60" s="1"/>
  <c r="G31" i="108"/>
  <c r="S11" i="82" l="1"/>
  <c r="S12" i="82"/>
  <c r="S13" i="82"/>
  <c r="S14" i="82"/>
  <c r="S15" i="82"/>
  <c r="S16" i="82"/>
  <c r="S17" i="82"/>
  <c r="S18" i="82"/>
  <c r="S19" i="82"/>
  <c r="S20" i="82"/>
  <c r="S21" i="82"/>
  <c r="S22" i="82"/>
  <c r="S23" i="82"/>
  <c r="S24" i="82"/>
  <c r="S25" i="82"/>
  <c r="S26" i="82"/>
  <c r="S27" i="82"/>
  <c r="S28" i="82"/>
  <c r="S29" i="82"/>
  <c r="S30" i="82"/>
  <c r="S31" i="82"/>
  <c r="S32" i="82"/>
  <c r="S10" i="82"/>
  <c r="F48" i="60"/>
  <c r="R48" i="60" s="1"/>
  <c r="AD48" i="60" s="1"/>
  <c r="G48" i="60"/>
  <c r="S48" i="60" s="1"/>
  <c r="AE48" i="60" s="1"/>
  <c r="H48" i="60"/>
  <c r="T48" i="60" s="1"/>
  <c r="AF48" i="60" s="1"/>
  <c r="I48" i="60"/>
  <c r="J48" i="60"/>
  <c r="V48" i="60" s="1"/>
  <c r="AH48" i="60" s="1"/>
  <c r="M49" i="115" s="1"/>
  <c r="K48" i="60"/>
  <c r="W48" i="60" s="1"/>
  <c r="AI48" i="60" s="1"/>
  <c r="L48" i="60"/>
  <c r="M48" i="60"/>
  <c r="N48" i="60"/>
  <c r="Z48" i="60" s="1"/>
  <c r="O48" i="60"/>
  <c r="AA48" i="60" s="1"/>
  <c r="AM48" i="60" s="1"/>
  <c r="AY48" i="60" s="1"/>
  <c r="BK48" i="60" s="1"/>
  <c r="BW48" i="60" s="1"/>
  <c r="CI48" i="60" s="1"/>
  <c r="E35" i="44"/>
  <c r="E34" i="44"/>
  <c r="E29" i="44"/>
  <c r="G24" i="44"/>
  <c r="E83" i="60"/>
  <c r="Q83" i="60" s="1"/>
  <c r="AC83" i="60" s="1"/>
  <c r="H84" i="65" s="1"/>
  <c r="F83" i="60"/>
  <c r="R83" i="60" s="1"/>
  <c r="AD83" i="60" s="1"/>
  <c r="I84" i="65" s="1"/>
  <c r="G83" i="60"/>
  <c r="S83" i="60" s="1"/>
  <c r="AE83" i="60" s="1"/>
  <c r="AQ83" i="60" s="1"/>
  <c r="BC83" i="60" s="1"/>
  <c r="BO83" i="60" s="1"/>
  <c r="CA83" i="60" s="1"/>
  <c r="H83" i="60"/>
  <c r="T83" i="60" s="1"/>
  <c r="AF83" i="60" s="1"/>
  <c r="I83" i="60"/>
  <c r="U83" i="60" s="1"/>
  <c r="AG83" i="60" s="1"/>
  <c r="J83" i="60"/>
  <c r="V83" i="60" s="1"/>
  <c r="AH83" i="60" s="1"/>
  <c r="AT83" i="60" s="1"/>
  <c r="BF83" i="60" s="1"/>
  <c r="BR83" i="60" s="1"/>
  <c r="CD83" i="60" s="1"/>
  <c r="K83" i="60"/>
  <c r="W83" i="60" s="1"/>
  <c r="AI83" i="60" s="1"/>
  <c r="L83" i="60"/>
  <c r="X83" i="60" s="1"/>
  <c r="AJ83" i="60" s="1"/>
  <c r="O84" i="65" s="1"/>
  <c r="M83" i="60"/>
  <c r="Y83" i="60" s="1"/>
  <c r="N83" i="60"/>
  <c r="Z83" i="60" s="1"/>
  <c r="O83" i="60"/>
  <c r="AA83" i="60" s="1"/>
  <c r="AM83" i="60" s="1"/>
  <c r="AY83" i="60" s="1"/>
  <c r="BK83" i="60" s="1"/>
  <c r="BW83" i="60" s="1"/>
  <c r="CI83" i="60" s="1"/>
  <c r="O67" i="60"/>
  <c r="AA67" i="60" s="1"/>
  <c r="F68" i="65" s="1"/>
  <c r="E67" i="60"/>
  <c r="Q67" i="60" s="1"/>
  <c r="AC67" i="60" s="1"/>
  <c r="AO67" i="60" s="1"/>
  <c r="BA67" i="60" s="1"/>
  <c r="BM67" i="60" s="1"/>
  <c r="BY67" i="60" s="1"/>
  <c r="F67" i="60"/>
  <c r="R67" i="60" s="1"/>
  <c r="AD67" i="60" s="1"/>
  <c r="G67" i="60"/>
  <c r="S67" i="60" s="1"/>
  <c r="AE67" i="60" s="1"/>
  <c r="H67" i="60"/>
  <c r="T67" i="60" s="1"/>
  <c r="AF67" i="60" s="1"/>
  <c r="I67" i="60"/>
  <c r="U67" i="60" s="1"/>
  <c r="AG67" i="60" s="1"/>
  <c r="K67" i="60"/>
  <c r="W67" i="60" s="1"/>
  <c r="AI67" i="60" s="1"/>
  <c r="L67" i="60"/>
  <c r="X67" i="60" s="1"/>
  <c r="AJ67" i="60" s="1"/>
  <c r="AV67" i="60" s="1"/>
  <c r="BH67" i="60" s="1"/>
  <c r="BT67" i="60" s="1"/>
  <c r="CF67" i="60" s="1"/>
  <c r="M67" i="60"/>
  <c r="Y67" i="60" s="1"/>
  <c r="N67" i="60"/>
  <c r="Z67" i="60" s="1"/>
  <c r="D67" i="60"/>
  <c r="P67" i="60" s="1"/>
  <c r="AB67" i="60" s="1"/>
  <c r="H99" i="60"/>
  <c r="H18" i="72" s="1"/>
  <c r="E99" i="60"/>
  <c r="E18" i="72" s="1"/>
  <c r="Y50" i="64"/>
  <c r="AK50" i="64" s="1"/>
  <c r="X50" i="64"/>
  <c r="AJ50" i="64" s="1"/>
  <c r="AV50" i="64" s="1"/>
  <c r="BH50" i="64" s="1"/>
  <c r="BT50" i="64" s="1"/>
  <c r="CF50" i="64" s="1"/>
  <c r="V50" i="64"/>
  <c r="AH50" i="64" s="1"/>
  <c r="U50" i="64"/>
  <c r="AG50" i="64" s="1"/>
  <c r="T50" i="64"/>
  <c r="AF50" i="64" s="1"/>
  <c r="AR50" i="64" s="1"/>
  <c r="BD50" i="64" s="1"/>
  <c r="BP50" i="64" s="1"/>
  <c r="CB50" i="64" s="1"/>
  <c r="S50" i="64"/>
  <c r="AE50" i="64" s="1"/>
  <c r="AQ50" i="64" s="1"/>
  <c r="BC50" i="64" s="1"/>
  <c r="BO50" i="64" s="1"/>
  <c r="CA50" i="64" s="1"/>
  <c r="P50" i="64"/>
  <c r="AB50" i="64" s="1"/>
  <c r="AN50" i="64" s="1"/>
  <c r="AZ50" i="64" s="1"/>
  <c r="BL50" i="64" s="1"/>
  <c r="BX50" i="64" s="1"/>
  <c r="AA49" i="64"/>
  <c r="AM49" i="64" s="1"/>
  <c r="M51" i="64"/>
  <c r="W49" i="64"/>
  <c r="V49" i="64"/>
  <c r="I51" i="64"/>
  <c r="S49" i="64"/>
  <c r="R49" i="64"/>
  <c r="AD49" i="64" s="1"/>
  <c r="AP49" i="64" s="1"/>
  <c r="Q49" i="64"/>
  <c r="AC49" i="64" s="1"/>
  <c r="AO49" i="64" s="1"/>
  <c r="BA49" i="64" s="1"/>
  <c r="BM49" i="64" s="1"/>
  <c r="BY49" i="64" s="1"/>
  <c r="Z43" i="64"/>
  <c r="AL43" i="64" s="1"/>
  <c r="AX43" i="64" s="1"/>
  <c r="BJ43" i="64" s="1"/>
  <c r="BV43" i="64" s="1"/>
  <c r="CH43" i="64" s="1"/>
  <c r="Y43" i="64"/>
  <c r="W43" i="64"/>
  <c r="AI43" i="64" s="1"/>
  <c r="AU43" i="64" s="1"/>
  <c r="BG43" i="64" s="1"/>
  <c r="BS43" i="64" s="1"/>
  <c r="CE43" i="64" s="1"/>
  <c r="V43" i="64"/>
  <c r="AH43" i="64" s="1"/>
  <c r="AT43" i="64" s="1"/>
  <c r="BF43" i="64" s="1"/>
  <c r="BR43" i="64" s="1"/>
  <c r="CD43" i="64" s="1"/>
  <c r="U43" i="64"/>
  <c r="AG43" i="64" s="1"/>
  <c r="AS43" i="64" s="1"/>
  <c r="T43" i="64"/>
  <c r="AF43" i="64" s="1"/>
  <c r="AR43" i="64" s="1"/>
  <c r="BD43" i="64" s="1"/>
  <c r="BP43" i="64" s="1"/>
  <c r="CB43" i="64" s="1"/>
  <c r="R43" i="64"/>
  <c r="Q43" i="64"/>
  <c r="AC43" i="64" s="1"/>
  <c r="AO43" i="64" s="1"/>
  <c r="BA43" i="64" s="1"/>
  <c r="BM43" i="64" s="1"/>
  <c r="P43" i="64"/>
  <c r="AB43" i="64" s="1"/>
  <c r="AA42" i="64"/>
  <c r="AM42" i="64" s="1"/>
  <c r="N44" i="64"/>
  <c r="X42" i="64"/>
  <c r="AJ42" i="64" s="1"/>
  <c r="AV42" i="64" s="1"/>
  <c r="BH42" i="64" s="1"/>
  <c r="W42" i="64"/>
  <c r="U42" i="64"/>
  <c r="S42" i="64"/>
  <c r="AE42" i="64" s="1"/>
  <c r="AA37" i="64"/>
  <c r="AM37" i="64" s="1"/>
  <c r="Z37" i="64"/>
  <c r="AL37" i="64" s="1"/>
  <c r="Y37" i="64"/>
  <c r="AK37" i="64" s="1"/>
  <c r="AW37" i="64" s="1"/>
  <c r="BI37" i="64" s="1"/>
  <c r="BU37" i="64" s="1"/>
  <c r="CG37" i="64" s="1"/>
  <c r="X37" i="64"/>
  <c r="AJ37" i="64" s="1"/>
  <c r="AV37" i="64" s="1"/>
  <c r="W37" i="64"/>
  <c r="V37" i="64"/>
  <c r="U37" i="64"/>
  <c r="AG37" i="64" s="1"/>
  <c r="AS37" i="64" s="1"/>
  <c r="BE37" i="64" s="1"/>
  <c r="BQ37" i="64" s="1"/>
  <c r="CC37" i="64" s="1"/>
  <c r="T37" i="64"/>
  <c r="AF37" i="64" s="1"/>
  <c r="AR37" i="64" s="1"/>
  <c r="BD37" i="64" s="1"/>
  <c r="BP37" i="64" s="1"/>
  <c r="CB37" i="64" s="1"/>
  <c r="S37" i="64"/>
  <c r="R37" i="64"/>
  <c r="AD37" i="64" s="1"/>
  <c r="AP37" i="64" s="1"/>
  <c r="BB37" i="64" s="1"/>
  <c r="BN37" i="64" s="1"/>
  <c r="BZ37" i="64" s="1"/>
  <c r="Q37" i="64"/>
  <c r="P37" i="64"/>
  <c r="AB37" i="64" s="1"/>
  <c r="AN37" i="64" s="1"/>
  <c r="AZ37" i="64" s="1"/>
  <c r="BL37" i="64" s="1"/>
  <c r="BX37" i="64" s="1"/>
  <c r="Z36" i="64"/>
  <c r="AL36" i="64" s="1"/>
  <c r="AX36" i="64" s="1"/>
  <c r="BJ36" i="64" s="1"/>
  <c r="BV36" i="64" s="1"/>
  <c r="CH36" i="64" s="1"/>
  <c r="K38" i="64"/>
  <c r="J38" i="64"/>
  <c r="U36" i="64"/>
  <c r="T36" i="64"/>
  <c r="Q36" i="64"/>
  <c r="AC36" i="64" s="1"/>
  <c r="AA31" i="64"/>
  <c r="AM31" i="64" s="1"/>
  <c r="AY31" i="64" s="1"/>
  <c r="BK31" i="64" s="1"/>
  <c r="BW31" i="64" s="1"/>
  <c r="CI31" i="64" s="1"/>
  <c r="Z31" i="64"/>
  <c r="Y31" i="64"/>
  <c r="AK31" i="64" s="1"/>
  <c r="AW31" i="64" s="1"/>
  <c r="BI31" i="64" s="1"/>
  <c r="BU31" i="64" s="1"/>
  <c r="CG31" i="64" s="1"/>
  <c r="X31" i="64"/>
  <c r="AJ31" i="64" s="1"/>
  <c r="AV31" i="64" s="1"/>
  <c r="BH31" i="64" s="1"/>
  <c r="BT31" i="64" s="1"/>
  <c r="CF31" i="64" s="1"/>
  <c r="W31" i="64"/>
  <c r="V31" i="64"/>
  <c r="AH31" i="64" s="1"/>
  <c r="AT31" i="64" s="1"/>
  <c r="BF31" i="64" s="1"/>
  <c r="BR31" i="64" s="1"/>
  <c r="CD31" i="64" s="1"/>
  <c r="U31" i="64"/>
  <c r="AG31" i="64" s="1"/>
  <c r="AS31" i="64" s="1"/>
  <c r="BE31" i="64" s="1"/>
  <c r="BQ31" i="64" s="1"/>
  <c r="CC31" i="64" s="1"/>
  <c r="T31" i="64"/>
  <c r="S31" i="64"/>
  <c r="AE31" i="64" s="1"/>
  <c r="AQ31" i="64" s="1"/>
  <c r="BC31" i="64" s="1"/>
  <c r="BO31" i="64" s="1"/>
  <c r="CA31" i="64" s="1"/>
  <c r="Q31" i="64"/>
  <c r="P31" i="64"/>
  <c r="AB31" i="64" s="1"/>
  <c r="AA30" i="64"/>
  <c r="Z30" i="64"/>
  <c r="AL30" i="64" s="1"/>
  <c r="L32" i="64"/>
  <c r="K32" i="64"/>
  <c r="J32" i="64"/>
  <c r="T30" i="64"/>
  <c r="AF30" i="64" s="1"/>
  <c r="AR30" i="64" s="1"/>
  <c r="BD30" i="64" s="1"/>
  <c r="BP30" i="64" s="1"/>
  <c r="R30" i="64"/>
  <c r="AD30" i="64" s="1"/>
  <c r="AP30" i="64" s="1"/>
  <c r="BB30" i="64" s="1"/>
  <c r="AA25" i="64"/>
  <c r="AM25" i="64" s="1"/>
  <c r="AY25" i="64" s="1"/>
  <c r="BK25" i="64" s="1"/>
  <c r="BW25" i="64" s="1"/>
  <c r="CI25" i="64" s="1"/>
  <c r="Z25" i="64"/>
  <c r="AL25" i="64" s="1"/>
  <c r="AX25" i="64" s="1"/>
  <c r="BJ25" i="64" s="1"/>
  <c r="BV25" i="64" s="1"/>
  <c r="CH25" i="64" s="1"/>
  <c r="Y25" i="64"/>
  <c r="AK25" i="64" s="1"/>
  <c r="AW25" i="64" s="1"/>
  <c r="BI25" i="64" s="1"/>
  <c r="BU25" i="64" s="1"/>
  <c r="CG25" i="64" s="1"/>
  <c r="X25" i="64"/>
  <c r="AJ25" i="64" s="1"/>
  <c r="AV25" i="64" s="1"/>
  <c r="BH25" i="64" s="1"/>
  <c r="BT25" i="64" s="1"/>
  <c r="CF25" i="64" s="1"/>
  <c r="W25" i="64"/>
  <c r="AI25" i="64" s="1"/>
  <c r="AU25" i="64" s="1"/>
  <c r="BG25" i="64" s="1"/>
  <c r="BS25" i="64" s="1"/>
  <c r="CE25" i="64" s="1"/>
  <c r="V25" i="64"/>
  <c r="U25" i="64"/>
  <c r="AG25" i="64" s="1"/>
  <c r="AS25" i="64" s="1"/>
  <c r="BE25" i="64" s="1"/>
  <c r="BQ25" i="64" s="1"/>
  <c r="CC25" i="64" s="1"/>
  <c r="R25" i="64"/>
  <c r="AD25" i="64" s="1"/>
  <c r="AP25" i="64" s="1"/>
  <c r="BB25" i="64" s="1"/>
  <c r="BN25" i="64" s="1"/>
  <c r="BZ25" i="64" s="1"/>
  <c r="Q25" i="64"/>
  <c r="AC25" i="64" s="1"/>
  <c r="Z24" i="64"/>
  <c r="X24" i="64"/>
  <c r="W24" i="64"/>
  <c r="V24" i="64"/>
  <c r="AH24" i="64" s="1"/>
  <c r="AT24" i="64" s="1"/>
  <c r="BF24" i="64" s="1"/>
  <c r="BR24" i="64" s="1"/>
  <c r="T24" i="64"/>
  <c r="S24" i="64"/>
  <c r="AE24" i="64" s="1"/>
  <c r="R24" i="64"/>
  <c r="P24" i="64"/>
  <c r="AB24" i="64" s="1"/>
  <c r="Z19" i="64"/>
  <c r="Y19" i="64"/>
  <c r="AK19" i="64" s="1"/>
  <c r="AW19" i="64" s="1"/>
  <c r="X19" i="64"/>
  <c r="AJ19" i="64" s="1"/>
  <c r="W19" i="64"/>
  <c r="AI19" i="64" s="1"/>
  <c r="AU19" i="64" s="1"/>
  <c r="BG19" i="64" s="1"/>
  <c r="BS19" i="64" s="1"/>
  <c r="CE19" i="64" s="1"/>
  <c r="V19" i="64"/>
  <c r="AH19" i="64" s="1"/>
  <c r="AT19" i="64" s="1"/>
  <c r="BF19" i="64" s="1"/>
  <c r="BR19" i="64" s="1"/>
  <c r="CD19" i="64" s="1"/>
  <c r="U19" i="64"/>
  <c r="AG19" i="64" s="1"/>
  <c r="AS19" i="64" s="1"/>
  <c r="BE19" i="64" s="1"/>
  <c r="BQ19" i="64" s="1"/>
  <c r="CC19" i="64" s="1"/>
  <c r="T19" i="64"/>
  <c r="AF19" i="64" s="1"/>
  <c r="S19" i="64"/>
  <c r="AE19" i="64" s="1"/>
  <c r="AQ19" i="64" s="1"/>
  <c r="BC19" i="64" s="1"/>
  <c r="BO19" i="64" s="1"/>
  <c r="CA19" i="64" s="1"/>
  <c r="R19" i="64"/>
  <c r="AD19" i="64" s="1"/>
  <c r="AP19" i="64" s="1"/>
  <c r="BB19" i="64" s="1"/>
  <c r="BN19" i="64" s="1"/>
  <c r="BZ19" i="64" s="1"/>
  <c r="Q19" i="64"/>
  <c r="P19" i="64"/>
  <c r="AB19" i="64" s="1"/>
  <c r="AN19" i="64" s="1"/>
  <c r="AZ19" i="64" s="1"/>
  <c r="BL19" i="64" s="1"/>
  <c r="BX19" i="64" s="1"/>
  <c r="AA18" i="64"/>
  <c r="AM18" i="64" s="1"/>
  <c r="AY18" i="64" s="1"/>
  <c r="BK18" i="64" s="1"/>
  <c r="N20" i="64"/>
  <c r="X18" i="64"/>
  <c r="AJ18" i="64" s="1"/>
  <c r="AV18" i="64" s="1"/>
  <c r="BH18" i="64" s="1"/>
  <c r="W18" i="64"/>
  <c r="J20" i="64"/>
  <c r="T18" i="64"/>
  <c r="AF18" i="64" s="1"/>
  <c r="AR18" i="64" s="1"/>
  <c r="BD18" i="64" s="1"/>
  <c r="Q18" i="64"/>
  <c r="AC18" i="64" s="1"/>
  <c r="AO18" i="64" s="1"/>
  <c r="BA18" i="64" s="1"/>
  <c r="BM18" i="64" s="1"/>
  <c r="BY18" i="64" s="1"/>
  <c r="AA13" i="64"/>
  <c r="AM13" i="64" s="1"/>
  <c r="Z13" i="64"/>
  <c r="AL13" i="64" s="1"/>
  <c r="AX13" i="64" s="1"/>
  <c r="BJ13" i="64" s="1"/>
  <c r="BV13" i="64" s="1"/>
  <c r="CH13" i="64" s="1"/>
  <c r="X13" i="64"/>
  <c r="AJ13" i="64" s="1"/>
  <c r="V13" i="64"/>
  <c r="AH13" i="64" s="1"/>
  <c r="AT13" i="64" s="1"/>
  <c r="BF13" i="64" s="1"/>
  <c r="BR13" i="64" s="1"/>
  <c r="CD13" i="64" s="1"/>
  <c r="U13" i="64"/>
  <c r="AG13" i="64" s="1"/>
  <c r="AS13" i="64" s="1"/>
  <c r="BE13" i="64" s="1"/>
  <c r="BQ13" i="64" s="1"/>
  <c r="CC13" i="64" s="1"/>
  <c r="T13" i="64"/>
  <c r="S13" i="64"/>
  <c r="AE13" i="64" s="1"/>
  <c r="AQ13" i="64" s="1"/>
  <c r="BC13" i="64" s="1"/>
  <c r="BO13" i="64" s="1"/>
  <c r="CA13" i="64" s="1"/>
  <c r="R13" i="64"/>
  <c r="AD13" i="64" s="1"/>
  <c r="P13" i="64"/>
  <c r="AA12" i="64"/>
  <c r="Y12" i="64"/>
  <c r="AK12" i="64" s="1"/>
  <c r="AW12" i="64" s="1"/>
  <c r="BI12" i="64" s="1"/>
  <c r="BU12" i="64" s="1"/>
  <c r="T12" i="64"/>
  <c r="AF12" i="64" s="1"/>
  <c r="AR12" i="64" s="1"/>
  <c r="BD12" i="64" s="1"/>
  <c r="BP12" i="64" s="1"/>
  <c r="S12" i="64"/>
  <c r="Q12" i="64"/>
  <c r="AC12" i="64" s="1"/>
  <c r="AO12" i="64" s="1"/>
  <c r="BA12" i="64" s="1"/>
  <c r="BM12" i="64" s="1"/>
  <c r="BY12" i="64" s="1"/>
  <c r="N84" i="20"/>
  <c r="M84" i="20"/>
  <c r="L84" i="20"/>
  <c r="K84" i="20"/>
  <c r="J84" i="20"/>
  <c r="H84" i="20"/>
  <c r="G84" i="20"/>
  <c r="F84" i="20"/>
  <c r="E84" i="20"/>
  <c r="D84" i="20"/>
  <c r="O92" i="60"/>
  <c r="AA92" i="60" s="1"/>
  <c r="AM92" i="60" s="1"/>
  <c r="AY92" i="60" s="1"/>
  <c r="BK92" i="60" s="1"/>
  <c r="BW92" i="60" s="1"/>
  <c r="CI92" i="60" s="1"/>
  <c r="N92" i="60"/>
  <c r="Z92" i="60" s="1"/>
  <c r="M92" i="60"/>
  <c r="Y92" i="60" s="1"/>
  <c r="L92" i="60"/>
  <c r="X92" i="60" s="1"/>
  <c r="AJ92" i="60" s="1"/>
  <c r="K92" i="60"/>
  <c r="W92" i="60" s="1"/>
  <c r="AI92" i="60" s="1"/>
  <c r="J92" i="60"/>
  <c r="V92" i="60" s="1"/>
  <c r="AH92" i="60" s="1"/>
  <c r="I92" i="60"/>
  <c r="U92" i="60" s="1"/>
  <c r="AG92" i="60" s="1"/>
  <c r="L93" i="65" s="1"/>
  <c r="H92" i="60"/>
  <c r="T92" i="60" s="1"/>
  <c r="AF92" i="60" s="1"/>
  <c r="G92" i="60"/>
  <c r="S92" i="60" s="1"/>
  <c r="AE92" i="60" s="1"/>
  <c r="AQ92" i="60" s="1"/>
  <c r="BC92" i="60" s="1"/>
  <c r="BO92" i="60" s="1"/>
  <c r="CA92" i="60" s="1"/>
  <c r="F92" i="60"/>
  <c r="R92" i="60" s="1"/>
  <c r="AD92" i="60" s="1"/>
  <c r="AP92" i="60" s="1"/>
  <c r="BB92" i="60" s="1"/>
  <c r="BN92" i="60" s="1"/>
  <c r="BZ92" i="60" s="1"/>
  <c r="E92" i="60"/>
  <c r="Q92" i="60" s="1"/>
  <c r="AC92" i="60" s="1"/>
  <c r="D92" i="60"/>
  <c r="P92" i="60" s="1"/>
  <c r="AB92" i="60" s="1"/>
  <c r="L75" i="20"/>
  <c r="K75" i="20"/>
  <c r="F75" i="20"/>
  <c r="N66" i="20"/>
  <c r="M66" i="20"/>
  <c r="L66" i="20"/>
  <c r="K66" i="20"/>
  <c r="J66" i="20"/>
  <c r="I66" i="20"/>
  <c r="G66" i="20"/>
  <c r="F66" i="20"/>
  <c r="E66" i="20"/>
  <c r="D66" i="20"/>
  <c r="C66" i="20"/>
  <c r="M60" i="20"/>
  <c r="H60" i="20"/>
  <c r="D68" i="82"/>
  <c r="C68" i="82"/>
  <c r="N84" i="113"/>
  <c r="O39" i="60" s="1"/>
  <c r="N14" i="78" s="1"/>
  <c r="M84" i="113"/>
  <c r="N39" i="60" s="1"/>
  <c r="M14" i="78" s="1"/>
  <c r="L84" i="113"/>
  <c r="M39" i="60" s="1"/>
  <c r="L14" i="78" s="1"/>
  <c r="K84" i="113"/>
  <c r="L39" i="60" s="1"/>
  <c r="K14" i="78" s="1"/>
  <c r="J84" i="113"/>
  <c r="K39" i="60" s="1"/>
  <c r="J14" i="78" s="1"/>
  <c r="I84" i="113"/>
  <c r="J39" i="60" s="1"/>
  <c r="I14" i="78" s="1"/>
  <c r="H84" i="113"/>
  <c r="I39" i="60" s="1"/>
  <c r="H14" i="78" s="1"/>
  <c r="G84" i="113"/>
  <c r="H39" i="60" s="1"/>
  <c r="G14" i="78" s="1"/>
  <c r="F84" i="113"/>
  <c r="G39" i="60" s="1"/>
  <c r="F14" i="78" s="1"/>
  <c r="D84" i="113"/>
  <c r="C84" i="113"/>
  <c r="N57" i="113"/>
  <c r="M57" i="113"/>
  <c r="L57" i="113"/>
  <c r="L21" i="60"/>
  <c r="J57" i="113"/>
  <c r="H21" i="60"/>
  <c r="D57" i="113"/>
  <c r="C57" i="113"/>
  <c r="O57" i="113" s="1"/>
  <c r="P21" i="60" s="1"/>
  <c r="N30" i="113"/>
  <c r="M30" i="113"/>
  <c r="L30" i="113"/>
  <c r="L12" i="60"/>
  <c r="K11" i="78" s="1"/>
  <c r="I12" i="60"/>
  <c r="H11" i="78" s="1"/>
  <c r="H30" i="113"/>
  <c r="G30" i="113"/>
  <c r="E30" i="113"/>
  <c r="E12" i="60"/>
  <c r="D11" i="78" s="1"/>
  <c r="B12" i="82"/>
  <c r="CD35" i="80"/>
  <c r="CB35" i="80"/>
  <c r="BW35" i="80"/>
  <c r="BR35" i="80"/>
  <c r="BQ35" i="80"/>
  <c r="BM35" i="80"/>
  <c r="BG35" i="80"/>
  <c r="BF35" i="80"/>
  <c r="BC35" i="80"/>
  <c r="AV35" i="80"/>
  <c r="AU35" i="80"/>
  <c r="AJ35" i="80"/>
  <c r="AI35" i="80"/>
  <c r="W35" i="80"/>
  <c r="S35" i="80"/>
  <c r="L35" i="80"/>
  <c r="E47" i="80"/>
  <c r="I35" i="80"/>
  <c r="I42" i="80" s="1"/>
  <c r="G100" i="80"/>
  <c r="H100" i="80" s="1"/>
  <c r="F102" i="80"/>
  <c r="G102" i="80" s="1"/>
  <c r="H102" i="80" s="1"/>
  <c r="F98" i="80"/>
  <c r="J100" i="80"/>
  <c r="K100" i="80" s="1"/>
  <c r="J99" i="80"/>
  <c r="K99" i="80" s="1"/>
  <c r="J96" i="80"/>
  <c r="K96" i="80" s="1"/>
  <c r="L96" i="80" s="1"/>
  <c r="M96" i="80" s="1"/>
  <c r="N96" i="80" s="1"/>
  <c r="O96" i="80" s="1"/>
  <c r="P96" i="80" s="1"/>
  <c r="Q96" i="80" s="1"/>
  <c r="R96" i="80" s="1"/>
  <c r="S96" i="80" s="1"/>
  <c r="T96" i="80" s="1"/>
  <c r="U96" i="80" s="1"/>
  <c r="V96" i="80" s="1"/>
  <c r="W96" i="80" s="1"/>
  <c r="X96" i="80" s="1"/>
  <c r="Y96" i="80" s="1"/>
  <c r="Z96" i="80" s="1"/>
  <c r="AA96" i="80" s="1"/>
  <c r="AB96" i="80" s="1"/>
  <c r="AC96" i="80" s="1"/>
  <c r="AD96" i="80" s="1"/>
  <c r="AE96" i="80" s="1"/>
  <c r="AF96" i="80" s="1"/>
  <c r="AG96" i="80" s="1"/>
  <c r="AH96" i="80" s="1"/>
  <c r="AI96" i="80" s="1"/>
  <c r="AJ96" i="80" s="1"/>
  <c r="AK96" i="80" s="1"/>
  <c r="AL96" i="80" s="1"/>
  <c r="AM96" i="80" s="1"/>
  <c r="AN96" i="80" s="1"/>
  <c r="AO96" i="80" s="1"/>
  <c r="AP96" i="80" s="1"/>
  <c r="AQ96" i="80" s="1"/>
  <c r="AR96" i="80" s="1"/>
  <c r="AS96" i="80" s="1"/>
  <c r="AT96" i="80" s="1"/>
  <c r="AU96" i="80" s="1"/>
  <c r="AV96" i="80" s="1"/>
  <c r="AW96" i="80" s="1"/>
  <c r="AX96" i="80" s="1"/>
  <c r="AY96" i="80" s="1"/>
  <c r="AZ96" i="80" s="1"/>
  <c r="BA96" i="80" s="1"/>
  <c r="BB96" i="80" s="1"/>
  <c r="BC96" i="80" s="1"/>
  <c r="BD96" i="80" s="1"/>
  <c r="BE96" i="80" s="1"/>
  <c r="BF96" i="80" s="1"/>
  <c r="BG96" i="80" s="1"/>
  <c r="BH96" i="80" s="1"/>
  <c r="BI96" i="80" s="1"/>
  <c r="BJ96" i="80" s="1"/>
  <c r="BK96" i="80" s="1"/>
  <c r="BL96" i="80" s="1"/>
  <c r="BM96" i="80" s="1"/>
  <c r="BN96" i="80" s="1"/>
  <c r="BO96" i="80" s="1"/>
  <c r="BP96" i="80" s="1"/>
  <c r="BQ96" i="80" s="1"/>
  <c r="BR96" i="80" s="1"/>
  <c r="BS96" i="80" s="1"/>
  <c r="BT96" i="80" s="1"/>
  <c r="BU96" i="80" s="1"/>
  <c r="BV96" i="80" s="1"/>
  <c r="BW96" i="80" s="1"/>
  <c r="BX96" i="80" s="1"/>
  <c r="BY96" i="80" s="1"/>
  <c r="BZ96" i="80" s="1"/>
  <c r="CA96" i="80" s="1"/>
  <c r="CB96" i="80" s="1"/>
  <c r="CC96" i="80" s="1"/>
  <c r="I97" i="80"/>
  <c r="J97" i="80" s="1"/>
  <c r="K97" i="80" s="1"/>
  <c r="J93" i="80"/>
  <c r="K93" i="80" s="1"/>
  <c r="I98" i="80"/>
  <c r="J35" i="80"/>
  <c r="A22" i="83"/>
  <c r="A23" i="83" s="1"/>
  <c r="A24" i="83" s="1"/>
  <c r="A25" i="83" s="1"/>
  <c r="A26" i="83" s="1"/>
  <c r="B22" i="83"/>
  <c r="P74" i="113"/>
  <c r="P48" i="113"/>
  <c r="Q48" i="113" s="1"/>
  <c r="R48" i="113" s="1"/>
  <c r="S48" i="113" s="1"/>
  <c r="T48" i="113" s="1"/>
  <c r="U48" i="113" s="1"/>
  <c r="V48" i="113" s="1"/>
  <c r="W48" i="113" s="1"/>
  <c r="X48" i="113" s="1"/>
  <c r="Y48" i="113" s="1"/>
  <c r="Z48" i="113" s="1"/>
  <c r="AA48" i="113" s="1"/>
  <c r="AB48" i="113" s="1"/>
  <c r="AC48" i="113" s="1"/>
  <c r="AD48" i="113" s="1"/>
  <c r="AE48" i="113" s="1"/>
  <c r="AF48" i="113" s="1"/>
  <c r="AG48" i="113" s="1"/>
  <c r="AH48" i="113" s="1"/>
  <c r="AI48" i="113" s="1"/>
  <c r="AJ48" i="113" s="1"/>
  <c r="AK48" i="113" s="1"/>
  <c r="AL48" i="113" s="1"/>
  <c r="AM48" i="113" s="1"/>
  <c r="AN48" i="113" s="1"/>
  <c r="AO48" i="113" s="1"/>
  <c r="AP48" i="113" s="1"/>
  <c r="AQ48" i="113" s="1"/>
  <c r="AR48" i="113" s="1"/>
  <c r="AS48" i="113" s="1"/>
  <c r="AT48" i="113" s="1"/>
  <c r="AU48" i="113" s="1"/>
  <c r="AV48" i="113" s="1"/>
  <c r="AW48" i="113" s="1"/>
  <c r="AX48" i="113" s="1"/>
  <c r="AY48" i="113" s="1"/>
  <c r="AZ48" i="113" s="1"/>
  <c r="BA48" i="113" s="1"/>
  <c r="BB48" i="113" s="1"/>
  <c r="BC48" i="113" s="1"/>
  <c r="BD48" i="113" s="1"/>
  <c r="BE48" i="113" s="1"/>
  <c r="BF48" i="113" s="1"/>
  <c r="BG48" i="113" s="1"/>
  <c r="BH48" i="113" s="1"/>
  <c r="BI48" i="113" s="1"/>
  <c r="BJ48" i="113" s="1"/>
  <c r="BK48" i="113" s="1"/>
  <c r="BL48" i="113" s="1"/>
  <c r="BM48" i="113" s="1"/>
  <c r="BN48" i="113" s="1"/>
  <c r="BO48" i="113" s="1"/>
  <c r="BP48" i="113" s="1"/>
  <c r="BQ48" i="113" s="1"/>
  <c r="BR48" i="113" s="1"/>
  <c r="BS48" i="113" s="1"/>
  <c r="BT48" i="113" s="1"/>
  <c r="BU48" i="113" s="1"/>
  <c r="BV48" i="113" s="1"/>
  <c r="BW48" i="113" s="1"/>
  <c r="BX48" i="113" s="1"/>
  <c r="BY48" i="113" s="1"/>
  <c r="BZ48" i="113" s="1"/>
  <c r="CA48" i="113" s="1"/>
  <c r="CB48" i="113" s="1"/>
  <c r="CC48" i="113" s="1"/>
  <c r="CD48" i="113" s="1"/>
  <c r="CE48" i="113" s="1"/>
  <c r="CF48" i="113" s="1"/>
  <c r="CG48" i="113" s="1"/>
  <c r="CH48" i="113" s="1"/>
  <c r="P47" i="113"/>
  <c r="P46" i="113"/>
  <c r="P21" i="113"/>
  <c r="Q21" i="113" s="1"/>
  <c r="R21" i="113" s="1"/>
  <c r="S21" i="113" s="1"/>
  <c r="T21" i="113" s="1"/>
  <c r="U21" i="113" s="1"/>
  <c r="V21" i="113" s="1"/>
  <c r="W21" i="113" s="1"/>
  <c r="X21" i="113" s="1"/>
  <c r="Y21" i="113" s="1"/>
  <c r="Z21" i="113" s="1"/>
  <c r="AA21" i="113" s="1"/>
  <c r="AB21" i="113" s="1"/>
  <c r="AC21" i="113" s="1"/>
  <c r="AD21" i="113" s="1"/>
  <c r="AE21" i="113" s="1"/>
  <c r="AF21" i="113" s="1"/>
  <c r="AG21" i="113" s="1"/>
  <c r="AH21" i="113" s="1"/>
  <c r="AI21" i="113" s="1"/>
  <c r="AJ21" i="113" s="1"/>
  <c r="AK21" i="113" s="1"/>
  <c r="AL21" i="113" s="1"/>
  <c r="AM21" i="113" s="1"/>
  <c r="AN21" i="113" s="1"/>
  <c r="AO21" i="113" s="1"/>
  <c r="AP21" i="113" s="1"/>
  <c r="AQ21" i="113" s="1"/>
  <c r="AR21" i="113" s="1"/>
  <c r="AS21" i="113" s="1"/>
  <c r="AT21" i="113" s="1"/>
  <c r="AU21" i="113" s="1"/>
  <c r="AV21" i="113" s="1"/>
  <c r="AW21" i="113" s="1"/>
  <c r="AX21" i="113" s="1"/>
  <c r="AY21" i="113" s="1"/>
  <c r="AZ21" i="113" s="1"/>
  <c r="BA21" i="113" s="1"/>
  <c r="BB21" i="113" s="1"/>
  <c r="BC21" i="113" s="1"/>
  <c r="BD21" i="113" s="1"/>
  <c r="BE21" i="113" s="1"/>
  <c r="BF21" i="113" s="1"/>
  <c r="BG21" i="113" s="1"/>
  <c r="BH21" i="113" s="1"/>
  <c r="BI21" i="113" s="1"/>
  <c r="BJ21" i="113" s="1"/>
  <c r="BK21" i="113" s="1"/>
  <c r="BL21" i="113" s="1"/>
  <c r="BM21" i="113" s="1"/>
  <c r="BN21" i="113" s="1"/>
  <c r="BO21" i="113" s="1"/>
  <c r="BP21" i="113" s="1"/>
  <c r="BQ21" i="113" s="1"/>
  <c r="BR21" i="113" s="1"/>
  <c r="BS21" i="113" s="1"/>
  <c r="BT21" i="113" s="1"/>
  <c r="BU21" i="113" s="1"/>
  <c r="BV21" i="113" s="1"/>
  <c r="BW21" i="113" s="1"/>
  <c r="BX21" i="113" s="1"/>
  <c r="BY21" i="113" s="1"/>
  <c r="BZ21" i="113" s="1"/>
  <c r="CA21" i="113" s="1"/>
  <c r="CB21" i="113" s="1"/>
  <c r="CC21" i="113" s="1"/>
  <c r="CD21" i="113" s="1"/>
  <c r="CE21" i="113" s="1"/>
  <c r="CF21" i="113" s="1"/>
  <c r="CG21" i="113" s="1"/>
  <c r="CH21" i="113" s="1"/>
  <c r="P20" i="113"/>
  <c r="K60" i="60"/>
  <c r="I60" i="60"/>
  <c r="O26" i="60"/>
  <c r="O35" i="60" s="1"/>
  <c r="N26" i="60"/>
  <c r="N35" i="60" s="1"/>
  <c r="M26" i="60"/>
  <c r="M35" i="60" s="1"/>
  <c r="K26" i="60"/>
  <c r="K35" i="60" s="1"/>
  <c r="J26" i="60"/>
  <c r="J35" i="60" s="1"/>
  <c r="N57" i="80"/>
  <c r="M57" i="80"/>
  <c r="L57" i="80"/>
  <c r="K57" i="80"/>
  <c r="J57" i="80"/>
  <c r="Z49" i="64"/>
  <c r="N83" i="56"/>
  <c r="F83" i="56"/>
  <c r="J83" i="56"/>
  <c r="C27" i="56"/>
  <c r="D27" i="56"/>
  <c r="E27" i="56"/>
  <c r="F27" i="56"/>
  <c r="G27" i="56"/>
  <c r="H30" i="60" s="1"/>
  <c r="T30" i="60" s="1"/>
  <c r="AF30" i="60" s="1"/>
  <c r="H27" i="56"/>
  <c r="I27" i="56"/>
  <c r="J27" i="56"/>
  <c r="K27" i="56"/>
  <c r="L27" i="56"/>
  <c r="M27" i="56"/>
  <c r="N27" i="56"/>
  <c r="C28" i="56"/>
  <c r="D28" i="56"/>
  <c r="E28" i="56"/>
  <c r="F28" i="56"/>
  <c r="G28" i="56"/>
  <c r="H28" i="56"/>
  <c r="I28" i="56"/>
  <c r="J28" i="56"/>
  <c r="K28" i="56"/>
  <c r="L28" i="56"/>
  <c r="M28" i="56"/>
  <c r="N28" i="56"/>
  <c r="O31" i="60" s="1"/>
  <c r="AA31" i="60" s="1"/>
  <c r="F32" i="65" s="1"/>
  <c r="C29" i="56"/>
  <c r="D29" i="56"/>
  <c r="E29" i="56"/>
  <c r="F29" i="56"/>
  <c r="G29" i="56"/>
  <c r="H29" i="56"/>
  <c r="I29" i="56"/>
  <c r="J29" i="56"/>
  <c r="K29" i="56"/>
  <c r="L29" i="56"/>
  <c r="M29" i="56"/>
  <c r="N29" i="56"/>
  <c r="C30" i="56"/>
  <c r="D30" i="56"/>
  <c r="E30" i="56"/>
  <c r="F30" i="56"/>
  <c r="G30" i="56"/>
  <c r="H30" i="56"/>
  <c r="I30" i="56"/>
  <c r="J30" i="56"/>
  <c r="K30" i="56"/>
  <c r="L30" i="56"/>
  <c r="M30" i="56"/>
  <c r="N30" i="56"/>
  <c r="C47" i="56"/>
  <c r="D47" i="56"/>
  <c r="E56" i="60" s="1"/>
  <c r="Q56" i="60" s="1"/>
  <c r="AC56" i="60" s="1"/>
  <c r="E47" i="56"/>
  <c r="F56" i="60" s="1"/>
  <c r="R56" i="60" s="1"/>
  <c r="AD56" i="60" s="1"/>
  <c r="F47" i="56"/>
  <c r="G47" i="56"/>
  <c r="H47" i="56"/>
  <c r="I47" i="56"/>
  <c r="J47" i="56"/>
  <c r="K47" i="56"/>
  <c r="L47" i="56"/>
  <c r="M47" i="56"/>
  <c r="N47" i="56"/>
  <c r="D48" i="56"/>
  <c r="E48" i="56"/>
  <c r="F48" i="56"/>
  <c r="G48" i="56"/>
  <c r="H48" i="56"/>
  <c r="I57" i="60" s="1"/>
  <c r="U57" i="60" s="1"/>
  <c r="I48" i="56"/>
  <c r="J48" i="56"/>
  <c r="K48" i="56"/>
  <c r="L48" i="56"/>
  <c r="M48" i="56"/>
  <c r="N48" i="56"/>
  <c r="C49" i="56"/>
  <c r="D49" i="56"/>
  <c r="E49" i="56"/>
  <c r="F49" i="56"/>
  <c r="G49" i="56"/>
  <c r="H49" i="56"/>
  <c r="I49" i="56"/>
  <c r="J49" i="56"/>
  <c r="K49" i="56"/>
  <c r="L49" i="56"/>
  <c r="M49" i="56"/>
  <c r="N49" i="56"/>
  <c r="C69" i="56"/>
  <c r="C70" i="56" s="1"/>
  <c r="D69" i="56"/>
  <c r="E69" i="56"/>
  <c r="F69" i="56"/>
  <c r="F71" i="56" s="1"/>
  <c r="G69" i="56"/>
  <c r="G70" i="56" s="1"/>
  <c r="H69" i="56"/>
  <c r="H70" i="56" s="1"/>
  <c r="I69" i="56"/>
  <c r="I71" i="56" s="1"/>
  <c r="J69" i="56"/>
  <c r="K69" i="56"/>
  <c r="L69" i="56"/>
  <c r="M69" i="56"/>
  <c r="M70" i="56" s="1"/>
  <c r="N69" i="56"/>
  <c r="C73" i="56"/>
  <c r="D84" i="60" s="1"/>
  <c r="P84" i="60" s="1"/>
  <c r="AB84" i="60" s="1"/>
  <c r="G85" i="115" s="1"/>
  <c r="D73" i="56"/>
  <c r="E73" i="56"/>
  <c r="F73" i="56"/>
  <c r="G73" i="56"/>
  <c r="H73" i="56"/>
  <c r="I84" i="60" s="1"/>
  <c r="I73" i="56"/>
  <c r="J73" i="56"/>
  <c r="K73" i="56"/>
  <c r="L73" i="56"/>
  <c r="M84" i="60" s="1"/>
  <c r="M73" i="56"/>
  <c r="N73" i="56"/>
  <c r="C74" i="56"/>
  <c r="D74" i="56"/>
  <c r="E85" i="60" s="1"/>
  <c r="Q85" i="60" s="1"/>
  <c r="AC85" i="60" s="1"/>
  <c r="E74" i="56"/>
  <c r="F74" i="56"/>
  <c r="G74" i="56"/>
  <c r="H85" i="60" s="1"/>
  <c r="T85" i="60" s="1"/>
  <c r="AF85" i="60" s="1"/>
  <c r="K86" i="65" s="1"/>
  <c r="H74" i="56"/>
  <c r="I74" i="56"/>
  <c r="J74" i="56"/>
  <c r="K74" i="56"/>
  <c r="L74" i="56"/>
  <c r="M74" i="56"/>
  <c r="N74" i="56"/>
  <c r="C53" i="56"/>
  <c r="D53" i="56"/>
  <c r="E53" i="56"/>
  <c r="F53" i="56"/>
  <c r="G53" i="56"/>
  <c r="H53" i="56"/>
  <c r="I53" i="56"/>
  <c r="J53" i="56"/>
  <c r="K53" i="56"/>
  <c r="L53" i="56"/>
  <c r="M53" i="56"/>
  <c r="N53" i="56"/>
  <c r="C57" i="56"/>
  <c r="D57" i="56"/>
  <c r="E57" i="56"/>
  <c r="F57" i="56"/>
  <c r="G57" i="56"/>
  <c r="H57" i="56"/>
  <c r="I57" i="56"/>
  <c r="J57" i="56"/>
  <c r="K57" i="56"/>
  <c r="L57" i="56"/>
  <c r="M57" i="56"/>
  <c r="N68" i="60" s="1"/>
  <c r="Z68" i="60" s="1"/>
  <c r="E69" i="65" s="1"/>
  <c r="N57" i="56"/>
  <c r="C58" i="56"/>
  <c r="D58" i="56"/>
  <c r="E58" i="56"/>
  <c r="F58" i="56"/>
  <c r="G69" i="60" s="1"/>
  <c r="S69" i="60" s="1"/>
  <c r="AE69" i="60" s="1"/>
  <c r="AQ69" i="60" s="1"/>
  <c r="G58" i="56"/>
  <c r="H58" i="56"/>
  <c r="I69" i="60" s="1"/>
  <c r="I58" i="56"/>
  <c r="J58" i="56"/>
  <c r="K58" i="56"/>
  <c r="L58" i="56"/>
  <c r="M69" i="60" s="1"/>
  <c r="Y69" i="60" s="1"/>
  <c r="M58" i="56"/>
  <c r="N58" i="56"/>
  <c r="C59" i="56"/>
  <c r="D59" i="56"/>
  <c r="E59" i="56"/>
  <c r="F59" i="56"/>
  <c r="G59" i="56"/>
  <c r="H59" i="56"/>
  <c r="I70" i="60" s="1"/>
  <c r="U70" i="60" s="1"/>
  <c r="AG70" i="60" s="1"/>
  <c r="L71" i="65" s="1"/>
  <c r="I59" i="56"/>
  <c r="J59" i="56"/>
  <c r="K70" i="60" s="1"/>
  <c r="W70" i="60" s="1"/>
  <c r="AI70" i="60" s="1"/>
  <c r="K59" i="56"/>
  <c r="L59" i="56"/>
  <c r="M59" i="56"/>
  <c r="N59" i="56"/>
  <c r="C63" i="56"/>
  <c r="D63" i="56"/>
  <c r="E74" i="60" s="1"/>
  <c r="E63" i="56"/>
  <c r="F63" i="56"/>
  <c r="G74" i="60" s="1"/>
  <c r="S74" i="60" s="1"/>
  <c r="AE74" i="60" s="1"/>
  <c r="G63" i="56"/>
  <c r="H63" i="56"/>
  <c r="I74" i="60" s="1"/>
  <c r="U74" i="60" s="1"/>
  <c r="AG74" i="60" s="1"/>
  <c r="I63" i="56"/>
  <c r="J74" i="60" s="1"/>
  <c r="V74" i="60" s="1"/>
  <c r="AH74" i="60" s="1"/>
  <c r="J63" i="56"/>
  <c r="K74" i="60" s="1"/>
  <c r="W74" i="60" s="1"/>
  <c r="AI74" i="60" s="1"/>
  <c r="K63" i="56"/>
  <c r="L63" i="56"/>
  <c r="M74" i="60" s="1"/>
  <c r="Y74" i="60" s="1"/>
  <c r="AK74" i="60" s="1"/>
  <c r="AW74" i="60" s="1"/>
  <c r="BI74" i="60" s="1"/>
  <c r="BU74" i="60" s="1"/>
  <c r="CG74" i="60" s="1"/>
  <c r="M63" i="56"/>
  <c r="N74" i="60" s="1"/>
  <c r="Z74" i="60" s="1"/>
  <c r="AL74" i="60" s="1"/>
  <c r="N63" i="56"/>
  <c r="O74" i="60" s="1"/>
  <c r="AA74" i="60" s="1"/>
  <c r="F75" i="115" s="1"/>
  <c r="C64" i="56"/>
  <c r="D64" i="56"/>
  <c r="E75" i="60" s="1"/>
  <c r="Q75" i="60" s="1"/>
  <c r="AC75" i="60" s="1"/>
  <c r="E64" i="56"/>
  <c r="F75" i="60" s="1"/>
  <c r="R75" i="60" s="1"/>
  <c r="AD75" i="60" s="1"/>
  <c r="F64" i="56"/>
  <c r="G64" i="56"/>
  <c r="H75" i="60" s="1"/>
  <c r="T75" i="60" s="1"/>
  <c r="AF75" i="60" s="1"/>
  <c r="H64" i="56"/>
  <c r="I64" i="56"/>
  <c r="J75" i="60" s="1"/>
  <c r="V75" i="60" s="1"/>
  <c r="AH75" i="60" s="1"/>
  <c r="M76" i="115" s="1"/>
  <c r="J64" i="56"/>
  <c r="K75" i="60" s="1"/>
  <c r="W75" i="60" s="1"/>
  <c r="AI75" i="60" s="1"/>
  <c r="K64" i="56"/>
  <c r="L75" i="60" s="1"/>
  <c r="X75" i="60" s="1"/>
  <c r="AJ75" i="60" s="1"/>
  <c r="AV75" i="60" s="1"/>
  <c r="BH75" i="60" s="1"/>
  <c r="BT75" i="60" s="1"/>
  <c r="CF75" i="60" s="1"/>
  <c r="L64" i="56"/>
  <c r="M75" i="60" s="1"/>
  <c r="Y75" i="60" s="1"/>
  <c r="M64" i="56"/>
  <c r="N75" i="60" s="1"/>
  <c r="Z75" i="60" s="1"/>
  <c r="AL75" i="60" s="1"/>
  <c r="AX75" i="60" s="1"/>
  <c r="BJ75" i="60" s="1"/>
  <c r="BV75" i="60" s="1"/>
  <c r="CH75" i="60" s="1"/>
  <c r="N64" i="56"/>
  <c r="O75" i="60" s="1"/>
  <c r="AA75" i="60" s="1"/>
  <c r="F76" i="115" s="1"/>
  <c r="C65" i="56"/>
  <c r="D65" i="56"/>
  <c r="F65" i="56"/>
  <c r="G65" i="56"/>
  <c r="H65" i="56"/>
  <c r="I76" i="60" s="1"/>
  <c r="I65" i="56"/>
  <c r="J65" i="56"/>
  <c r="K65" i="56"/>
  <c r="L65" i="56"/>
  <c r="M65" i="56"/>
  <c r="N65" i="56"/>
  <c r="C78" i="56"/>
  <c r="D78" i="56"/>
  <c r="E78" i="56"/>
  <c r="F78" i="56"/>
  <c r="G78" i="56"/>
  <c r="H78" i="56"/>
  <c r="H79" i="56" s="1"/>
  <c r="I78" i="56"/>
  <c r="J78" i="56"/>
  <c r="K78" i="56"/>
  <c r="L78" i="56"/>
  <c r="L80" i="56" s="1"/>
  <c r="M78" i="56"/>
  <c r="M79" i="56" s="1"/>
  <c r="N78" i="56"/>
  <c r="C82" i="56"/>
  <c r="C84" i="56" s="1"/>
  <c r="E82" i="56"/>
  <c r="F82" i="56"/>
  <c r="G82" i="56"/>
  <c r="H82" i="56"/>
  <c r="I82" i="56"/>
  <c r="I84" i="56" s="1"/>
  <c r="J82" i="56"/>
  <c r="K82" i="56"/>
  <c r="L82" i="56"/>
  <c r="M82" i="56"/>
  <c r="N82" i="56"/>
  <c r="N84" i="56" s="1"/>
  <c r="C83" i="56"/>
  <c r="D83" i="56"/>
  <c r="G83" i="56"/>
  <c r="H83" i="56"/>
  <c r="I83" i="56"/>
  <c r="K83" i="56"/>
  <c r="L83" i="56"/>
  <c r="M83" i="56"/>
  <c r="U27" i="44"/>
  <c r="C75" i="115" s="1"/>
  <c r="G32" i="108"/>
  <c r="G24" i="108"/>
  <c r="G25" i="108" s="1"/>
  <c r="W18" i="65"/>
  <c r="V27" i="65"/>
  <c r="V36" i="65" s="1"/>
  <c r="D134" i="80"/>
  <c r="C134" i="80"/>
  <c r="D133" i="80"/>
  <c r="C133" i="80"/>
  <c r="C132" i="80"/>
  <c r="C135" i="80" s="1"/>
  <c r="D124" i="80"/>
  <c r="C124" i="80"/>
  <c r="D132" i="80"/>
  <c r="D135" i="80" s="1"/>
  <c r="G92" i="80"/>
  <c r="H92" i="80" s="1"/>
  <c r="J92" i="80"/>
  <c r="K92" i="80" s="1"/>
  <c r="G93" i="80"/>
  <c r="H93" i="80" s="1"/>
  <c r="G95" i="80"/>
  <c r="H95" i="80" s="1"/>
  <c r="J95" i="80"/>
  <c r="K95" i="80" s="1"/>
  <c r="L95" i="80" s="1"/>
  <c r="M95" i="80" s="1"/>
  <c r="N95" i="80" s="1"/>
  <c r="O95" i="80" s="1"/>
  <c r="P95" i="80" s="1"/>
  <c r="Q95" i="80" s="1"/>
  <c r="R95" i="80" s="1"/>
  <c r="S95" i="80" s="1"/>
  <c r="T95" i="80" s="1"/>
  <c r="U95" i="80" s="1"/>
  <c r="V95" i="80" s="1"/>
  <c r="W95" i="80" s="1"/>
  <c r="X95" i="80" s="1"/>
  <c r="Y95" i="80" s="1"/>
  <c r="Z95" i="80" s="1"/>
  <c r="AA95" i="80" s="1"/>
  <c r="AB95" i="80" s="1"/>
  <c r="AC95" i="80" s="1"/>
  <c r="AD95" i="80" s="1"/>
  <c r="AE95" i="80" s="1"/>
  <c r="AF95" i="80" s="1"/>
  <c r="AG95" i="80" s="1"/>
  <c r="AH95" i="80" s="1"/>
  <c r="AI95" i="80" s="1"/>
  <c r="AJ95" i="80" s="1"/>
  <c r="AK95" i="80" s="1"/>
  <c r="AL95" i="80" s="1"/>
  <c r="AM95" i="80" s="1"/>
  <c r="AN95" i="80" s="1"/>
  <c r="AO95" i="80" s="1"/>
  <c r="AP95" i="80" s="1"/>
  <c r="AQ95" i="80" s="1"/>
  <c r="AR95" i="80" s="1"/>
  <c r="AS95" i="80" s="1"/>
  <c r="AT95" i="80" s="1"/>
  <c r="AU95" i="80" s="1"/>
  <c r="AV95" i="80" s="1"/>
  <c r="AW95" i="80" s="1"/>
  <c r="AX95" i="80" s="1"/>
  <c r="AY95" i="80" s="1"/>
  <c r="AZ95" i="80" s="1"/>
  <c r="BA95" i="80" s="1"/>
  <c r="BB95" i="80" s="1"/>
  <c r="BC95" i="80" s="1"/>
  <c r="BD95" i="80" s="1"/>
  <c r="BE95" i="80" s="1"/>
  <c r="BF95" i="80" s="1"/>
  <c r="BG95" i="80" s="1"/>
  <c r="BH95" i="80" s="1"/>
  <c r="BI95" i="80" s="1"/>
  <c r="BJ95" i="80" s="1"/>
  <c r="BK95" i="80" s="1"/>
  <c r="BL95" i="80" s="1"/>
  <c r="BM95" i="80" s="1"/>
  <c r="BN95" i="80" s="1"/>
  <c r="BO95" i="80" s="1"/>
  <c r="BP95" i="80" s="1"/>
  <c r="BQ95" i="80" s="1"/>
  <c r="BR95" i="80" s="1"/>
  <c r="BS95" i="80" s="1"/>
  <c r="BT95" i="80" s="1"/>
  <c r="BU95" i="80" s="1"/>
  <c r="BV95" i="80" s="1"/>
  <c r="BW95" i="80" s="1"/>
  <c r="BX95" i="80" s="1"/>
  <c r="BY95" i="80" s="1"/>
  <c r="BZ95" i="80" s="1"/>
  <c r="CA95" i="80" s="1"/>
  <c r="CB95" i="80" s="1"/>
  <c r="CC95" i="80" s="1"/>
  <c r="G96" i="80"/>
  <c r="H96" i="80" s="1"/>
  <c r="G101" i="80"/>
  <c r="H101" i="80"/>
  <c r="J101" i="80"/>
  <c r="K101" i="80" s="1"/>
  <c r="L101" i="80" s="1"/>
  <c r="M101" i="80" s="1"/>
  <c r="N101" i="80" s="1"/>
  <c r="O101" i="80" s="1"/>
  <c r="P101" i="80" s="1"/>
  <c r="Q101" i="80" s="1"/>
  <c r="R101" i="80" s="1"/>
  <c r="S101" i="80" s="1"/>
  <c r="T101" i="80"/>
  <c r="U101" i="80"/>
  <c r="V101" i="80" s="1"/>
  <c r="W101" i="80" s="1"/>
  <c r="X101" i="80" s="1"/>
  <c r="Y101" i="80" s="1"/>
  <c r="Z101" i="80" s="1"/>
  <c r="AA101" i="80" s="1"/>
  <c r="AB101" i="80" s="1"/>
  <c r="AC101" i="80" s="1"/>
  <c r="AD101" i="80" s="1"/>
  <c r="AE101" i="80" s="1"/>
  <c r="AF101" i="80"/>
  <c r="AG101" i="80" s="1"/>
  <c r="AH101" i="80" s="1"/>
  <c r="AI101" i="80" s="1"/>
  <c r="AJ101" i="80" s="1"/>
  <c r="AK101" i="80" s="1"/>
  <c r="AL101" i="80" s="1"/>
  <c r="AM101" i="80" s="1"/>
  <c r="AN101" i="80" s="1"/>
  <c r="AO101" i="80" s="1"/>
  <c r="AP101" i="80" s="1"/>
  <c r="AQ101" i="80" s="1"/>
  <c r="AR101" i="80" s="1"/>
  <c r="AS101" i="80" s="1"/>
  <c r="AT101" i="80" s="1"/>
  <c r="AU101" i="80" s="1"/>
  <c r="AV101" i="80" s="1"/>
  <c r="AW101" i="80" s="1"/>
  <c r="AX101" i="80" s="1"/>
  <c r="AY101" i="80" s="1"/>
  <c r="AZ101" i="80" s="1"/>
  <c r="BA101" i="80" s="1"/>
  <c r="BB101" i="80" s="1"/>
  <c r="BC101" i="80" s="1"/>
  <c r="BD101" i="80" s="1"/>
  <c r="BE101" i="80" s="1"/>
  <c r="BF101" i="80" s="1"/>
  <c r="BG101" i="80" s="1"/>
  <c r="BH101" i="80" s="1"/>
  <c r="BI101" i="80" s="1"/>
  <c r="BJ101" i="80" s="1"/>
  <c r="BK101" i="80" s="1"/>
  <c r="BL101" i="80" s="1"/>
  <c r="BM101" i="80" s="1"/>
  <c r="BN101" i="80" s="1"/>
  <c r="BO101" i="80" s="1"/>
  <c r="BP101" i="80" s="1"/>
  <c r="BQ101" i="80" s="1"/>
  <c r="BR101" i="80" s="1"/>
  <c r="BS101" i="80" s="1"/>
  <c r="BT101" i="80" s="1"/>
  <c r="BU101" i="80" s="1"/>
  <c r="BV101" i="80" s="1"/>
  <c r="BW101" i="80" s="1"/>
  <c r="BX101" i="80" s="1"/>
  <c r="BY101" i="80" s="1"/>
  <c r="BZ101" i="80" s="1"/>
  <c r="CA101" i="80" s="1"/>
  <c r="CB101" i="80" s="1"/>
  <c r="CC101" i="80" s="1"/>
  <c r="BZ100" i="80"/>
  <c r="CA100" i="80" s="1"/>
  <c r="CB100" i="80" s="1"/>
  <c r="CC100" i="80" s="1"/>
  <c r="BW100" i="80"/>
  <c r="BX100" i="80" s="1"/>
  <c r="BY100" i="80" s="1"/>
  <c r="BT100" i="80"/>
  <c r="BU100" i="80"/>
  <c r="BV100" i="80"/>
  <c r="BQ100" i="80"/>
  <c r="BR100" i="80"/>
  <c r="BS100" i="80"/>
  <c r="BN100" i="80"/>
  <c r="BO100" i="80" s="1"/>
  <c r="BP100" i="80" s="1"/>
  <c r="BK100" i="80"/>
  <c r="BL100" i="80"/>
  <c r="BM100" i="80" s="1"/>
  <c r="BH100" i="80"/>
  <c r="BI100" i="80" s="1"/>
  <c r="BJ100" i="80" s="1"/>
  <c r="BE100" i="80"/>
  <c r="BF100" i="80"/>
  <c r="BG100" i="80" s="1"/>
  <c r="BB100" i="80"/>
  <c r="BC100" i="80" s="1"/>
  <c r="BD100" i="80" s="1"/>
  <c r="AY100" i="80"/>
  <c r="AZ100" i="80"/>
  <c r="BA100" i="80" s="1"/>
  <c r="AV100" i="80"/>
  <c r="AW100" i="80"/>
  <c r="AX100" i="80"/>
  <c r="AS100" i="80"/>
  <c r="AT100" i="80"/>
  <c r="AU100" i="80"/>
  <c r="AP100" i="80"/>
  <c r="AQ100" i="80" s="1"/>
  <c r="AR100" i="80" s="1"/>
  <c r="AM100" i="80"/>
  <c r="AN100" i="80"/>
  <c r="AO100" i="80" s="1"/>
  <c r="AJ100" i="80"/>
  <c r="AK100" i="80"/>
  <c r="AL100" i="80"/>
  <c r="AG100" i="80"/>
  <c r="AH100" i="80"/>
  <c r="AI100" i="80" s="1"/>
  <c r="AD100" i="80"/>
  <c r="AE100" i="80" s="1"/>
  <c r="AF100" i="80" s="1"/>
  <c r="AA100" i="80"/>
  <c r="AB100" i="80"/>
  <c r="AC100" i="80" s="1"/>
  <c r="X100" i="80"/>
  <c r="Y100" i="80" s="1"/>
  <c r="Z100" i="80" s="1"/>
  <c r="U100" i="80"/>
  <c r="V100" i="80" s="1"/>
  <c r="W100" i="80" s="1"/>
  <c r="R100" i="80"/>
  <c r="S100" i="80" s="1"/>
  <c r="T100" i="80" s="1"/>
  <c r="O100" i="80"/>
  <c r="P100" i="80"/>
  <c r="Q100" i="80" s="1"/>
  <c r="L100" i="80"/>
  <c r="M100" i="80" s="1"/>
  <c r="N100" i="80" s="1"/>
  <c r="M88" i="80"/>
  <c r="N88" i="80" s="1"/>
  <c r="O88" i="80" s="1"/>
  <c r="P88" i="80" s="1"/>
  <c r="Q88" i="80" s="1"/>
  <c r="R88" i="80" s="1"/>
  <c r="S88" i="80" s="1"/>
  <c r="T88" i="80" s="1"/>
  <c r="U88" i="80" s="1"/>
  <c r="V88" i="80" s="1"/>
  <c r="W88" i="80" s="1"/>
  <c r="X88" i="80" s="1"/>
  <c r="Y88" i="80" s="1"/>
  <c r="Z88" i="80" s="1"/>
  <c r="AA88" i="80" s="1"/>
  <c r="AB88" i="80" s="1"/>
  <c r="AC88" i="80" s="1"/>
  <c r="AD88" i="80" s="1"/>
  <c r="AE88" i="80" s="1"/>
  <c r="AF88" i="80" s="1"/>
  <c r="AG88" i="80" s="1"/>
  <c r="AH88" i="80" s="1"/>
  <c r="AI88" i="80" s="1"/>
  <c r="AJ88" i="80" s="1"/>
  <c r="AK88" i="80" s="1"/>
  <c r="AL88" i="80" s="1"/>
  <c r="AM88" i="80" s="1"/>
  <c r="AN88" i="80" s="1"/>
  <c r="AO88" i="80" s="1"/>
  <c r="AP88" i="80" s="1"/>
  <c r="AQ88" i="80" s="1"/>
  <c r="AR88" i="80" s="1"/>
  <c r="AS88" i="80" s="1"/>
  <c r="AT88" i="80" s="1"/>
  <c r="AU88" i="80" s="1"/>
  <c r="AV88" i="80" s="1"/>
  <c r="AW88" i="80" s="1"/>
  <c r="AX88" i="80" s="1"/>
  <c r="AY88" i="80" s="1"/>
  <c r="AZ88" i="80" s="1"/>
  <c r="BA88" i="80" s="1"/>
  <c r="BB88" i="80" s="1"/>
  <c r="BC88" i="80" s="1"/>
  <c r="BD88" i="80" s="1"/>
  <c r="BE88" i="80" s="1"/>
  <c r="BF88" i="80" s="1"/>
  <c r="BG88" i="80" s="1"/>
  <c r="BH88" i="80" s="1"/>
  <c r="BI88" i="80" s="1"/>
  <c r="BJ88" i="80" s="1"/>
  <c r="BK88" i="80" s="1"/>
  <c r="BL88" i="80" s="1"/>
  <c r="BM88" i="80" s="1"/>
  <c r="BN88" i="80" s="1"/>
  <c r="BO88" i="80" s="1"/>
  <c r="BP88" i="80" s="1"/>
  <c r="BQ88" i="80" s="1"/>
  <c r="BR88" i="80" s="1"/>
  <c r="BS88" i="80" s="1"/>
  <c r="BT88" i="80" s="1"/>
  <c r="BU88" i="80" s="1"/>
  <c r="BV88" i="80" s="1"/>
  <c r="BW88" i="80" s="1"/>
  <c r="BX88" i="80" s="1"/>
  <c r="BY88" i="80" s="1"/>
  <c r="BZ88" i="80" s="1"/>
  <c r="CA88" i="80" s="1"/>
  <c r="CB88" i="80" s="1"/>
  <c r="CC88" i="80" s="1"/>
  <c r="D38" i="80"/>
  <c r="E38" i="80" s="1"/>
  <c r="F38" i="80" s="1"/>
  <c r="G38" i="80" s="1"/>
  <c r="H38" i="80" s="1"/>
  <c r="J38" i="80"/>
  <c r="K38" i="80" s="1"/>
  <c r="L38" i="80" s="1"/>
  <c r="M38" i="80" s="1"/>
  <c r="D37" i="80"/>
  <c r="E37" i="80" s="1"/>
  <c r="F37" i="80" s="1"/>
  <c r="G37" i="80" s="1"/>
  <c r="H37" i="80" s="1"/>
  <c r="J37" i="80"/>
  <c r="K37" i="80" s="1"/>
  <c r="L37" i="80" s="1"/>
  <c r="M37" i="80" s="1"/>
  <c r="N37" i="80" s="1"/>
  <c r="O37" i="80" s="1"/>
  <c r="P37" i="80" s="1"/>
  <c r="Q37" i="80" s="1"/>
  <c r="R37" i="80" s="1"/>
  <c r="S37" i="80" s="1"/>
  <c r="T37" i="80" s="1"/>
  <c r="U37" i="80" s="1"/>
  <c r="V37" i="80" s="1"/>
  <c r="W37" i="80" s="1"/>
  <c r="X37" i="80" s="1"/>
  <c r="Y37" i="80" s="1"/>
  <c r="Z37" i="80" s="1"/>
  <c r="AA37" i="80" s="1"/>
  <c r="AB37" i="80" s="1"/>
  <c r="AC37" i="80" s="1"/>
  <c r="AD37" i="80" s="1"/>
  <c r="AE37" i="80" s="1"/>
  <c r="AF37" i="80" s="1"/>
  <c r="AG37" i="80" s="1"/>
  <c r="AH37" i="80" s="1"/>
  <c r="AI37" i="80" s="1"/>
  <c r="AJ37" i="80" s="1"/>
  <c r="AK37" i="80" s="1"/>
  <c r="AL37" i="80" s="1"/>
  <c r="AM37" i="80" s="1"/>
  <c r="AN37" i="80" s="1"/>
  <c r="AO37" i="80" s="1"/>
  <c r="AP37" i="80" s="1"/>
  <c r="AQ37" i="80" s="1"/>
  <c r="AR37" i="80" s="1"/>
  <c r="AS37" i="80" s="1"/>
  <c r="AT37" i="80" s="1"/>
  <c r="AU37" i="80" s="1"/>
  <c r="AV37" i="80" s="1"/>
  <c r="AW37" i="80" s="1"/>
  <c r="AX37" i="80" s="1"/>
  <c r="AY37" i="80" s="1"/>
  <c r="AZ37" i="80" s="1"/>
  <c r="BA37" i="80" s="1"/>
  <c r="BB37" i="80" s="1"/>
  <c r="BC37" i="80" s="1"/>
  <c r="BD37" i="80" s="1"/>
  <c r="BE37" i="80" s="1"/>
  <c r="BF37" i="80" s="1"/>
  <c r="BG37" i="80" s="1"/>
  <c r="BH37" i="80" s="1"/>
  <c r="BI37" i="80" s="1"/>
  <c r="BJ37" i="80" s="1"/>
  <c r="BK37" i="80" s="1"/>
  <c r="BL37" i="80" s="1"/>
  <c r="BM37" i="80" s="1"/>
  <c r="BN37" i="80" s="1"/>
  <c r="BO37" i="80" s="1"/>
  <c r="BP37" i="80" s="1"/>
  <c r="BQ37" i="80" s="1"/>
  <c r="BR37" i="80" s="1"/>
  <c r="BS37" i="80" s="1"/>
  <c r="BT37" i="80" s="1"/>
  <c r="BU37" i="80" s="1"/>
  <c r="BV37" i="80" s="1"/>
  <c r="BW37" i="80" s="1"/>
  <c r="BX37" i="80" s="1"/>
  <c r="BY37" i="80" s="1"/>
  <c r="BZ37" i="80" s="1"/>
  <c r="CA37" i="80" s="1"/>
  <c r="CB37" i="80" s="1"/>
  <c r="CC37" i="80" s="1"/>
  <c r="CD37" i="80" s="1"/>
  <c r="D36" i="80"/>
  <c r="E36" i="80" s="1"/>
  <c r="F36" i="80" s="1"/>
  <c r="G36" i="80" s="1"/>
  <c r="H36" i="80" s="1"/>
  <c r="J36" i="80"/>
  <c r="J110" i="80" s="1"/>
  <c r="C90" i="65"/>
  <c r="D44" i="108"/>
  <c r="E44" i="108"/>
  <c r="F44" i="108"/>
  <c r="D45" i="108"/>
  <c r="E45" i="108"/>
  <c r="F45" i="108"/>
  <c r="D46" i="108"/>
  <c r="E46" i="108"/>
  <c r="F46" i="108"/>
  <c r="D47" i="108"/>
  <c r="E47" i="108"/>
  <c r="F47" i="108"/>
  <c r="D48" i="108"/>
  <c r="E48" i="108"/>
  <c r="F48" i="108"/>
  <c r="D49" i="108"/>
  <c r="D50" i="108"/>
  <c r="E50" i="108"/>
  <c r="D51" i="108"/>
  <c r="E51" i="108"/>
  <c r="D55" i="108"/>
  <c r="D52" i="108"/>
  <c r="E52" i="108"/>
  <c r="D53" i="108"/>
  <c r="E53" i="108"/>
  <c r="C45" i="108"/>
  <c r="C46" i="108"/>
  <c r="C47" i="108"/>
  <c r="C48" i="108"/>
  <c r="C49" i="108"/>
  <c r="C50" i="108"/>
  <c r="C51" i="108"/>
  <c r="C55" i="108"/>
  <c r="C52" i="108"/>
  <c r="C53" i="108"/>
  <c r="C44" i="108"/>
  <c r="D39" i="108"/>
  <c r="E39" i="108"/>
  <c r="E23" i="108"/>
  <c r="W17" i="65" s="1"/>
  <c r="W26" i="65" s="1"/>
  <c r="W35" i="65" s="1"/>
  <c r="W44" i="65" s="1"/>
  <c r="E17" i="108"/>
  <c r="Z23" i="44"/>
  <c r="X32" i="44"/>
  <c r="X24" i="44"/>
  <c r="X25" i="44" s="1"/>
  <c r="E97" i="44"/>
  <c r="F97" i="44" s="1"/>
  <c r="D93" i="44"/>
  <c r="D90" i="44"/>
  <c r="R94" i="65"/>
  <c r="P64" i="20"/>
  <c r="E34" i="91"/>
  <c r="P63" i="20"/>
  <c r="E34" i="76"/>
  <c r="O38" i="113"/>
  <c r="O41" i="113"/>
  <c r="P38" i="113"/>
  <c r="P41" i="113"/>
  <c r="Q38" i="113"/>
  <c r="Q41" i="113"/>
  <c r="R38" i="113"/>
  <c r="R41" i="113"/>
  <c r="S38" i="113"/>
  <c r="S41" i="113"/>
  <c r="T38" i="113"/>
  <c r="T41" i="113"/>
  <c r="U38" i="113"/>
  <c r="U41" i="113"/>
  <c r="V38" i="113"/>
  <c r="V41" i="113"/>
  <c r="W38" i="113"/>
  <c r="W41" i="113"/>
  <c r="X38" i="113"/>
  <c r="X41" i="113"/>
  <c r="Y38" i="113"/>
  <c r="Y41" i="113"/>
  <c r="Z38" i="113"/>
  <c r="Z41" i="113"/>
  <c r="AA38" i="113"/>
  <c r="AB38" i="113"/>
  <c r="AC38" i="113"/>
  <c r="AC41" i="113"/>
  <c r="AD38" i="113"/>
  <c r="AD41" i="113"/>
  <c r="AE38" i="113"/>
  <c r="AF38" i="113"/>
  <c r="AF41" i="113"/>
  <c r="AG38" i="113"/>
  <c r="AG41" i="113"/>
  <c r="AH38" i="113"/>
  <c r="AH41" i="113"/>
  <c r="AI38" i="113"/>
  <c r="AI41" i="113"/>
  <c r="AJ38" i="113"/>
  <c r="AJ41" i="113"/>
  <c r="AK38" i="113"/>
  <c r="AK41" i="113"/>
  <c r="AL38" i="113"/>
  <c r="AL41" i="113"/>
  <c r="AM38" i="113"/>
  <c r="AN38" i="113"/>
  <c r="AN41" i="113"/>
  <c r="AO38" i="113"/>
  <c r="AO41" i="113"/>
  <c r="AP38" i="113"/>
  <c r="AP41" i="113"/>
  <c r="AQ38" i="113"/>
  <c r="AR38" i="113"/>
  <c r="AS38" i="113"/>
  <c r="AS41" i="113"/>
  <c r="AT38" i="113"/>
  <c r="AT41" i="113"/>
  <c r="AU38" i="113"/>
  <c r="AV38" i="113"/>
  <c r="AV41" i="113"/>
  <c r="AW38" i="113"/>
  <c r="AW41" i="113"/>
  <c r="AX38" i="113"/>
  <c r="AX41" i="113"/>
  <c r="AY38" i="113"/>
  <c r="AZ38" i="113"/>
  <c r="BA38" i="113"/>
  <c r="BA41" i="113"/>
  <c r="BB38" i="113"/>
  <c r="BB41" i="113"/>
  <c r="BC38" i="113"/>
  <c r="BD38" i="113"/>
  <c r="BD41" i="113"/>
  <c r="BE38" i="113"/>
  <c r="BE41" i="113"/>
  <c r="BF38" i="113"/>
  <c r="BF41" i="113"/>
  <c r="BG38" i="113"/>
  <c r="BG41" i="113"/>
  <c r="BH38" i="113"/>
  <c r="BH41" i="113"/>
  <c r="BI38" i="113"/>
  <c r="BI41" i="113"/>
  <c r="BJ38" i="113"/>
  <c r="BJ41" i="113"/>
  <c r="BK38" i="113"/>
  <c r="BL38" i="113"/>
  <c r="BL41" i="113"/>
  <c r="BM38" i="113"/>
  <c r="BM41" i="113"/>
  <c r="BN38" i="113"/>
  <c r="BN41" i="113"/>
  <c r="BO38" i="113"/>
  <c r="BP38" i="113"/>
  <c r="BQ38" i="113"/>
  <c r="BQ41" i="113"/>
  <c r="BR38" i="113"/>
  <c r="BR41" i="113"/>
  <c r="BS38" i="113"/>
  <c r="BT38" i="113"/>
  <c r="BT41" i="113"/>
  <c r="BU38" i="113"/>
  <c r="BU41" i="113"/>
  <c r="BV38" i="113"/>
  <c r="BV41" i="113"/>
  <c r="BW38" i="113"/>
  <c r="BX38" i="113"/>
  <c r="BY38" i="113"/>
  <c r="BY41" i="113"/>
  <c r="BZ38" i="113"/>
  <c r="BZ41" i="113"/>
  <c r="CA38" i="113"/>
  <c r="CB38" i="113"/>
  <c r="CB41" i="113"/>
  <c r="CC38" i="113"/>
  <c r="CC41" i="113"/>
  <c r="CD38" i="113"/>
  <c r="CD41" i="113"/>
  <c r="CE38" i="113"/>
  <c r="CE41" i="113"/>
  <c r="CF38" i="113"/>
  <c r="CF41" i="113"/>
  <c r="CG38" i="113"/>
  <c r="CG41" i="113"/>
  <c r="CH38" i="113"/>
  <c r="CH41" i="113"/>
  <c r="AA41" i="113"/>
  <c r="AB41" i="113"/>
  <c r="AE41" i="113"/>
  <c r="AM41" i="113"/>
  <c r="AQ41" i="113"/>
  <c r="AR41" i="113"/>
  <c r="AU41" i="113"/>
  <c r="AY41" i="113"/>
  <c r="AZ41" i="113"/>
  <c r="BC41" i="113"/>
  <c r="BK41" i="113"/>
  <c r="BO41" i="113"/>
  <c r="BP41" i="113"/>
  <c r="BS41" i="113"/>
  <c r="BW41" i="113"/>
  <c r="BX41" i="113"/>
  <c r="CA41" i="113"/>
  <c r="D99" i="60"/>
  <c r="D18" i="72" s="1"/>
  <c r="D47" i="80"/>
  <c r="G47" i="80"/>
  <c r="H47" i="80"/>
  <c r="D43" i="80"/>
  <c r="E43" i="80" s="1"/>
  <c r="C51" i="80"/>
  <c r="C53" i="80" s="1"/>
  <c r="D24" i="80"/>
  <c r="E24" i="80" s="1"/>
  <c r="F24" i="80" s="1"/>
  <c r="G24" i="80" s="1"/>
  <c r="H24" i="80" s="1"/>
  <c r="I24" i="80" s="1"/>
  <c r="CD57" i="80"/>
  <c r="CD68" i="80" s="1"/>
  <c r="CC57" i="80"/>
  <c r="CC68" i="80" s="1"/>
  <c r="CB57" i="80"/>
  <c r="CB68" i="80"/>
  <c r="D38" i="108"/>
  <c r="E38" i="108"/>
  <c r="C13" i="80"/>
  <c r="D13" i="80"/>
  <c r="E13" i="80"/>
  <c r="C14" i="80"/>
  <c r="D14" i="80"/>
  <c r="E14" i="80"/>
  <c r="C15" i="80"/>
  <c r="D15" i="80"/>
  <c r="E15" i="80"/>
  <c r="C18" i="80"/>
  <c r="D18" i="80"/>
  <c r="E18" i="80"/>
  <c r="F18" i="80"/>
  <c r="C19" i="80"/>
  <c r="D19" i="80"/>
  <c r="E19" i="80"/>
  <c r="F19" i="80"/>
  <c r="G19" i="80"/>
  <c r="C20" i="80"/>
  <c r="D20" i="80"/>
  <c r="E20" i="80"/>
  <c r="F20" i="80"/>
  <c r="G20" i="80"/>
  <c r="F56" i="61"/>
  <c r="E51" i="61"/>
  <c r="E48" i="61"/>
  <c r="E41" i="61"/>
  <c r="E39" i="61"/>
  <c r="H38" i="61"/>
  <c r="E38" i="61"/>
  <c r="H27" i="61"/>
  <c r="H20" i="61"/>
  <c r="H12" i="61"/>
  <c r="C23" i="115"/>
  <c r="F129" i="44" s="1"/>
  <c r="C14" i="115"/>
  <c r="G12" i="91"/>
  <c r="D26" i="60"/>
  <c r="D35" i="60" s="1"/>
  <c r="E26" i="60"/>
  <c r="E35" i="60" s="1"/>
  <c r="E44" i="60" s="1"/>
  <c r="F26" i="60"/>
  <c r="F35" i="60" s="1"/>
  <c r="F44" i="60" s="1"/>
  <c r="G26" i="60"/>
  <c r="G35" i="60" s="1"/>
  <c r="G44" i="60" s="1"/>
  <c r="H26" i="60"/>
  <c r="H35" i="60" s="1"/>
  <c r="H44" i="60" s="1"/>
  <c r="I26" i="60"/>
  <c r="I35" i="60" s="1"/>
  <c r="L26" i="60"/>
  <c r="L35" i="60" s="1"/>
  <c r="L44" i="60" s="1"/>
  <c r="D9" i="76"/>
  <c r="C10" i="113"/>
  <c r="P19" i="113"/>
  <c r="B76" i="82"/>
  <c r="M48" i="82"/>
  <c r="K48" i="82"/>
  <c r="AO7" i="72"/>
  <c r="AP7" i="72" s="1"/>
  <c r="AQ7" i="72" s="1"/>
  <c r="AR7" i="72" s="1"/>
  <c r="AS7" i="72" s="1"/>
  <c r="C69" i="115"/>
  <c r="E27" i="108"/>
  <c r="Z27" i="44"/>
  <c r="T74" i="44"/>
  <c r="A58" i="61"/>
  <c r="A59" i="61"/>
  <c r="A60" i="61"/>
  <c r="A61" i="61"/>
  <c r="A108" i="80"/>
  <c r="BZ35" i="80"/>
  <c r="BY35" i="80"/>
  <c r="BX35" i="80"/>
  <c r="BU35" i="80"/>
  <c r="BT35" i="80"/>
  <c r="BS35" i="80"/>
  <c r="BN35" i="80"/>
  <c r="BL35" i="80"/>
  <c r="BK35" i="80"/>
  <c r="BJ35" i="80"/>
  <c r="BI35" i="80"/>
  <c r="BH35" i="80"/>
  <c r="BE35" i="80"/>
  <c r="BA35" i="80"/>
  <c r="AZ35" i="80"/>
  <c r="AY35" i="80"/>
  <c r="AX35" i="80"/>
  <c r="AW35" i="80"/>
  <c r="AS35" i="80"/>
  <c r="AR35" i="80"/>
  <c r="AP35" i="80"/>
  <c r="AO35" i="80"/>
  <c r="AN35" i="80"/>
  <c r="AM35" i="80"/>
  <c r="AL35" i="80"/>
  <c r="AK35" i="80"/>
  <c r="AG35" i="80"/>
  <c r="AE35" i="80"/>
  <c r="AD35" i="80"/>
  <c r="AC35" i="80"/>
  <c r="AB35" i="80"/>
  <c r="AA35" i="80"/>
  <c r="Z35" i="80"/>
  <c r="Y35" i="80"/>
  <c r="X35" i="80"/>
  <c r="R35" i="80"/>
  <c r="Q35" i="80"/>
  <c r="P35" i="80"/>
  <c r="O35" i="80"/>
  <c r="N35" i="80"/>
  <c r="M35" i="80"/>
  <c r="K35" i="80"/>
  <c r="H35" i="80"/>
  <c r="U57" i="80"/>
  <c r="U68" i="80" s="1"/>
  <c r="AC13" i="80"/>
  <c r="AC15" i="80"/>
  <c r="AB13" i="80"/>
  <c r="AN13" i="80"/>
  <c r="AO15" i="80"/>
  <c r="AO13" i="80"/>
  <c r="O17" i="91"/>
  <c r="O28" i="91"/>
  <c r="O29" i="91"/>
  <c r="BA15" i="80"/>
  <c r="BA13" i="80"/>
  <c r="BY15" i="80"/>
  <c r="BM15" i="80"/>
  <c r="BY13" i="80"/>
  <c r="BM13" i="80"/>
  <c r="O31" i="91"/>
  <c r="C49" i="64"/>
  <c r="C42" i="64"/>
  <c r="C37" i="64"/>
  <c r="C36" i="64"/>
  <c r="C31" i="64"/>
  <c r="C30" i="64"/>
  <c r="C25" i="64"/>
  <c r="C24" i="64"/>
  <c r="C19" i="64"/>
  <c r="C18" i="64"/>
  <c r="C13" i="64"/>
  <c r="C12" i="64"/>
  <c r="A13" i="82"/>
  <c r="A14" i="82"/>
  <c r="A15" i="82"/>
  <c r="A16" i="82"/>
  <c r="A17" i="82"/>
  <c r="A18" i="82"/>
  <c r="A19" i="82"/>
  <c r="A20" i="82"/>
  <c r="A21" i="82"/>
  <c r="A22" i="82"/>
  <c r="A23" i="82"/>
  <c r="A24" i="82"/>
  <c r="A25" i="82"/>
  <c r="C44" i="56"/>
  <c r="K44" i="56"/>
  <c r="H18" i="80"/>
  <c r="H20" i="80"/>
  <c r="T57" i="80"/>
  <c r="T68" i="80"/>
  <c r="V57" i="80"/>
  <c r="V68" i="80" s="1"/>
  <c r="W57" i="80"/>
  <c r="W68" i="80"/>
  <c r="X57" i="80"/>
  <c r="X68" i="80" s="1"/>
  <c r="Y57" i="80"/>
  <c r="Y68" i="80" s="1"/>
  <c r="P15" i="80"/>
  <c r="Q13" i="80"/>
  <c r="AF57" i="80"/>
  <c r="AF68" i="80" s="1"/>
  <c r="AH3" i="44"/>
  <c r="F43" i="44"/>
  <c r="F44" i="44"/>
  <c r="F46" i="44"/>
  <c r="H19" i="80"/>
  <c r="H33" i="81"/>
  <c r="I33" i="81"/>
  <c r="J33" i="81" s="1"/>
  <c r="O17" i="55"/>
  <c r="P15" i="55"/>
  <c r="O20" i="55"/>
  <c r="O24" i="55" s="1"/>
  <c r="P23" i="55"/>
  <c r="O27" i="55"/>
  <c r="O31" i="55"/>
  <c r="P30" i="55"/>
  <c r="O28" i="76"/>
  <c r="R56" i="56"/>
  <c r="R72" i="56"/>
  <c r="R81" i="56"/>
  <c r="O29" i="76"/>
  <c r="BT57" i="80"/>
  <c r="BT68" i="80" s="1"/>
  <c r="BU57" i="80"/>
  <c r="BU68" i="80"/>
  <c r="BQ57" i="80"/>
  <c r="BQ68" i="80" s="1"/>
  <c r="BR57" i="80"/>
  <c r="BR68" i="80" s="1"/>
  <c r="BS57" i="80"/>
  <c r="BS68" i="80" s="1"/>
  <c r="BP57" i="80"/>
  <c r="BP68" i="80"/>
  <c r="BH57" i="80"/>
  <c r="BH68" i="80" s="1"/>
  <c r="BI57" i="80"/>
  <c r="BI68" i="80" s="1"/>
  <c r="BE57" i="80"/>
  <c r="BE68" i="80" s="1"/>
  <c r="BF57" i="80"/>
  <c r="BF68" i="80"/>
  <c r="BG57" i="80"/>
  <c r="BG68" i="80"/>
  <c r="BD57" i="80"/>
  <c r="BD68" i="80" s="1"/>
  <c r="AV57" i="80"/>
  <c r="AV68" i="80" s="1"/>
  <c r="AW57" i="80"/>
  <c r="AW68" i="80"/>
  <c r="AS57" i="80"/>
  <c r="AS68" i="80" s="1"/>
  <c r="AT57" i="80"/>
  <c r="AT68" i="80"/>
  <c r="AU57" i="80"/>
  <c r="AU68" i="80"/>
  <c r="AR57" i="80"/>
  <c r="AR68" i="80"/>
  <c r="AJ57" i="80"/>
  <c r="AJ68" i="80" s="1"/>
  <c r="AK57" i="80"/>
  <c r="AK68" i="80" s="1"/>
  <c r="AG57" i="80"/>
  <c r="AG68" i="80" s="1"/>
  <c r="AH57" i="80"/>
  <c r="AH68" i="80"/>
  <c r="AI57" i="80"/>
  <c r="AI68" i="80"/>
  <c r="I57" i="80"/>
  <c r="I68" i="80" s="1"/>
  <c r="O57" i="80"/>
  <c r="O68" i="80"/>
  <c r="P57" i="80"/>
  <c r="P68" i="80" s="1"/>
  <c r="Q57" i="80"/>
  <c r="Q68" i="80" s="1"/>
  <c r="R57" i="80"/>
  <c r="R68" i="80" s="1"/>
  <c r="S57" i="80"/>
  <c r="S68" i="80"/>
  <c r="Z57" i="80"/>
  <c r="Z68" i="80"/>
  <c r="AA57" i="80"/>
  <c r="AA68" i="80"/>
  <c r="AB57" i="80"/>
  <c r="AB68" i="80" s="1"/>
  <c r="AC57" i="80"/>
  <c r="AC68" i="80"/>
  <c r="AD57" i="80"/>
  <c r="AD68" i="80"/>
  <c r="AE57" i="80"/>
  <c r="AE68" i="80" s="1"/>
  <c r="AL57" i="80"/>
  <c r="AL68" i="80" s="1"/>
  <c r="AM57" i="80"/>
  <c r="AM68" i="80" s="1"/>
  <c r="AN57" i="80"/>
  <c r="AN68" i="80" s="1"/>
  <c r="AO57" i="80"/>
  <c r="AO68" i="80"/>
  <c r="AP57" i="80"/>
  <c r="AP68" i="80"/>
  <c r="AQ57" i="80"/>
  <c r="AQ68" i="80" s="1"/>
  <c r="AX57" i="80"/>
  <c r="AX68" i="80" s="1"/>
  <c r="AY57" i="80"/>
  <c r="AY68" i="80" s="1"/>
  <c r="AZ57" i="80"/>
  <c r="AZ68" i="80" s="1"/>
  <c r="BA57" i="80"/>
  <c r="BA68" i="80" s="1"/>
  <c r="BB57" i="80"/>
  <c r="BB68" i="80"/>
  <c r="BC57" i="80"/>
  <c r="BC68" i="80"/>
  <c r="BJ57" i="80"/>
  <c r="BJ68" i="80" s="1"/>
  <c r="BK57" i="80"/>
  <c r="BK68" i="80" s="1"/>
  <c r="BL57" i="80"/>
  <c r="BL68" i="80" s="1"/>
  <c r="BM57" i="80"/>
  <c r="BM68" i="80"/>
  <c r="BN57" i="80"/>
  <c r="BN68" i="80"/>
  <c r="BO57" i="80"/>
  <c r="BO68" i="80" s="1"/>
  <c r="BV57" i="80"/>
  <c r="BV68" i="80" s="1"/>
  <c r="BW57" i="80"/>
  <c r="BW68" i="80" s="1"/>
  <c r="BX57" i="80"/>
  <c r="BX68" i="80" s="1"/>
  <c r="BY57" i="80"/>
  <c r="BY68" i="80" s="1"/>
  <c r="BZ57" i="80"/>
  <c r="BZ68" i="80"/>
  <c r="CA57" i="80"/>
  <c r="CA68" i="80" s="1"/>
  <c r="O13" i="56"/>
  <c r="O17" i="56"/>
  <c r="D60" i="60"/>
  <c r="E60" i="60"/>
  <c r="F60" i="60"/>
  <c r="H60" i="60"/>
  <c r="N60" i="60"/>
  <c r="AH26" i="44"/>
  <c r="E49" i="108"/>
  <c r="F49" i="108"/>
  <c r="F50" i="108"/>
  <c r="F51" i="108"/>
  <c r="E55" i="108"/>
  <c r="F55" i="108"/>
  <c r="F52" i="108"/>
  <c r="F53" i="108"/>
  <c r="M44" i="56"/>
  <c r="O60" i="60"/>
  <c r="Q15" i="80"/>
  <c r="P26" i="60"/>
  <c r="P35" i="60" s="1"/>
  <c r="P60" i="60"/>
  <c r="L60" i="60"/>
  <c r="F29" i="76"/>
  <c r="J60" i="60"/>
  <c r="I44" i="56"/>
  <c r="D44" i="56"/>
  <c r="L44" i="56"/>
  <c r="E44" i="56"/>
  <c r="G44" i="56"/>
  <c r="H44" i="56"/>
  <c r="I38" i="56"/>
  <c r="N44" i="56"/>
  <c r="P43" i="56"/>
  <c r="O41" i="56"/>
  <c r="F44" i="56"/>
  <c r="J38" i="56"/>
  <c r="P42" i="56"/>
  <c r="J44" i="56"/>
  <c r="F38" i="56"/>
  <c r="N38" i="56"/>
  <c r="M38" i="56"/>
  <c r="E38" i="56"/>
  <c r="P36" i="56"/>
  <c r="L38" i="56"/>
  <c r="M60" i="60"/>
  <c r="F29" i="91"/>
  <c r="G60" i="60"/>
  <c r="K38" i="56"/>
  <c r="G38" i="56"/>
  <c r="P44" i="56"/>
  <c r="O44" i="56"/>
  <c r="P37" i="56"/>
  <c r="H38" i="56"/>
  <c r="O34" i="56"/>
  <c r="D38" i="56"/>
  <c r="P35" i="56"/>
  <c r="C38" i="56"/>
  <c r="O24" i="56"/>
  <c r="P24" i="56"/>
  <c r="P38" i="56"/>
  <c r="O38" i="56"/>
  <c r="S73" i="44"/>
  <c r="T73" i="44" s="1"/>
  <c r="S69" i="44"/>
  <c r="T69" i="44" s="1"/>
  <c r="S72" i="44"/>
  <c r="T72" i="44" s="1"/>
  <c r="S70" i="44"/>
  <c r="T70" i="44" s="1"/>
  <c r="S71" i="44"/>
  <c r="T71" i="44" s="1"/>
  <c r="S68" i="44"/>
  <c r="T68" i="44" s="1"/>
  <c r="W13" i="64"/>
  <c r="AI13" i="64" s="1"/>
  <c r="AU13" i="64" s="1"/>
  <c r="BG13" i="64" s="1"/>
  <c r="BS13" i="64" s="1"/>
  <c r="CE13" i="64" s="1"/>
  <c r="W36" i="64"/>
  <c r="AI36" i="64" s="1"/>
  <c r="P75" i="113"/>
  <c r="Q75" i="113" s="1"/>
  <c r="R75" i="113" s="1"/>
  <c r="S75" i="113" s="1"/>
  <c r="T75" i="113" s="1"/>
  <c r="U75" i="113" s="1"/>
  <c r="V75" i="113" s="1"/>
  <c r="W75" i="113" s="1"/>
  <c r="X75" i="113" s="1"/>
  <c r="Y75" i="113" s="1"/>
  <c r="Z75" i="113" s="1"/>
  <c r="AA75" i="113" s="1"/>
  <c r="AB75" i="113" s="1"/>
  <c r="AC75" i="113" s="1"/>
  <c r="AD75" i="113" s="1"/>
  <c r="AE75" i="113" s="1"/>
  <c r="AF75" i="113" s="1"/>
  <c r="AG75" i="113" s="1"/>
  <c r="AH75" i="113" s="1"/>
  <c r="AI75" i="113" s="1"/>
  <c r="AJ75" i="113" s="1"/>
  <c r="AK75" i="113" s="1"/>
  <c r="AL75" i="113" s="1"/>
  <c r="AM75" i="113" s="1"/>
  <c r="AN75" i="113" s="1"/>
  <c r="AO75" i="113" s="1"/>
  <c r="AP75" i="113" s="1"/>
  <c r="AQ75" i="113" s="1"/>
  <c r="AR75" i="113" s="1"/>
  <c r="AS75" i="113" s="1"/>
  <c r="AT75" i="113" s="1"/>
  <c r="AU75" i="113" s="1"/>
  <c r="AV75" i="113" s="1"/>
  <c r="AW75" i="113" s="1"/>
  <c r="AX75" i="113" s="1"/>
  <c r="AY75" i="113" s="1"/>
  <c r="AZ75" i="113" s="1"/>
  <c r="BA75" i="113" s="1"/>
  <c r="BB75" i="113" s="1"/>
  <c r="BC75" i="113" s="1"/>
  <c r="BD75" i="113" s="1"/>
  <c r="BE75" i="113" s="1"/>
  <c r="BF75" i="113" s="1"/>
  <c r="BG75" i="113" s="1"/>
  <c r="BH75" i="113" s="1"/>
  <c r="BI75" i="113" s="1"/>
  <c r="BJ75" i="113" s="1"/>
  <c r="BK75" i="113" s="1"/>
  <c r="BL75" i="113" s="1"/>
  <c r="BM75" i="113" s="1"/>
  <c r="BN75" i="113" s="1"/>
  <c r="BO75" i="113" s="1"/>
  <c r="BP75" i="113" s="1"/>
  <c r="BQ75" i="113" s="1"/>
  <c r="BR75" i="113" s="1"/>
  <c r="BS75" i="113" s="1"/>
  <c r="BT75" i="113" s="1"/>
  <c r="BU75" i="113" s="1"/>
  <c r="BV75" i="113" s="1"/>
  <c r="BW75" i="113" s="1"/>
  <c r="BX75" i="113" s="1"/>
  <c r="BY75" i="113" s="1"/>
  <c r="BZ75" i="113" s="1"/>
  <c r="CA75" i="113" s="1"/>
  <c r="CB75" i="113" s="1"/>
  <c r="CC75" i="113" s="1"/>
  <c r="CD75" i="113" s="1"/>
  <c r="CE75" i="113" s="1"/>
  <c r="CF75" i="113" s="1"/>
  <c r="CG75" i="113" s="1"/>
  <c r="CH75" i="113" s="1"/>
  <c r="K18" i="91"/>
  <c r="K19" i="91"/>
  <c r="K17" i="91"/>
  <c r="K40" i="91" s="1"/>
  <c r="K40" i="76"/>
  <c r="H61" i="61"/>
  <c r="H78" i="80"/>
  <c r="F99" i="60"/>
  <c r="F18" i="72" s="1"/>
  <c r="G99" i="60"/>
  <c r="G18" i="72" s="1"/>
  <c r="I99" i="60"/>
  <c r="I18" i="72" s="1"/>
  <c r="J99" i="60"/>
  <c r="J18" i="72" s="1"/>
  <c r="K99" i="60"/>
  <c r="K18" i="72" s="1"/>
  <c r="L99" i="60"/>
  <c r="L18" i="72" s="1"/>
  <c r="M99" i="60"/>
  <c r="M18" i="72" s="1"/>
  <c r="O99" i="60"/>
  <c r="O18" i="72" s="1"/>
  <c r="L48" i="82"/>
  <c r="AN15" i="80"/>
  <c r="AZ13" i="80"/>
  <c r="AZ15" i="80"/>
  <c r="G94" i="80"/>
  <c r="H94" i="80" s="1"/>
  <c r="C35" i="80"/>
  <c r="G35" i="80"/>
  <c r="D35" i="80"/>
  <c r="E35" i="80"/>
  <c r="F35" i="80"/>
  <c r="CC35" i="80"/>
  <c r="BL13" i="80"/>
  <c r="BX13" i="80"/>
  <c r="BX15" i="80"/>
  <c r="BL15" i="80"/>
  <c r="AE20" i="80"/>
  <c r="AD18" i="80"/>
  <c r="S20" i="80"/>
  <c r="AD20" i="80"/>
  <c r="R18" i="80"/>
  <c r="AQ20" i="80"/>
  <c r="R20" i="80"/>
  <c r="S18" i="80"/>
  <c r="AP20" i="80"/>
  <c r="AP18" i="80"/>
  <c r="T20" i="80"/>
  <c r="BC20" i="80"/>
  <c r="BB20" i="80"/>
  <c r="BO20" i="80"/>
  <c r="CA20" i="80"/>
  <c r="T18" i="80"/>
  <c r="AF20" i="80"/>
  <c r="BB18" i="80"/>
  <c r="U20" i="80"/>
  <c r="AE18" i="80"/>
  <c r="V20" i="80"/>
  <c r="BN20" i="80"/>
  <c r="BZ20" i="80"/>
  <c r="BN18" i="80"/>
  <c r="AR20" i="80"/>
  <c r="AG20" i="80"/>
  <c r="U18" i="80"/>
  <c r="AF18" i="80"/>
  <c r="AQ18" i="80"/>
  <c r="B147" i="80"/>
  <c r="AR18" i="80"/>
  <c r="V18" i="80"/>
  <c r="AH20" i="80"/>
  <c r="B145" i="80"/>
  <c r="BZ18" i="80"/>
  <c r="BD20" i="80"/>
  <c r="AS20" i="80"/>
  <c r="AG18" i="80"/>
  <c r="BC18" i="80"/>
  <c r="B143" i="80"/>
  <c r="BE20" i="80"/>
  <c r="BO18" i="80"/>
  <c r="BP20" i="80"/>
  <c r="CB20" i="80"/>
  <c r="BD18" i="80"/>
  <c r="AH18" i="80"/>
  <c r="AS18" i="80"/>
  <c r="AT20" i="80"/>
  <c r="BF20" i="80"/>
  <c r="CC20" i="80"/>
  <c r="BQ20" i="80"/>
  <c r="AT18" i="80"/>
  <c r="BP18" i="80"/>
  <c r="CA18" i="80"/>
  <c r="BE18" i="80"/>
  <c r="BQ18" i="80"/>
  <c r="BR20" i="80"/>
  <c r="CD20" i="80"/>
  <c r="CB18" i="80"/>
  <c r="BF18" i="80"/>
  <c r="BR18" i="80"/>
  <c r="CC18" i="80"/>
  <c r="CD18" i="80"/>
  <c r="E48" i="60"/>
  <c r="Q48" i="60" s="1"/>
  <c r="AC48" i="60" s="1"/>
  <c r="H49" i="115" s="1"/>
  <c r="AH35" i="80"/>
  <c r="E65" i="56"/>
  <c r="L19" i="80"/>
  <c r="M19" i="80"/>
  <c r="F97" i="80"/>
  <c r="G97" i="80" s="1"/>
  <c r="H97" i="80" s="1"/>
  <c r="AT35" i="80"/>
  <c r="V35" i="80"/>
  <c r="G99" i="80"/>
  <c r="H99" i="80" s="1"/>
  <c r="J94" i="80"/>
  <c r="K94" i="80" s="1"/>
  <c r="T35" i="80"/>
  <c r="BD35" i="80"/>
  <c r="BO35" i="80"/>
  <c r="I102" i="80"/>
  <c r="J102" i="80" s="1"/>
  <c r="K102" i="80" s="1"/>
  <c r="L102" i="80" s="1"/>
  <c r="M102" i="80" s="1"/>
  <c r="N102" i="80" s="1"/>
  <c r="O102" i="80" s="1"/>
  <c r="P102" i="80" s="1"/>
  <c r="Q102" i="80" s="1"/>
  <c r="R102" i="80" s="1"/>
  <c r="S102" i="80" s="1"/>
  <c r="T102" i="80" s="1"/>
  <c r="U102" i="80" s="1"/>
  <c r="V102" i="80" s="1"/>
  <c r="W102" i="80" s="1"/>
  <c r="X102" i="80" s="1"/>
  <c r="Y102" i="80" s="1"/>
  <c r="Z102" i="80" s="1"/>
  <c r="AA102" i="80" s="1"/>
  <c r="AB102" i="80" s="1"/>
  <c r="AC102" i="80" s="1"/>
  <c r="AD102" i="80" s="1"/>
  <c r="AE102" i="80" s="1"/>
  <c r="AF102" i="80" s="1"/>
  <c r="AG102" i="80" s="1"/>
  <c r="AH102" i="80" s="1"/>
  <c r="AI102" i="80" s="1"/>
  <c r="AJ102" i="80" s="1"/>
  <c r="AK102" i="80" s="1"/>
  <c r="AL102" i="80" s="1"/>
  <c r="AM102" i="80" s="1"/>
  <c r="AN102" i="80" s="1"/>
  <c r="AO102" i="80" s="1"/>
  <c r="AP102" i="80" s="1"/>
  <c r="AQ102" i="80" s="1"/>
  <c r="AR102" i="80" s="1"/>
  <c r="AS102" i="80" s="1"/>
  <c r="AT102" i="80" s="1"/>
  <c r="AU102" i="80" s="1"/>
  <c r="AV102" i="80" s="1"/>
  <c r="AW102" i="80" s="1"/>
  <c r="AX102" i="80" s="1"/>
  <c r="AY102" i="80" s="1"/>
  <c r="AZ102" i="80" s="1"/>
  <c r="BA102" i="80" s="1"/>
  <c r="BB102" i="80" s="1"/>
  <c r="BC102" i="80" s="1"/>
  <c r="BD102" i="80" s="1"/>
  <c r="BE102" i="80" s="1"/>
  <c r="BF102" i="80" s="1"/>
  <c r="BG102" i="80" s="1"/>
  <c r="BH102" i="80" s="1"/>
  <c r="BI102" i="80" s="1"/>
  <c r="BJ102" i="80" s="1"/>
  <c r="BK102" i="80" s="1"/>
  <c r="BL102" i="80" s="1"/>
  <c r="BM102" i="80" s="1"/>
  <c r="BN102" i="80" s="1"/>
  <c r="BO102" i="80" s="1"/>
  <c r="BP102" i="80" s="1"/>
  <c r="BQ102" i="80" s="1"/>
  <c r="BR102" i="80" s="1"/>
  <c r="BS102" i="80" s="1"/>
  <c r="BT102" i="80" s="1"/>
  <c r="BU102" i="80" s="1"/>
  <c r="BV102" i="80" s="1"/>
  <c r="BW102" i="80" s="1"/>
  <c r="BX102" i="80" s="1"/>
  <c r="BY102" i="80" s="1"/>
  <c r="BZ102" i="80" s="1"/>
  <c r="CA102" i="80" s="1"/>
  <c r="CB102" i="80" s="1"/>
  <c r="CC102" i="80" s="1"/>
  <c r="BP35" i="80"/>
  <c r="CA35" i="80"/>
  <c r="R17" i="60"/>
  <c r="Q26" i="60"/>
  <c r="Q35" i="60" s="1"/>
  <c r="Q60" i="60"/>
  <c r="S60" i="60"/>
  <c r="R60" i="60"/>
  <c r="E49" i="60"/>
  <c r="Q49" i="60" s="1"/>
  <c r="F49" i="60"/>
  <c r="R49" i="60" s="1"/>
  <c r="AD49" i="60" s="1"/>
  <c r="H49" i="60"/>
  <c r="T49" i="60" s="1"/>
  <c r="AF49" i="60" s="1"/>
  <c r="AR49" i="60" s="1"/>
  <c r="BD49" i="60" s="1"/>
  <c r="BP49" i="60" s="1"/>
  <c r="I49" i="60"/>
  <c r="U49" i="60" s="1"/>
  <c r="AG49" i="60" s="1"/>
  <c r="L50" i="115" s="1"/>
  <c r="K49" i="60"/>
  <c r="W49" i="60" s="1"/>
  <c r="G49" i="60"/>
  <c r="S49" i="60" s="1"/>
  <c r="N49" i="60"/>
  <c r="Z49" i="60" s="1"/>
  <c r="J49" i="60"/>
  <c r="V49" i="60" s="1"/>
  <c r="AH49" i="60" s="1"/>
  <c r="D49" i="60"/>
  <c r="O49" i="60"/>
  <c r="AA49" i="60" s="1"/>
  <c r="M49" i="60"/>
  <c r="Y49" i="60" s="1"/>
  <c r="P36" i="64"/>
  <c r="P73" i="113"/>
  <c r="Q73" i="113" s="1"/>
  <c r="F125" i="44" l="1"/>
  <c r="H125" i="44" s="1"/>
  <c r="F139" i="44"/>
  <c r="H139" i="44" s="1"/>
  <c r="K75" i="56"/>
  <c r="M71" i="56"/>
  <c r="N50" i="56"/>
  <c r="K31" i="56"/>
  <c r="H80" i="56"/>
  <c r="M50" i="56"/>
  <c r="N57" i="60"/>
  <c r="Z57" i="60" s="1"/>
  <c r="E58" i="115" s="1"/>
  <c r="J66" i="56"/>
  <c r="E70" i="56"/>
  <c r="E71" i="56"/>
  <c r="J31" i="56"/>
  <c r="J93" i="60"/>
  <c r="V93" i="60" s="1"/>
  <c r="AH93" i="60" s="1"/>
  <c r="AH95" i="60" s="1"/>
  <c r="AI37" i="78" s="1"/>
  <c r="J60" i="56"/>
  <c r="L50" i="56"/>
  <c r="K70" i="56"/>
  <c r="K71" i="56"/>
  <c r="H60" i="56"/>
  <c r="I54" i="56"/>
  <c r="J65" i="60" s="1"/>
  <c r="V65" i="60" s="1"/>
  <c r="AH65" i="60" s="1"/>
  <c r="AT65" i="60" s="1"/>
  <c r="BF65" i="60" s="1"/>
  <c r="BR65" i="60" s="1"/>
  <c r="CD65" i="60" s="1"/>
  <c r="I55" i="56"/>
  <c r="J66" i="60" s="1"/>
  <c r="V66" i="60" s="1"/>
  <c r="AH66" i="60" s="1"/>
  <c r="M67" i="65" s="1"/>
  <c r="D80" i="56"/>
  <c r="D79" i="56"/>
  <c r="J54" i="56"/>
  <c r="K65" i="60" s="1"/>
  <c r="W65" i="60" s="1"/>
  <c r="AI65" i="60" s="1"/>
  <c r="N66" i="65" s="1"/>
  <c r="J55" i="56"/>
  <c r="K66" i="60" s="1"/>
  <c r="W66" i="60" s="1"/>
  <c r="AI66" i="60" s="1"/>
  <c r="AU66" i="60" s="1"/>
  <c r="BG66" i="60" s="1"/>
  <c r="BS66" i="60" s="1"/>
  <c r="CE66" i="60" s="1"/>
  <c r="F54" i="56"/>
  <c r="G65" i="60" s="1"/>
  <c r="S65" i="60" s="1"/>
  <c r="AE65" i="60" s="1"/>
  <c r="J66" i="115" s="1"/>
  <c r="F55" i="56"/>
  <c r="G66" i="60" s="1"/>
  <c r="S66" i="60" s="1"/>
  <c r="AE66" i="60" s="1"/>
  <c r="AQ66" i="60" s="1"/>
  <c r="BC66" i="60" s="1"/>
  <c r="BO66" i="60" s="1"/>
  <c r="CA66" i="60" s="1"/>
  <c r="E54" i="56"/>
  <c r="F65" i="60" s="1"/>
  <c r="R65" i="60" s="1"/>
  <c r="AD65" i="60" s="1"/>
  <c r="I66" i="65" s="1"/>
  <c r="E55" i="56"/>
  <c r="F66" i="60" s="1"/>
  <c r="R66" i="60" s="1"/>
  <c r="AD66" i="60" s="1"/>
  <c r="I67" i="115" s="1"/>
  <c r="I70" i="56"/>
  <c r="C54" i="56"/>
  <c r="C55" i="56"/>
  <c r="C48" i="56"/>
  <c r="D57" i="60" s="1"/>
  <c r="P57" i="60" s="1"/>
  <c r="AB57" i="60" s="1"/>
  <c r="L54" i="56"/>
  <c r="M65" i="60" s="1"/>
  <c r="Y65" i="60" s="1"/>
  <c r="D66" i="65" s="1"/>
  <c r="L55" i="56"/>
  <c r="M66" i="60" s="1"/>
  <c r="Y66" i="60" s="1"/>
  <c r="D67" i="65" s="1"/>
  <c r="J75" i="56"/>
  <c r="D54" i="56"/>
  <c r="E65" i="60" s="1"/>
  <c r="Q65" i="60" s="1"/>
  <c r="AC65" i="60" s="1"/>
  <c r="H66" i="65" s="1"/>
  <c r="D55" i="56"/>
  <c r="E66" i="60" s="1"/>
  <c r="Q66" i="60" s="1"/>
  <c r="AC66" i="60" s="1"/>
  <c r="AO66" i="60" s="1"/>
  <c r="BA66" i="60" s="1"/>
  <c r="BM66" i="60" s="1"/>
  <c r="BY66" i="60" s="1"/>
  <c r="H54" i="56"/>
  <c r="I65" i="60" s="1"/>
  <c r="U65" i="60" s="1"/>
  <c r="AG65" i="60" s="1"/>
  <c r="H55" i="56"/>
  <c r="I66" i="60" s="1"/>
  <c r="U66" i="60" s="1"/>
  <c r="AG66" i="60" s="1"/>
  <c r="AS66" i="60" s="1"/>
  <c r="BE66" i="60" s="1"/>
  <c r="BQ66" i="60" s="1"/>
  <c r="CC66" i="60" s="1"/>
  <c r="AM75" i="60"/>
  <c r="AY75" i="60" s="1"/>
  <c r="BK75" i="60" s="1"/>
  <c r="BW75" i="60" s="1"/>
  <c r="CI75" i="60" s="1"/>
  <c r="N54" i="56"/>
  <c r="O65" i="60" s="1"/>
  <c r="AA65" i="60" s="1"/>
  <c r="AM65" i="60" s="1"/>
  <c r="N55" i="56"/>
  <c r="O66" i="60" s="1"/>
  <c r="AA66" i="60" s="1"/>
  <c r="F67" i="115" s="1"/>
  <c r="F76" i="65"/>
  <c r="M54" i="56"/>
  <c r="N65" i="60" s="1"/>
  <c r="Z65" i="60" s="1"/>
  <c r="E66" i="65" s="1"/>
  <c r="M55" i="56"/>
  <c r="N66" i="60" s="1"/>
  <c r="Z66" i="60" s="1"/>
  <c r="E67" i="115" s="1"/>
  <c r="K54" i="56"/>
  <c r="L65" i="60" s="1"/>
  <c r="X65" i="60" s="1"/>
  <c r="AJ65" i="60" s="1"/>
  <c r="AV65" i="60" s="1"/>
  <c r="BH65" i="60" s="1"/>
  <c r="BT65" i="60" s="1"/>
  <c r="CF65" i="60" s="1"/>
  <c r="K55" i="56"/>
  <c r="L66" i="60" s="1"/>
  <c r="X66" i="60" s="1"/>
  <c r="AJ66" i="60" s="1"/>
  <c r="K84" i="60"/>
  <c r="W84" i="60" s="1"/>
  <c r="AI84" i="60" s="1"/>
  <c r="G54" i="56"/>
  <c r="H65" i="60" s="1"/>
  <c r="T65" i="60" s="1"/>
  <c r="AF65" i="60" s="1"/>
  <c r="K66" i="115" s="1"/>
  <c r="G55" i="56"/>
  <c r="H66" i="60" s="1"/>
  <c r="T66" i="60" s="1"/>
  <c r="AF66" i="60" s="1"/>
  <c r="F60" i="20"/>
  <c r="G19" i="76"/>
  <c r="J60" i="20"/>
  <c r="J75" i="20"/>
  <c r="L84" i="60"/>
  <c r="X84" i="60" s="1"/>
  <c r="G75" i="20"/>
  <c r="K60" i="20"/>
  <c r="E75" i="20"/>
  <c r="N75" i="20"/>
  <c r="E60" i="20"/>
  <c r="F93" i="65"/>
  <c r="H70" i="60"/>
  <c r="T70" i="60" s="1"/>
  <c r="AF70" i="60" s="1"/>
  <c r="K71" i="115" s="1"/>
  <c r="O85" i="60"/>
  <c r="AA85" i="60" s="1"/>
  <c r="F86" i="115" s="1"/>
  <c r="O93" i="60"/>
  <c r="AA93" i="60" s="1"/>
  <c r="F94" i="115" s="1"/>
  <c r="F96" i="115" s="1"/>
  <c r="H69" i="60"/>
  <c r="T69" i="60" s="1"/>
  <c r="AF69" i="60" s="1"/>
  <c r="K70" i="115" s="1"/>
  <c r="I68" i="60"/>
  <c r="U68" i="60" s="1"/>
  <c r="AG68" i="60" s="1"/>
  <c r="AS68" i="60" s="1"/>
  <c r="BE68" i="60" s="1"/>
  <c r="BQ68" i="60" s="1"/>
  <c r="CC68" i="60" s="1"/>
  <c r="C21" i="80"/>
  <c r="E21" i="80"/>
  <c r="D16" i="80"/>
  <c r="BD21" i="80"/>
  <c r="BD60" i="80" s="1"/>
  <c r="C16" i="80"/>
  <c r="D21" i="80"/>
  <c r="AP21" i="80"/>
  <c r="AP60" i="80" s="1"/>
  <c r="E16" i="80"/>
  <c r="BB21" i="80"/>
  <c r="BB60" i="80" s="1"/>
  <c r="G34" i="44"/>
  <c r="C84" i="60" s="1"/>
  <c r="C85" i="65" s="1"/>
  <c r="L15" i="64"/>
  <c r="D39" i="64"/>
  <c r="K15" i="64"/>
  <c r="H21" i="80"/>
  <c r="F21" i="80"/>
  <c r="F9" i="91"/>
  <c r="A6" i="55"/>
  <c r="I6" i="56" s="1"/>
  <c r="B23" i="83"/>
  <c r="C22" i="83"/>
  <c r="AO9" i="72" s="1"/>
  <c r="C9" i="55"/>
  <c r="C101" i="113"/>
  <c r="G21" i="80"/>
  <c r="AE21" i="80"/>
  <c r="AE60" i="80" s="1"/>
  <c r="AF21" i="80"/>
  <c r="AF60" i="80" s="1"/>
  <c r="AQ21" i="80"/>
  <c r="AQ60" i="80" s="1"/>
  <c r="BC21" i="80"/>
  <c r="BC60" i="80" s="1"/>
  <c r="BN21" i="80"/>
  <c r="BN60" i="80" s="1"/>
  <c r="T21" i="80"/>
  <c r="T60" i="80" s="1"/>
  <c r="BZ21" i="80"/>
  <c r="BZ60" i="80" s="1"/>
  <c r="AB16" i="80"/>
  <c r="AB59" i="80" s="1"/>
  <c r="D21" i="60"/>
  <c r="L30" i="60"/>
  <c r="X30" i="60" s="1"/>
  <c r="K39" i="64"/>
  <c r="L39" i="64"/>
  <c r="O39" i="64"/>
  <c r="G25" i="44"/>
  <c r="C15" i="60" s="1"/>
  <c r="C24" i="60" s="1"/>
  <c r="C33" i="60" s="1"/>
  <c r="C42" i="60" s="1"/>
  <c r="P39" i="64"/>
  <c r="V26" i="64"/>
  <c r="O32" i="64"/>
  <c r="O20" i="64"/>
  <c r="O33" i="64"/>
  <c r="O38" i="64"/>
  <c r="AA36" i="64"/>
  <c r="AA39" i="64" s="1"/>
  <c r="W12" i="64"/>
  <c r="AI12" i="64" s="1"/>
  <c r="AU12" i="64" s="1"/>
  <c r="W30" i="64"/>
  <c r="AI30" i="64" s="1"/>
  <c r="AU30" i="64" s="1"/>
  <c r="BG30" i="64" s="1"/>
  <c r="BS30" i="64" s="1"/>
  <c r="V30" i="64"/>
  <c r="V32" i="64" s="1"/>
  <c r="K20" i="64"/>
  <c r="L14" i="64"/>
  <c r="J26" i="64"/>
  <c r="X12" i="64"/>
  <c r="X15" i="64" s="1"/>
  <c r="V18" i="64"/>
  <c r="AH18" i="64" s="1"/>
  <c r="N38" i="64"/>
  <c r="Z42" i="64"/>
  <c r="Z45" i="64" s="1"/>
  <c r="O14" i="64"/>
  <c r="N39" i="64"/>
  <c r="O15" i="64"/>
  <c r="N45" i="64"/>
  <c r="N32" i="64"/>
  <c r="Y49" i="64"/>
  <c r="Y51" i="64" s="1"/>
  <c r="Z32" i="64"/>
  <c r="J45" i="64"/>
  <c r="Z18" i="64"/>
  <c r="Z20" i="64" s="1"/>
  <c r="F26" i="64"/>
  <c r="R26" i="64"/>
  <c r="K14" i="64"/>
  <c r="G19" i="91"/>
  <c r="AH49" i="64"/>
  <c r="AT49" i="64" s="1"/>
  <c r="BF49" i="64" s="1"/>
  <c r="BR49" i="64" s="1"/>
  <c r="CD49" i="64" s="1"/>
  <c r="V51" i="64"/>
  <c r="W39" i="64"/>
  <c r="AI37" i="64"/>
  <c r="AU37" i="64" s="1"/>
  <c r="BG37" i="64" s="1"/>
  <c r="BS37" i="64" s="1"/>
  <c r="CE37" i="64" s="1"/>
  <c r="W38" i="64"/>
  <c r="M12" i="60"/>
  <c r="L11" i="78" s="1"/>
  <c r="I75" i="20"/>
  <c r="M68" i="80"/>
  <c r="I84" i="20"/>
  <c r="Z39" i="64"/>
  <c r="K26" i="64"/>
  <c r="J44" i="64"/>
  <c r="N26" i="64"/>
  <c r="N69" i="60"/>
  <c r="Z69" i="60" s="1"/>
  <c r="E68" i="60"/>
  <c r="Q68" i="60" s="1"/>
  <c r="AC68" i="60" s="1"/>
  <c r="G57" i="60"/>
  <c r="S57" i="60" s="1"/>
  <c r="I56" i="60"/>
  <c r="U56" i="60" s="1"/>
  <c r="AG56" i="60" s="1"/>
  <c r="L57" i="115" s="1"/>
  <c r="E28" i="44"/>
  <c r="L76" i="60"/>
  <c r="X76" i="60" s="1"/>
  <c r="AJ76" i="60" s="1"/>
  <c r="J51" i="64"/>
  <c r="V42" i="64"/>
  <c r="AH42" i="64" s="1"/>
  <c r="V36" i="64"/>
  <c r="AH36" i="64" s="1"/>
  <c r="AT36" i="64" s="1"/>
  <c r="BF36" i="64" s="1"/>
  <c r="L52" i="64"/>
  <c r="N12" i="60"/>
  <c r="M11" i="78" s="1"/>
  <c r="O68" i="60"/>
  <c r="AA68" i="60" s="1"/>
  <c r="J39" i="64"/>
  <c r="O12" i="60"/>
  <c r="N11" i="78" s="1"/>
  <c r="I38" i="64"/>
  <c r="N27" i="64"/>
  <c r="K44" i="64"/>
  <c r="P73" i="20"/>
  <c r="E36" i="76" s="1"/>
  <c r="E45" i="64"/>
  <c r="F44" i="64"/>
  <c r="M21" i="60"/>
  <c r="L12" i="78" s="1"/>
  <c r="I39" i="64"/>
  <c r="N85" i="60"/>
  <c r="Z85" i="60" s="1"/>
  <c r="AL85" i="60" s="1"/>
  <c r="AX85" i="60" s="1"/>
  <c r="BJ85" i="60" s="1"/>
  <c r="BV85" i="60" s="1"/>
  <c r="CH85" i="60" s="1"/>
  <c r="E30" i="60"/>
  <c r="D13" i="78" s="1"/>
  <c r="F12" i="60"/>
  <c r="E11" i="78" s="1"/>
  <c r="H12" i="60"/>
  <c r="G11" i="78" s="1"/>
  <c r="O21" i="60"/>
  <c r="N12" i="78" s="1"/>
  <c r="M30" i="60"/>
  <c r="Y30" i="60" s="1"/>
  <c r="K21" i="60"/>
  <c r="J12" i="78" s="1"/>
  <c r="O30" i="60"/>
  <c r="AA30" i="60" s="1"/>
  <c r="K49" i="82"/>
  <c r="J76" i="82"/>
  <c r="B77" i="82"/>
  <c r="B13" i="82"/>
  <c r="N48" i="82"/>
  <c r="M49" i="82"/>
  <c r="H49" i="65"/>
  <c r="N75" i="65"/>
  <c r="N75" i="115"/>
  <c r="AU74" i="60"/>
  <c r="BG74" i="60" s="1"/>
  <c r="BS74" i="60" s="1"/>
  <c r="CE74" i="60" s="1"/>
  <c r="M84" i="65"/>
  <c r="F49" i="65"/>
  <c r="F49" i="115"/>
  <c r="D8" i="60"/>
  <c r="D10" i="113"/>
  <c r="C9" i="56"/>
  <c r="C9" i="20"/>
  <c r="T9" i="20" s="1"/>
  <c r="H86" i="115"/>
  <c r="H86" i="65"/>
  <c r="AO85" i="60"/>
  <c r="BA85" i="60" s="1"/>
  <c r="BM85" i="60" s="1"/>
  <c r="BY85" i="60" s="1"/>
  <c r="D70" i="115"/>
  <c r="AK69" i="60"/>
  <c r="AW69" i="60" s="1"/>
  <c r="BI69" i="60" s="1"/>
  <c r="BU69" i="60" s="1"/>
  <c r="D70" i="65"/>
  <c r="N84" i="65"/>
  <c r="AU83" i="60"/>
  <c r="BG83" i="60" s="1"/>
  <c r="BS83" i="60" s="1"/>
  <c r="CE83" i="60" s="1"/>
  <c r="G85" i="60"/>
  <c r="S85" i="60" s="1"/>
  <c r="AE85" i="60" s="1"/>
  <c r="J86" i="115" s="1"/>
  <c r="D45" i="64"/>
  <c r="P42" i="64"/>
  <c r="P44" i="64" s="1"/>
  <c r="P49" i="64"/>
  <c r="P51" i="64" s="1"/>
  <c r="D52" i="64"/>
  <c r="D51" i="64"/>
  <c r="AH25" i="64"/>
  <c r="AT25" i="64" s="1"/>
  <c r="BF25" i="64" s="1"/>
  <c r="BF26" i="64" s="1"/>
  <c r="I60" i="20"/>
  <c r="J68" i="60"/>
  <c r="V68" i="60" s="1"/>
  <c r="AH68" i="60" s="1"/>
  <c r="M69" i="115" s="1"/>
  <c r="G14" i="64"/>
  <c r="H26" i="64"/>
  <c r="T25" i="64"/>
  <c r="AF25" i="64" s="1"/>
  <c r="AR25" i="64" s="1"/>
  <c r="BD25" i="64" s="1"/>
  <c r="BP25" i="64" s="1"/>
  <c r="CB25" i="64" s="1"/>
  <c r="F51" i="64"/>
  <c r="G13" i="44"/>
  <c r="G15" i="64"/>
  <c r="E57" i="113"/>
  <c r="F21" i="60"/>
  <c r="E12" i="78" s="1"/>
  <c r="F57" i="113"/>
  <c r="G21" i="60"/>
  <c r="F12" i="78" s="1"/>
  <c r="K76" i="60"/>
  <c r="K77" i="60" s="1"/>
  <c r="M70" i="60"/>
  <c r="Y70" i="60" s="1"/>
  <c r="D71" i="115" s="1"/>
  <c r="F85" i="60"/>
  <c r="R85" i="60" s="1"/>
  <c r="AD85" i="60" s="1"/>
  <c r="I86" i="65" s="1"/>
  <c r="H57" i="113"/>
  <c r="I21" i="60"/>
  <c r="H12" i="78" s="1"/>
  <c r="Z26" i="64"/>
  <c r="K12" i="60"/>
  <c r="J11" i="78" s="1"/>
  <c r="J30" i="113"/>
  <c r="P12" i="64"/>
  <c r="AB12" i="64" s="1"/>
  <c r="AN12" i="64" s="1"/>
  <c r="AZ12" i="64" s="1"/>
  <c r="BL12" i="64" s="1"/>
  <c r="BX12" i="64" s="1"/>
  <c r="D15" i="64"/>
  <c r="D14" i="64"/>
  <c r="O45" i="64"/>
  <c r="AA43" i="64"/>
  <c r="AA44" i="64" s="1"/>
  <c r="N51" i="64"/>
  <c r="Z50" i="64"/>
  <c r="AL50" i="64" s="1"/>
  <c r="AX50" i="64" s="1"/>
  <c r="BJ50" i="64" s="1"/>
  <c r="BV50" i="64" s="1"/>
  <c r="CH50" i="64" s="1"/>
  <c r="I50" i="65"/>
  <c r="I50" i="115"/>
  <c r="F20" i="64"/>
  <c r="R18" i="64"/>
  <c r="AD18" i="64" s="1"/>
  <c r="AP18" i="64" s="1"/>
  <c r="BB18" i="64" s="1"/>
  <c r="BN18" i="64" s="1"/>
  <c r="BN21" i="64" s="1"/>
  <c r="R42" i="64"/>
  <c r="AD42" i="64" s="1"/>
  <c r="AP42" i="64" s="1"/>
  <c r="BB42" i="64" s="1"/>
  <c r="BN42" i="64" s="1"/>
  <c r="BZ42" i="64" s="1"/>
  <c r="F45" i="64"/>
  <c r="AM30" i="64"/>
  <c r="AA32" i="64"/>
  <c r="S14" i="64"/>
  <c r="AE12" i="64"/>
  <c r="AE14" i="64" s="1"/>
  <c r="G20" i="64"/>
  <c r="S18" i="64"/>
  <c r="S21" i="64" s="1"/>
  <c r="G39" i="64"/>
  <c r="G38" i="64"/>
  <c r="S36" i="64"/>
  <c r="S39" i="64" s="1"/>
  <c r="H75" i="20"/>
  <c r="J84" i="65"/>
  <c r="W45" i="64"/>
  <c r="L69" i="60"/>
  <c r="X69" i="60" s="1"/>
  <c r="AJ69" i="60" s="1"/>
  <c r="O70" i="115" s="1"/>
  <c r="I30" i="60"/>
  <c r="U30" i="60" s="1"/>
  <c r="M56" i="60"/>
  <c r="Y56" i="60" s="1"/>
  <c r="D57" i="65" s="1"/>
  <c r="L68" i="80"/>
  <c r="O13" i="20"/>
  <c r="D15" i="76" s="1"/>
  <c r="D15" i="91" s="1"/>
  <c r="N60" i="20"/>
  <c r="Z38" i="64"/>
  <c r="D76" i="60"/>
  <c r="P76" i="60" s="1"/>
  <c r="AB76" i="60" s="1"/>
  <c r="G77" i="115" s="1"/>
  <c r="X26" i="64"/>
  <c r="R54" i="20"/>
  <c r="K30" i="60"/>
  <c r="W30" i="60" s="1"/>
  <c r="AI30" i="60" s="1"/>
  <c r="D30" i="113"/>
  <c r="P30" i="113" s="1"/>
  <c r="Q12" i="60" s="1"/>
  <c r="Q11" i="78" s="1"/>
  <c r="U49" i="64"/>
  <c r="AG49" i="64" s="1"/>
  <c r="AS49" i="64" s="1"/>
  <c r="BE49" i="64" s="1"/>
  <c r="L108" i="80"/>
  <c r="J85" i="60"/>
  <c r="V85" i="60" s="1"/>
  <c r="AH85" i="60" s="1"/>
  <c r="M86" i="65" s="1"/>
  <c r="L56" i="60"/>
  <c r="X56" i="60" s="1"/>
  <c r="AJ56" i="60" s="1"/>
  <c r="AV56" i="60" s="1"/>
  <c r="BH56" i="60" s="1"/>
  <c r="BT56" i="60" s="1"/>
  <c r="CF56" i="60" s="1"/>
  <c r="N68" i="80"/>
  <c r="J84" i="60"/>
  <c r="N21" i="60"/>
  <c r="M12" i="78" s="1"/>
  <c r="N56" i="60"/>
  <c r="Z56" i="60" s="1"/>
  <c r="E57" i="65" s="1"/>
  <c r="K30" i="113"/>
  <c r="L38" i="64"/>
  <c r="G60" i="20"/>
  <c r="V27" i="64"/>
  <c r="O56" i="60"/>
  <c r="AA56" i="60" s="1"/>
  <c r="AM56" i="60" s="1"/>
  <c r="AY56" i="60" s="1"/>
  <c r="BK56" i="60" s="1"/>
  <c r="BW56" i="60" s="1"/>
  <c r="CI56" i="60" s="1"/>
  <c r="G68" i="82"/>
  <c r="G30" i="60"/>
  <c r="S30" i="60" s="1"/>
  <c r="K85" i="60"/>
  <c r="W85" i="60" s="1"/>
  <c r="AI85" i="60" s="1"/>
  <c r="AU85" i="60" s="1"/>
  <c r="BG85" i="60" s="1"/>
  <c r="BS85" i="60" s="1"/>
  <c r="CE85" i="60" s="1"/>
  <c r="J21" i="80"/>
  <c r="J60" i="80" s="1"/>
  <c r="V21" i="80"/>
  <c r="V60" i="80" s="1"/>
  <c r="L20" i="64"/>
  <c r="C32" i="115"/>
  <c r="C41" i="115" s="1"/>
  <c r="H129" i="44"/>
  <c r="AS50" i="64"/>
  <c r="D39" i="60"/>
  <c r="C14" i="78" s="1"/>
  <c r="O84" i="113"/>
  <c r="P39" i="60" s="1"/>
  <c r="P14" i="78" s="1"/>
  <c r="P49" i="60"/>
  <c r="AB13" i="64"/>
  <c r="AK83" i="60"/>
  <c r="AW83" i="60" s="1"/>
  <c r="BI83" i="60" s="1"/>
  <c r="BU83" i="60" s="1"/>
  <c r="CG83" i="60" s="1"/>
  <c r="D84" i="65"/>
  <c r="H20" i="64"/>
  <c r="X36" i="64"/>
  <c r="X30" i="64"/>
  <c r="X33" i="64" s="1"/>
  <c r="O44" i="64"/>
  <c r="D44" i="64"/>
  <c r="L60" i="20"/>
  <c r="AH37" i="64"/>
  <c r="AT37" i="64" s="1"/>
  <c r="BF37" i="64" s="1"/>
  <c r="BR37" i="64" s="1"/>
  <c r="CD37" i="64" s="1"/>
  <c r="D38" i="64"/>
  <c r="H15" i="64"/>
  <c r="H33" i="64"/>
  <c r="E31" i="60"/>
  <c r="Q31" i="60" s="1"/>
  <c r="AC31" i="60" s="1"/>
  <c r="E21" i="60"/>
  <c r="D12" i="78" s="1"/>
  <c r="T20" i="64"/>
  <c r="L27" i="64"/>
  <c r="H14" i="64"/>
  <c r="AP49" i="60"/>
  <c r="BB49" i="60" s="1"/>
  <c r="N108" i="80"/>
  <c r="L26" i="64"/>
  <c r="E68" i="82"/>
  <c r="O47" i="20"/>
  <c r="O50" i="20" s="1"/>
  <c r="L68" i="60"/>
  <c r="X68" i="60" s="1"/>
  <c r="H32" i="64"/>
  <c r="I85" i="60"/>
  <c r="U85" i="60" s="1"/>
  <c r="AG85" i="60" s="1"/>
  <c r="L86" i="65" s="1"/>
  <c r="D60" i="20"/>
  <c r="R81" i="20"/>
  <c r="R50" i="64"/>
  <c r="R52" i="64" s="1"/>
  <c r="L70" i="60"/>
  <c r="X70" i="60" s="1"/>
  <c r="AJ70" i="60" s="1"/>
  <c r="O71" i="65" s="1"/>
  <c r="AO48" i="60"/>
  <c r="BA48" i="60" s="1"/>
  <c r="BM48" i="60" s="1"/>
  <c r="BY48" i="60" s="1"/>
  <c r="K57" i="113"/>
  <c r="L21" i="64"/>
  <c r="BY16" i="80"/>
  <c r="BY59" i="80" s="1"/>
  <c r="H27" i="64"/>
  <c r="K27" i="64"/>
  <c r="J27" i="64"/>
  <c r="F27" i="64"/>
  <c r="K33" i="64"/>
  <c r="N33" i="64"/>
  <c r="J33" i="64"/>
  <c r="L33" i="64"/>
  <c r="AA33" i="64"/>
  <c r="T75" i="44"/>
  <c r="N52" i="64"/>
  <c r="K21" i="64"/>
  <c r="G21" i="64"/>
  <c r="J52" i="64"/>
  <c r="G31" i="44"/>
  <c r="I52" i="64"/>
  <c r="V52" i="64"/>
  <c r="W21" i="64"/>
  <c r="G35" i="44"/>
  <c r="O37" i="76" s="1"/>
  <c r="T21" i="64"/>
  <c r="F21" i="64"/>
  <c r="F52" i="64"/>
  <c r="X21" i="64"/>
  <c r="J21" i="64"/>
  <c r="M52" i="64"/>
  <c r="H21" i="64"/>
  <c r="N21" i="64"/>
  <c r="K45" i="64"/>
  <c r="N49" i="65"/>
  <c r="N49" i="115"/>
  <c r="AN43" i="64"/>
  <c r="AD43" i="64"/>
  <c r="AG42" i="64"/>
  <c r="U44" i="64"/>
  <c r="U45" i="64"/>
  <c r="E39" i="60"/>
  <c r="D14" i="78" s="1"/>
  <c r="P84" i="113"/>
  <c r="Q39" i="60" s="1"/>
  <c r="Q14" i="78" s="1"/>
  <c r="P25" i="64"/>
  <c r="P26" i="64" s="1"/>
  <c r="D26" i="64"/>
  <c r="D27" i="64"/>
  <c r="C14" i="60"/>
  <c r="C23" i="60" s="1"/>
  <c r="C32" i="60" s="1"/>
  <c r="C41" i="60" s="1"/>
  <c r="Q15" i="20"/>
  <c r="C15" i="65"/>
  <c r="E126" i="44" s="1"/>
  <c r="U48" i="60"/>
  <c r="AG48" i="60" s="1"/>
  <c r="E27" i="44"/>
  <c r="G23" i="44"/>
  <c r="C13" i="60" s="1"/>
  <c r="C22" i="60" s="1"/>
  <c r="C31" i="60" s="1"/>
  <c r="C40" i="60" s="1"/>
  <c r="D50" i="65"/>
  <c r="AK49" i="60"/>
  <c r="D50" i="115"/>
  <c r="AU48" i="60"/>
  <c r="BG48" i="60" s="1"/>
  <c r="BS48" i="60" s="1"/>
  <c r="CE48" i="60" s="1"/>
  <c r="J68" i="65"/>
  <c r="AQ67" i="60"/>
  <c r="BC67" i="60" s="1"/>
  <c r="BO67" i="60" s="1"/>
  <c r="CA67" i="60" s="1"/>
  <c r="Y48" i="60"/>
  <c r="I49" i="115"/>
  <c r="AP48" i="60"/>
  <c r="BB48" i="60" s="1"/>
  <c r="BN48" i="60" s="1"/>
  <c r="BZ48" i="60" s="1"/>
  <c r="I49" i="65"/>
  <c r="AI49" i="60"/>
  <c r="P14" i="20"/>
  <c r="BH37" i="64"/>
  <c r="AE49" i="60"/>
  <c r="M50" i="65"/>
  <c r="M50" i="115"/>
  <c r="AT49" i="60"/>
  <c r="I31" i="60"/>
  <c r="U31" i="60" s="1"/>
  <c r="AG31" i="60" s="1"/>
  <c r="CB49" i="60"/>
  <c r="I68" i="65"/>
  <c r="AP67" i="60"/>
  <c r="BB67" i="60" s="1"/>
  <c r="BN67" i="60" s="1"/>
  <c r="BZ67" i="60" s="1"/>
  <c r="AL49" i="60"/>
  <c r="E50" i="115"/>
  <c r="E50" i="65"/>
  <c r="P28" i="20"/>
  <c r="P21" i="20"/>
  <c r="L49" i="60"/>
  <c r="AG57" i="60"/>
  <c r="L58" i="115" s="1"/>
  <c r="P48" i="20"/>
  <c r="AI24" i="64"/>
  <c r="W27" i="64"/>
  <c r="W26" i="64"/>
  <c r="P38" i="64"/>
  <c r="AB36" i="64"/>
  <c r="AC49" i="60"/>
  <c r="K50" i="65"/>
  <c r="K50" i="115"/>
  <c r="M49" i="65"/>
  <c r="AT48" i="60"/>
  <c r="BF48" i="60" s="1"/>
  <c r="BR48" i="60" s="1"/>
  <c r="CD48" i="60" s="1"/>
  <c r="R26" i="60"/>
  <c r="R35" i="60" s="1"/>
  <c r="R44" i="60" s="1"/>
  <c r="S17" i="60"/>
  <c r="S26" i="60" s="1"/>
  <c r="S35" i="60" s="1"/>
  <c r="S44" i="60" s="1"/>
  <c r="J49" i="115"/>
  <c r="J49" i="65"/>
  <c r="AV19" i="64"/>
  <c r="AV20" i="64" s="1"/>
  <c r="AJ21" i="64"/>
  <c r="AF24" i="64"/>
  <c r="AF31" i="64"/>
  <c r="AF32" i="64" s="1"/>
  <c r="T33" i="64"/>
  <c r="K12" i="78"/>
  <c r="X48" i="60"/>
  <c r="AJ48" i="60" s="1"/>
  <c r="E49" i="65"/>
  <c r="AL48" i="60"/>
  <c r="AX48" i="60" s="1"/>
  <c r="BJ48" i="60" s="1"/>
  <c r="BV48" i="60" s="1"/>
  <c r="CH48" i="60" s="1"/>
  <c r="E49" i="115"/>
  <c r="C84" i="20"/>
  <c r="D93" i="60"/>
  <c r="P82" i="20"/>
  <c r="R12" i="64"/>
  <c r="F14" i="64"/>
  <c r="F15" i="64"/>
  <c r="J14" i="64"/>
  <c r="V12" i="64"/>
  <c r="J15" i="64"/>
  <c r="Z12" i="64"/>
  <c r="N14" i="64"/>
  <c r="N15" i="64"/>
  <c r="M15" i="64"/>
  <c r="Y13" i="64"/>
  <c r="M14" i="64"/>
  <c r="E20" i="64"/>
  <c r="E21" i="64"/>
  <c r="I21" i="64"/>
  <c r="I20" i="64"/>
  <c r="U18" i="64"/>
  <c r="M21" i="64"/>
  <c r="M20" i="64"/>
  <c r="Y18" i="64"/>
  <c r="E26" i="64"/>
  <c r="E27" i="64"/>
  <c r="Q24" i="64"/>
  <c r="U24" i="64"/>
  <c r="U26" i="64" s="1"/>
  <c r="I27" i="64"/>
  <c r="I26" i="64"/>
  <c r="M27" i="64"/>
  <c r="Y24" i="64"/>
  <c r="Q30" i="64"/>
  <c r="Q33" i="64" s="1"/>
  <c r="E33" i="64"/>
  <c r="E32" i="64"/>
  <c r="U30" i="64"/>
  <c r="U32" i="64" s="1"/>
  <c r="I32" i="64"/>
  <c r="M33" i="64"/>
  <c r="M32" i="64"/>
  <c r="U39" i="64"/>
  <c r="AG36" i="64"/>
  <c r="AG39" i="64" s="1"/>
  <c r="M38" i="64"/>
  <c r="Y36" i="64"/>
  <c r="M39" i="64"/>
  <c r="Q42" i="64"/>
  <c r="E44" i="64"/>
  <c r="I44" i="64"/>
  <c r="I45" i="64"/>
  <c r="Y42" i="64"/>
  <c r="Y45" i="64" s="1"/>
  <c r="M45" i="64"/>
  <c r="M44" i="64"/>
  <c r="X43" i="64"/>
  <c r="L44" i="64"/>
  <c r="L45" i="64"/>
  <c r="H51" i="64"/>
  <c r="H52" i="64"/>
  <c r="T49" i="64"/>
  <c r="L51" i="64"/>
  <c r="X49" i="64"/>
  <c r="W50" i="64"/>
  <c r="AI50" i="64" s="1"/>
  <c r="AU50" i="64" s="1"/>
  <c r="BG50" i="64" s="1"/>
  <c r="BS50" i="64" s="1"/>
  <c r="CE50" i="64" s="1"/>
  <c r="K52" i="64"/>
  <c r="K51" i="64"/>
  <c r="O52" i="64"/>
  <c r="AA50" i="64"/>
  <c r="J67" i="60"/>
  <c r="V67" i="60" s="1"/>
  <c r="AH67" i="60" s="1"/>
  <c r="R56" i="20"/>
  <c r="D83" i="60"/>
  <c r="P83" i="60" s="1"/>
  <c r="AB83" i="60" s="1"/>
  <c r="G84" i="65" s="1"/>
  <c r="R72" i="20"/>
  <c r="K49" i="65"/>
  <c r="AR48" i="60"/>
  <c r="BD48" i="60" s="1"/>
  <c r="BP48" i="60" s="1"/>
  <c r="CB48" i="60" s="1"/>
  <c r="K49" i="115"/>
  <c r="AT50" i="64"/>
  <c r="P42" i="20"/>
  <c r="AQ48" i="60"/>
  <c r="BC48" i="60" s="1"/>
  <c r="BO48" i="60" s="1"/>
  <c r="CA48" i="60" s="1"/>
  <c r="E38" i="64"/>
  <c r="U38" i="64"/>
  <c r="O51" i="64"/>
  <c r="AM12" i="64"/>
  <c r="AY12" i="64" s="1"/>
  <c r="BK12" i="64" s="1"/>
  <c r="BW12" i="64" s="1"/>
  <c r="CI12" i="64" s="1"/>
  <c r="AA15" i="64"/>
  <c r="AA14" i="64"/>
  <c r="X27" i="64"/>
  <c r="AJ24" i="64"/>
  <c r="M26" i="64"/>
  <c r="Y30" i="64"/>
  <c r="I33" i="64"/>
  <c r="F50" i="115"/>
  <c r="F50" i="65"/>
  <c r="L50" i="65"/>
  <c r="AS49" i="60"/>
  <c r="AM49" i="60"/>
  <c r="P35" i="20"/>
  <c r="E39" i="64"/>
  <c r="T32" i="64"/>
  <c r="X20" i="64"/>
  <c r="O41" i="20"/>
  <c r="BT18" i="64"/>
  <c r="AI18" i="64"/>
  <c r="AI20" i="64" s="1"/>
  <c r="W20" i="64"/>
  <c r="AD24" i="64"/>
  <c r="AP24" i="64" s="1"/>
  <c r="AP27" i="64" s="1"/>
  <c r="R27" i="64"/>
  <c r="D48" i="60"/>
  <c r="P48" i="60" s="1"/>
  <c r="AB48" i="60" s="1"/>
  <c r="F68" i="82"/>
  <c r="BE21" i="80"/>
  <c r="BE60" i="80" s="1"/>
  <c r="AG21" i="80"/>
  <c r="AG60" i="80" s="1"/>
  <c r="T29" i="44"/>
  <c r="Q65" i="20" s="1"/>
  <c r="G29" i="44"/>
  <c r="AG28" i="44" s="1"/>
  <c r="AJ20" i="64"/>
  <c r="AI31" i="64"/>
  <c r="P16" i="80"/>
  <c r="P59" i="80" s="1"/>
  <c r="F57" i="60"/>
  <c r="R57" i="60" s="1"/>
  <c r="AD57" i="60" s="1"/>
  <c r="K56" i="60"/>
  <c r="H56" i="60"/>
  <c r="T56" i="60" s="1"/>
  <c r="AF56" i="60" s="1"/>
  <c r="AG13" i="78" s="1"/>
  <c r="J31" i="60"/>
  <c r="V31" i="60" s="1"/>
  <c r="AH31" i="60" s="1"/>
  <c r="G31" i="60"/>
  <c r="S31" i="60" s="1"/>
  <c r="AE31" i="60" s="1"/>
  <c r="AL31" i="64"/>
  <c r="AL33" i="64" s="1"/>
  <c r="Z33" i="64"/>
  <c r="O20" i="20"/>
  <c r="D16" i="76" s="1"/>
  <c r="G57" i="113"/>
  <c r="I57" i="113"/>
  <c r="J21" i="60"/>
  <c r="I12" i="78" s="1"/>
  <c r="E84" i="113"/>
  <c r="F39" i="60" s="1"/>
  <c r="E14" i="78" s="1"/>
  <c r="O34" i="20"/>
  <c r="O38" i="20" s="1"/>
  <c r="H66" i="82"/>
  <c r="D75" i="20"/>
  <c r="C30" i="113"/>
  <c r="O30" i="113" s="1"/>
  <c r="P12" i="60" s="1"/>
  <c r="D12" i="60"/>
  <c r="C11" i="78" s="1"/>
  <c r="F30" i="113"/>
  <c r="G12" i="60"/>
  <c r="F11" i="78" s="1"/>
  <c r="I30" i="113"/>
  <c r="J12" i="60"/>
  <c r="I11" i="78" s="1"/>
  <c r="G12" i="78"/>
  <c r="H65" i="82"/>
  <c r="H67" i="82"/>
  <c r="F76" i="60"/>
  <c r="R76" i="60" s="1"/>
  <c r="AD76" i="60" s="1"/>
  <c r="I77" i="65" s="1"/>
  <c r="BL16" i="80"/>
  <c r="BL59" i="80" s="1"/>
  <c r="O27" i="20"/>
  <c r="O31" i="20" s="1"/>
  <c r="M75" i="20"/>
  <c r="G15" i="44"/>
  <c r="Q53" i="20" s="1"/>
  <c r="Q53" i="56" s="1"/>
  <c r="S145" i="117" s="1"/>
  <c r="T145" i="117" s="1"/>
  <c r="K31" i="60"/>
  <c r="AZ16" i="80"/>
  <c r="AZ59" i="80" s="1"/>
  <c r="S15" i="64"/>
  <c r="N30" i="60"/>
  <c r="Z30" i="60" s="1"/>
  <c r="N70" i="60"/>
  <c r="Z70" i="60" s="1"/>
  <c r="E71" i="115" s="1"/>
  <c r="E69" i="60"/>
  <c r="Q69" i="60" s="1"/>
  <c r="AC69" i="60" s="1"/>
  <c r="H70" i="65" s="1"/>
  <c r="L31" i="60"/>
  <c r="K68" i="80"/>
  <c r="BM16" i="80"/>
  <c r="BM59" i="80" s="1"/>
  <c r="O57" i="60"/>
  <c r="E76" i="60"/>
  <c r="Q76" i="60" s="1"/>
  <c r="AC76" i="60" s="1"/>
  <c r="AO76" i="60" s="1"/>
  <c r="O70" i="60"/>
  <c r="F69" i="60"/>
  <c r="R69" i="60" s="1"/>
  <c r="AD69" i="60" s="1"/>
  <c r="I70" i="115" s="1"/>
  <c r="K68" i="60"/>
  <c r="W68" i="60" s="1"/>
  <c r="AI68" i="60" s="1"/>
  <c r="N69" i="115" s="1"/>
  <c r="G68" i="60"/>
  <c r="S68" i="60" s="1"/>
  <c r="AE68" i="60" s="1"/>
  <c r="M57" i="60"/>
  <c r="J56" i="60"/>
  <c r="V56" i="60" s="1"/>
  <c r="AH56" i="60" s="1"/>
  <c r="AT56" i="60" s="1"/>
  <c r="BF56" i="60" s="1"/>
  <c r="BR56" i="60" s="1"/>
  <c r="CD56" i="60" s="1"/>
  <c r="G56" i="60"/>
  <c r="S56" i="60" s="1"/>
  <c r="AE56" i="60" s="1"/>
  <c r="J57" i="65" s="1"/>
  <c r="J30" i="60"/>
  <c r="V30" i="60" s="1"/>
  <c r="F30" i="60"/>
  <c r="R30" i="60" s="1"/>
  <c r="G12" i="44"/>
  <c r="G32" i="44"/>
  <c r="AG33" i="44" s="1"/>
  <c r="J23" i="108"/>
  <c r="O18" i="76"/>
  <c r="G14" i="44"/>
  <c r="Y24" i="44"/>
  <c r="G16" i="44"/>
  <c r="C80" i="60" s="1"/>
  <c r="D24" i="108"/>
  <c r="I24" i="108" s="1"/>
  <c r="E14" i="61"/>
  <c r="E22" i="61" s="1"/>
  <c r="E29" i="61" s="1"/>
  <c r="E32" i="61" s="1"/>
  <c r="F32" i="61" s="1"/>
  <c r="AG4" i="44"/>
  <c r="BY43" i="64"/>
  <c r="BP18" i="64"/>
  <c r="G27" i="64"/>
  <c r="S25" i="64"/>
  <c r="S27" i="64" s="1"/>
  <c r="G26" i="64"/>
  <c r="S30" i="64"/>
  <c r="G33" i="64"/>
  <c r="G32" i="64"/>
  <c r="N99" i="60"/>
  <c r="N18" i="72" s="1"/>
  <c r="P18" i="72" s="1"/>
  <c r="AP13" i="64"/>
  <c r="AY37" i="64"/>
  <c r="BN30" i="64"/>
  <c r="AY49" i="64"/>
  <c r="S51" i="64"/>
  <c r="S52" i="64"/>
  <c r="AE49" i="64"/>
  <c r="AN24" i="64"/>
  <c r="CD24" i="64"/>
  <c r="CG12" i="64"/>
  <c r="CB30" i="64"/>
  <c r="AW50" i="64"/>
  <c r="BI50" i="64" s="1"/>
  <c r="BU50" i="64" s="1"/>
  <c r="CG50" i="64" s="1"/>
  <c r="AY13" i="64"/>
  <c r="AX37" i="64"/>
  <c r="AL39" i="64"/>
  <c r="AL38" i="64"/>
  <c r="I15" i="64"/>
  <c r="I14" i="64"/>
  <c r="U12" i="64"/>
  <c r="F33" i="64"/>
  <c r="R31" i="64"/>
  <c r="F32" i="64"/>
  <c r="R36" i="64"/>
  <c r="F38" i="64"/>
  <c r="F39" i="64"/>
  <c r="AC37" i="64"/>
  <c r="AO37" i="64" s="1"/>
  <c r="BA37" i="64" s="1"/>
  <c r="BM37" i="64" s="1"/>
  <c r="BY37" i="64" s="1"/>
  <c r="Q38" i="64"/>
  <c r="Q39" i="64"/>
  <c r="AX30" i="64"/>
  <c r="AQ42" i="64"/>
  <c r="E51" i="64"/>
  <c r="E52" i="64"/>
  <c r="Q50" i="64"/>
  <c r="BT42" i="64"/>
  <c r="AK43" i="64"/>
  <c r="AL49" i="64"/>
  <c r="H39" i="64"/>
  <c r="H38" i="64"/>
  <c r="H44" i="64"/>
  <c r="H45" i="64"/>
  <c r="T42" i="64"/>
  <c r="G45" i="64"/>
  <c r="G44" i="64"/>
  <c r="S43" i="64"/>
  <c r="G52" i="64"/>
  <c r="G51" i="64"/>
  <c r="BW18" i="64"/>
  <c r="T39" i="64"/>
  <c r="T38" i="64"/>
  <c r="AF36" i="64"/>
  <c r="AF20" i="64"/>
  <c r="AF21" i="64"/>
  <c r="AR19" i="64"/>
  <c r="BD19" i="64" s="1"/>
  <c r="BP19" i="64" s="1"/>
  <c r="CB19" i="64" s="1"/>
  <c r="AE37" i="64"/>
  <c r="AY42" i="64"/>
  <c r="AV13" i="64"/>
  <c r="BI19" i="64"/>
  <c r="AO36" i="64"/>
  <c r="CB12" i="64"/>
  <c r="AN31" i="64"/>
  <c r="AZ31" i="64" s="1"/>
  <c r="BL31" i="64" s="1"/>
  <c r="BX31" i="64" s="1"/>
  <c r="AF13" i="64"/>
  <c r="T14" i="64"/>
  <c r="T15" i="64"/>
  <c r="Z27" i="64"/>
  <c r="AL24" i="64"/>
  <c r="AQ24" i="64"/>
  <c r="AA19" i="64"/>
  <c r="O21" i="64"/>
  <c r="O27" i="64"/>
  <c r="AA24" i="64"/>
  <c r="O26" i="64"/>
  <c r="BE43" i="64"/>
  <c r="AL19" i="64"/>
  <c r="D20" i="64"/>
  <c r="P18" i="64"/>
  <c r="D21" i="64"/>
  <c r="BB49" i="64"/>
  <c r="E14" i="64"/>
  <c r="Q13" i="64"/>
  <c r="E15" i="64"/>
  <c r="Q21" i="64"/>
  <c r="Q20" i="64"/>
  <c r="AC19" i="64"/>
  <c r="AU36" i="64"/>
  <c r="AO25" i="64"/>
  <c r="AC31" i="64"/>
  <c r="W44" i="64"/>
  <c r="AI42" i="64"/>
  <c r="AI49" i="64"/>
  <c r="L57" i="60"/>
  <c r="K50" i="56"/>
  <c r="M84" i="56"/>
  <c r="N93" i="60"/>
  <c r="N95" i="60" s="1"/>
  <c r="M37" i="78" s="1"/>
  <c r="O76" i="60"/>
  <c r="N66" i="56"/>
  <c r="N76" i="60"/>
  <c r="M66" i="56"/>
  <c r="M76" i="60"/>
  <c r="L66" i="56"/>
  <c r="K80" i="56"/>
  <c r="K79" i="56"/>
  <c r="O69" i="60"/>
  <c r="AA69" i="60" s="1"/>
  <c r="F70" i="115" s="1"/>
  <c r="N60" i="56"/>
  <c r="J80" i="56"/>
  <c r="J79" i="56"/>
  <c r="I80" i="56"/>
  <c r="I79" i="56"/>
  <c r="I31" i="56"/>
  <c r="H31" i="56"/>
  <c r="AX74" i="60"/>
  <c r="AS74" i="60"/>
  <c r="BE74" i="60" s="1"/>
  <c r="BQ74" i="60" s="1"/>
  <c r="CC74" i="60" s="1"/>
  <c r="L75" i="115"/>
  <c r="L75" i="65"/>
  <c r="L70" i="56"/>
  <c r="L71" i="56"/>
  <c r="I75" i="56"/>
  <c r="J50" i="56"/>
  <c r="M60" i="56"/>
  <c r="L60" i="56"/>
  <c r="K60" i="56"/>
  <c r="AM31" i="60"/>
  <c r="F32" i="115"/>
  <c r="D31" i="56"/>
  <c r="AR85" i="60"/>
  <c r="BD85" i="60" s="1"/>
  <c r="K86" i="115"/>
  <c r="G84" i="56"/>
  <c r="H93" i="60"/>
  <c r="E76" i="65"/>
  <c r="E76" i="115"/>
  <c r="H74" i="60"/>
  <c r="T74" i="60" s="1"/>
  <c r="AF74" i="60" s="1"/>
  <c r="AR74" i="60" s="1"/>
  <c r="BD74" i="60" s="1"/>
  <c r="BP74" i="60" s="1"/>
  <c r="CB74" i="60" s="1"/>
  <c r="G66" i="56"/>
  <c r="H75" i="56"/>
  <c r="J70" i="56"/>
  <c r="J71" i="56"/>
  <c r="AT75" i="60"/>
  <c r="BF75" i="60" s="1"/>
  <c r="BR75" i="60" s="1"/>
  <c r="CD75" i="60" s="1"/>
  <c r="M76" i="65"/>
  <c r="K57" i="60"/>
  <c r="M75" i="115"/>
  <c r="M75" i="65"/>
  <c r="AT74" i="60"/>
  <c r="BF74" i="60" s="1"/>
  <c r="BR74" i="60" s="1"/>
  <c r="CD74" i="60" s="1"/>
  <c r="G85" i="65"/>
  <c r="U84" i="60"/>
  <c r="L71" i="115"/>
  <c r="AS70" i="60"/>
  <c r="BE70" i="60" s="1"/>
  <c r="BQ70" i="60" s="1"/>
  <c r="CC70" i="60" s="1"/>
  <c r="N75" i="56"/>
  <c r="O84" i="60"/>
  <c r="D82" i="56"/>
  <c r="D84" i="56" s="1"/>
  <c r="H71" i="56"/>
  <c r="AN84" i="60"/>
  <c r="AZ84" i="60" s="1"/>
  <c r="BL84" i="60" s="1"/>
  <c r="C71" i="56"/>
  <c r="D76" i="115"/>
  <c r="D76" i="65"/>
  <c r="AK75" i="60"/>
  <c r="AW75" i="60" s="1"/>
  <c r="BI75" i="60" s="1"/>
  <c r="BU75" i="60" s="1"/>
  <c r="CG75" i="60" s="1"/>
  <c r="F75" i="65"/>
  <c r="AM74" i="60"/>
  <c r="J57" i="60"/>
  <c r="I50" i="56"/>
  <c r="G71" i="56"/>
  <c r="M93" i="60"/>
  <c r="Y93" i="60" s="1"/>
  <c r="L84" i="56"/>
  <c r="N79" i="56"/>
  <c r="N80" i="56"/>
  <c r="O76" i="115"/>
  <c r="O76" i="65"/>
  <c r="F70" i="56"/>
  <c r="H50" i="56"/>
  <c r="H84" i="56"/>
  <c r="I93" i="60"/>
  <c r="M80" i="56"/>
  <c r="D75" i="115"/>
  <c r="D75" i="65"/>
  <c r="I60" i="56"/>
  <c r="L75" i="56"/>
  <c r="M85" i="60"/>
  <c r="Y85" i="60" s="1"/>
  <c r="D86" i="65" s="1"/>
  <c r="E75" i="65"/>
  <c r="E75" i="115"/>
  <c r="L93" i="60"/>
  <c r="K84" i="56"/>
  <c r="L79" i="56"/>
  <c r="N76" i="115"/>
  <c r="N76" i="65"/>
  <c r="AU75" i="60"/>
  <c r="BG75" i="60" s="1"/>
  <c r="BS75" i="60" s="1"/>
  <c r="CE75" i="60" s="1"/>
  <c r="K66" i="56"/>
  <c r="L74" i="60"/>
  <c r="N84" i="60"/>
  <c r="M75" i="56"/>
  <c r="J84" i="56"/>
  <c r="K93" i="60"/>
  <c r="N71" i="56"/>
  <c r="N70" i="56"/>
  <c r="N31" i="56"/>
  <c r="E83" i="56"/>
  <c r="R83" i="56" s="1"/>
  <c r="N31" i="60"/>
  <c r="M31" i="56"/>
  <c r="I75" i="60"/>
  <c r="U75" i="60" s="1"/>
  <c r="AG75" i="60" s="1"/>
  <c r="H66" i="56"/>
  <c r="D50" i="56"/>
  <c r="E57" i="60"/>
  <c r="M31" i="60"/>
  <c r="L31" i="56"/>
  <c r="I66" i="56"/>
  <c r="J76" i="60"/>
  <c r="V76" i="60" s="1"/>
  <c r="K69" i="60"/>
  <c r="M68" i="60"/>
  <c r="L85" i="60"/>
  <c r="X85" i="60" s="1"/>
  <c r="AJ85" i="60" s="1"/>
  <c r="O86" i="115" s="1"/>
  <c r="F80" i="56"/>
  <c r="F79" i="56"/>
  <c r="G31" i="56"/>
  <c r="H31" i="60"/>
  <c r="Q74" i="60"/>
  <c r="E79" i="56"/>
  <c r="E80" i="56"/>
  <c r="G93" i="60"/>
  <c r="F84" i="56"/>
  <c r="G75" i="60"/>
  <c r="F66" i="56"/>
  <c r="G70" i="60"/>
  <c r="S70" i="60" s="1"/>
  <c r="AE70" i="60" s="1"/>
  <c r="F60" i="56"/>
  <c r="G50" i="56"/>
  <c r="H57" i="60"/>
  <c r="F31" i="56"/>
  <c r="F93" i="60"/>
  <c r="E84" i="56"/>
  <c r="I76" i="65"/>
  <c r="I76" i="115"/>
  <c r="AP75" i="60"/>
  <c r="BB75" i="60" s="1"/>
  <c r="BN75" i="60" s="1"/>
  <c r="BZ75" i="60" s="1"/>
  <c r="F70" i="60"/>
  <c r="R70" i="60" s="1"/>
  <c r="AD70" i="60" s="1"/>
  <c r="I71" i="115" s="1"/>
  <c r="E60" i="56"/>
  <c r="F31" i="60"/>
  <c r="E31" i="56"/>
  <c r="D60" i="56"/>
  <c r="E70" i="60"/>
  <c r="H84" i="60"/>
  <c r="G75" i="56"/>
  <c r="AP56" i="60"/>
  <c r="BB56" i="60" s="1"/>
  <c r="BN56" i="60" s="1"/>
  <c r="BZ56" i="60" s="1"/>
  <c r="I57" i="115"/>
  <c r="I57" i="65"/>
  <c r="F75" i="56"/>
  <c r="G84" i="60"/>
  <c r="D71" i="56"/>
  <c r="O69" i="56"/>
  <c r="D70" i="56"/>
  <c r="AQ74" i="60"/>
  <c r="J75" i="65"/>
  <c r="J75" i="115"/>
  <c r="E66" i="56"/>
  <c r="F74" i="60"/>
  <c r="E75" i="56"/>
  <c r="F84" i="60"/>
  <c r="H57" i="65"/>
  <c r="H57" i="115"/>
  <c r="AO56" i="60"/>
  <c r="BA56" i="60" s="1"/>
  <c r="BM56" i="60" s="1"/>
  <c r="BY56" i="60" s="1"/>
  <c r="G76" i="60"/>
  <c r="S76" i="60" s="1"/>
  <c r="AE76" i="60" s="1"/>
  <c r="P65" i="56"/>
  <c r="D75" i="56"/>
  <c r="P73" i="56"/>
  <c r="F36" i="76" s="1"/>
  <c r="F36" i="91" s="1"/>
  <c r="F50" i="56"/>
  <c r="H68" i="60"/>
  <c r="G60" i="56"/>
  <c r="E50" i="56"/>
  <c r="K31" i="115"/>
  <c r="AR30" i="60"/>
  <c r="BD30" i="60" s="1"/>
  <c r="BP30" i="60" s="1"/>
  <c r="CB30" i="60" s="1"/>
  <c r="K31" i="65"/>
  <c r="K15" i="81"/>
  <c r="H76" i="65"/>
  <c r="H76" i="115"/>
  <c r="AO75" i="60"/>
  <c r="BA75" i="60" s="1"/>
  <c r="BM75" i="60" s="1"/>
  <c r="BY75" i="60" s="1"/>
  <c r="G80" i="56"/>
  <c r="G79" i="56"/>
  <c r="K76" i="115"/>
  <c r="AR75" i="60"/>
  <c r="BD75" i="60" s="1"/>
  <c r="BP75" i="60" s="1"/>
  <c r="CB75" i="60" s="1"/>
  <c r="K76" i="65"/>
  <c r="F68" i="60"/>
  <c r="R68" i="60" s="1"/>
  <c r="E84" i="60"/>
  <c r="Q84" i="60" s="1"/>
  <c r="H76" i="60"/>
  <c r="D66" i="56"/>
  <c r="P30" i="56"/>
  <c r="D31" i="60"/>
  <c r="C31" i="56"/>
  <c r="P28" i="56"/>
  <c r="D70" i="60"/>
  <c r="P70" i="60" s="1"/>
  <c r="AB70" i="60" s="1"/>
  <c r="P59" i="56"/>
  <c r="F33" i="76" s="1"/>
  <c r="F33" i="91" s="1"/>
  <c r="C80" i="56"/>
  <c r="C79" i="56"/>
  <c r="O78" i="56"/>
  <c r="D69" i="60"/>
  <c r="P69" i="60" s="1"/>
  <c r="AB69" i="60" s="1"/>
  <c r="G70" i="115" s="1"/>
  <c r="P58" i="56"/>
  <c r="P49" i="56"/>
  <c r="D75" i="60"/>
  <c r="P75" i="60" s="1"/>
  <c r="AB75" i="60" s="1"/>
  <c r="P64" i="56"/>
  <c r="O53" i="56"/>
  <c r="C60" i="56"/>
  <c r="P57" i="56"/>
  <c r="P29" i="56"/>
  <c r="O27" i="56"/>
  <c r="D30" i="60"/>
  <c r="D74" i="60"/>
  <c r="C66" i="56"/>
  <c r="P63" i="56"/>
  <c r="P74" i="56"/>
  <c r="C75" i="56"/>
  <c r="O47" i="56"/>
  <c r="D56" i="60"/>
  <c r="P56" i="60" s="1"/>
  <c r="AB56" i="60" s="1"/>
  <c r="N71" i="65"/>
  <c r="N71" i="115"/>
  <c r="AU70" i="60"/>
  <c r="J70" i="115"/>
  <c r="J70" i="65"/>
  <c r="BC69" i="60"/>
  <c r="C75" i="20"/>
  <c r="P74" i="20"/>
  <c r="E37" i="76" s="1"/>
  <c r="D85" i="60"/>
  <c r="G93" i="65"/>
  <c r="AN92" i="60"/>
  <c r="AZ92" i="60" s="1"/>
  <c r="BL92" i="60" s="1"/>
  <c r="BX92" i="60" s="1"/>
  <c r="AK92" i="60"/>
  <c r="AW92" i="60" s="1"/>
  <c r="BI92" i="60" s="1"/>
  <c r="BU92" i="60" s="1"/>
  <c r="CG92" i="60" s="1"/>
  <c r="D93" i="65"/>
  <c r="E69" i="115"/>
  <c r="AL68" i="60"/>
  <c r="Y84" i="60"/>
  <c r="AS92" i="60"/>
  <c r="BE92" i="60" s="1"/>
  <c r="BQ92" i="60" s="1"/>
  <c r="CC92" i="60" s="1"/>
  <c r="N68" i="65"/>
  <c r="AU67" i="60"/>
  <c r="BG67" i="60" s="1"/>
  <c r="BS67" i="60" s="1"/>
  <c r="CE67" i="60" s="1"/>
  <c r="U76" i="60"/>
  <c r="AL67" i="60"/>
  <c r="AX67" i="60" s="1"/>
  <c r="BJ67" i="60" s="1"/>
  <c r="BV67" i="60" s="1"/>
  <c r="CH67" i="60" s="1"/>
  <c r="E68" i="65"/>
  <c r="U69" i="60"/>
  <c r="J93" i="65"/>
  <c r="AR67" i="60"/>
  <c r="BD67" i="60" s="1"/>
  <c r="BP67" i="60" s="1"/>
  <c r="CB67" i="60" s="1"/>
  <c r="K68" i="65"/>
  <c r="H68" i="65"/>
  <c r="AP83" i="60"/>
  <c r="BB83" i="60" s="1"/>
  <c r="BN83" i="60" s="1"/>
  <c r="BZ83" i="60" s="1"/>
  <c r="K84" i="65"/>
  <c r="AR83" i="60"/>
  <c r="BD83" i="60" s="1"/>
  <c r="BP83" i="60" s="1"/>
  <c r="CB83" i="60" s="1"/>
  <c r="H93" i="65"/>
  <c r="AO92" i="60"/>
  <c r="E93" i="65"/>
  <c r="AL92" i="60"/>
  <c r="AX92" i="60" s="1"/>
  <c r="BJ92" i="60" s="1"/>
  <c r="BV92" i="60" s="1"/>
  <c r="CH92" i="60" s="1"/>
  <c r="N93" i="65"/>
  <c r="AU92" i="60"/>
  <c r="BG92" i="60" s="1"/>
  <c r="BS92" i="60" s="1"/>
  <c r="CE92" i="60" s="1"/>
  <c r="G68" i="65"/>
  <c r="AN67" i="60"/>
  <c r="AZ67" i="60" s="1"/>
  <c r="BL67" i="60" s="1"/>
  <c r="BX67" i="60" s="1"/>
  <c r="AM67" i="60"/>
  <c r="AY67" i="60" s="1"/>
  <c r="BK67" i="60" s="1"/>
  <c r="BW67" i="60" s="1"/>
  <c r="CI67" i="60" s="1"/>
  <c r="AO83" i="60"/>
  <c r="BA83" i="60" s="1"/>
  <c r="BM83" i="60" s="1"/>
  <c r="BY83" i="60" s="1"/>
  <c r="R55" i="20"/>
  <c r="H66" i="20"/>
  <c r="P66" i="20" s="1"/>
  <c r="P65" i="20"/>
  <c r="AV83" i="60"/>
  <c r="BH83" i="60" s="1"/>
  <c r="BT83" i="60" s="1"/>
  <c r="CF83" i="60" s="1"/>
  <c r="K93" i="65"/>
  <c r="AR92" i="60"/>
  <c r="BD92" i="60" s="1"/>
  <c r="BP92" i="60" s="1"/>
  <c r="CB92" i="60" s="1"/>
  <c r="P58" i="20"/>
  <c r="J69" i="60"/>
  <c r="V69" i="60" s="1"/>
  <c r="P59" i="20"/>
  <c r="J70" i="60"/>
  <c r="V70" i="60" s="1"/>
  <c r="AH70" i="60" s="1"/>
  <c r="L68" i="65"/>
  <c r="AS67" i="60"/>
  <c r="BE67" i="60" s="1"/>
  <c r="BQ67" i="60" s="1"/>
  <c r="CC67" i="60" s="1"/>
  <c r="O93" i="65"/>
  <c r="L84" i="65"/>
  <c r="AS83" i="60"/>
  <c r="BE83" i="60" s="1"/>
  <c r="BQ83" i="60" s="1"/>
  <c r="CC83" i="60" s="1"/>
  <c r="M93" i="65"/>
  <c r="AT92" i="60"/>
  <c r="BF92" i="60" s="1"/>
  <c r="BR92" i="60" s="1"/>
  <c r="CD92" i="60" s="1"/>
  <c r="AV92" i="60"/>
  <c r="BH92" i="60" s="1"/>
  <c r="BT92" i="60" s="1"/>
  <c r="CF92" i="60" s="1"/>
  <c r="D68" i="65"/>
  <c r="AK67" i="60"/>
  <c r="AW67" i="60" s="1"/>
  <c r="BI67" i="60" s="1"/>
  <c r="BU67" i="60" s="1"/>
  <c r="CG67" i="60" s="1"/>
  <c r="AL83" i="60"/>
  <c r="AX83" i="60" s="1"/>
  <c r="BJ83" i="60" s="1"/>
  <c r="BV83" i="60" s="1"/>
  <c r="CH83" i="60" s="1"/>
  <c r="E84" i="65"/>
  <c r="F84" i="65"/>
  <c r="I93" i="65"/>
  <c r="O68" i="65"/>
  <c r="D68" i="60"/>
  <c r="C60" i="20"/>
  <c r="P57" i="20"/>
  <c r="V45" i="65"/>
  <c r="W45" i="65" s="1"/>
  <c r="W36" i="65"/>
  <c r="W27" i="65"/>
  <c r="BQ21" i="80"/>
  <c r="BQ60" i="80" s="1"/>
  <c r="K36" i="80"/>
  <c r="J108" i="80"/>
  <c r="J112" i="80" s="1"/>
  <c r="J114" i="80" s="1"/>
  <c r="D51" i="80"/>
  <c r="D53" i="80" s="1"/>
  <c r="Q16" i="80"/>
  <c r="Q59" i="80" s="1"/>
  <c r="CC21" i="80"/>
  <c r="CC60" i="80" s="1"/>
  <c r="BF21" i="80"/>
  <c r="BF60" i="80" s="1"/>
  <c r="BX16" i="80"/>
  <c r="BX59" i="80" s="1"/>
  <c r="AH21" i="80"/>
  <c r="AH60" i="80" s="1"/>
  <c r="BA16" i="80"/>
  <c r="BA59" i="80" s="1"/>
  <c r="CD21" i="80"/>
  <c r="CD60" i="80" s="1"/>
  <c r="AC16" i="80"/>
  <c r="AC59" i="80" s="1"/>
  <c r="B151" i="80"/>
  <c r="I21" i="80"/>
  <c r="I60" i="80" s="1"/>
  <c r="AO16" i="80"/>
  <c r="AO59" i="80" s="1"/>
  <c r="CB21" i="80"/>
  <c r="CB60" i="80" s="1"/>
  <c r="BR21" i="80"/>
  <c r="BR60" i="80" s="1"/>
  <c r="AT21" i="80"/>
  <c r="AT60" i="80" s="1"/>
  <c r="AS21" i="80"/>
  <c r="AS60" i="80" s="1"/>
  <c r="AN16" i="80"/>
  <c r="AN59" i="80" s="1"/>
  <c r="BO21" i="80"/>
  <c r="BO60" i="80" s="1"/>
  <c r="U21" i="80"/>
  <c r="U60" i="80" s="1"/>
  <c r="AR21" i="80"/>
  <c r="AR60" i="80" s="1"/>
  <c r="BP21" i="80"/>
  <c r="BP60" i="80" s="1"/>
  <c r="CA21" i="80"/>
  <c r="CA60" i="80" s="1"/>
  <c r="S21" i="80"/>
  <c r="S60" i="80" s="1"/>
  <c r="R21" i="80"/>
  <c r="R60" i="80" s="1"/>
  <c r="AD21" i="80"/>
  <c r="AD60" i="80" s="1"/>
  <c r="J68" i="80"/>
  <c r="L18" i="80"/>
  <c r="K21" i="80"/>
  <c r="K60" i="80" s="1"/>
  <c r="N19" i="80"/>
  <c r="F47" i="80"/>
  <c r="E51" i="80"/>
  <c r="E53" i="80" s="1"/>
  <c r="F43" i="80"/>
  <c r="G43" i="80" s="1"/>
  <c r="I66" i="80"/>
  <c r="I58" i="80"/>
  <c r="J24" i="80"/>
  <c r="N38" i="80"/>
  <c r="F103" i="80"/>
  <c r="G103" i="80" s="1"/>
  <c r="H103" i="80" s="1"/>
  <c r="G98" i="80"/>
  <c r="H98" i="80" s="1"/>
  <c r="I103" i="80"/>
  <c r="J103" i="80" s="1"/>
  <c r="K103" i="80" s="1"/>
  <c r="J98" i="80"/>
  <c r="K98" i="80" s="1"/>
  <c r="U35" i="80"/>
  <c r="AF35" i="80"/>
  <c r="AQ35" i="80"/>
  <c r="BB35" i="80"/>
  <c r="K108" i="80"/>
  <c r="M108" i="80"/>
  <c r="BV35" i="80"/>
  <c r="Q44" i="60"/>
  <c r="P44" i="60"/>
  <c r="O44" i="60"/>
  <c r="N44" i="60"/>
  <c r="M44" i="60"/>
  <c r="K44" i="60"/>
  <c r="J44" i="60"/>
  <c r="I44" i="60"/>
  <c r="D44" i="60"/>
  <c r="R73" i="113"/>
  <c r="Q74" i="113"/>
  <c r="Q46" i="113"/>
  <c r="P57" i="113"/>
  <c r="Q47" i="113"/>
  <c r="Q19" i="113"/>
  <c r="Q20" i="113"/>
  <c r="M459" i="82"/>
  <c r="K459" i="82"/>
  <c r="O459" i="82"/>
  <c r="N459" i="82"/>
  <c r="L459" i="82"/>
  <c r="V38" i="64" l="1"/>
  <c r="E136" i="44"/>
  <c r="G136" i="44" s="1"/>
  <c r="P61" i="44"/>
  <c r="H12" i="44"/>
  <c r="J12" i="44" s="1"/>
  <c r="O61" i="44" s="1"/>
  <c r="H13" i="44"/>
  <c r="P62" i="44"/>
  <c r="H14" i="44"/>
  <c r="P63" i="44"/>
  <c r="C48" i="60"/>
  <c r="C56" i="60" s="1"/>
  <c r="C21" i="60"/>
  <c r="C30" i="60" s="1"/>
  <c r="C39" i="60" s="1"/>
  <c r="C50" i="65"/>
  <c r="AG32" i="44"/>
  <c r="C13" i="65"/>
  <c r="E118" i="44" s="1"/>
  <c r="AG14" i="44"/>
  <c r="K75" i="65"/>
  <c r="H66" i="115"/>
  <c r="AO65" i="60"/>
  <c r="BA65" i="60" s="1"/>
  <c r="BM65" i="60" s="1"/>
  <c r="BY65" i="60" s="1"/>
  <c r="E58" i="65"/>
  <c r="AL57" i="60"/>
  <c r="AX57" i="60" s="1"/>
  <c r="E93" i="60"/>
  <c r="E95" i="60" s="1"/>
  <c r="D37" i="78" s="1"/>
  <c r="P82" i="56"/>
  <c r="P84" i="56" s="1"/>
  <c r="C50" i="56"/>
  <c r="J95" i="60"/>
  <c r="I37" i="78" s="1"/>
  <c r="M67" i="115"/>
  <c r="AT66" i="60"/>
  <c r="BF66" i="60" s="1"/>
  <c r="BR66" i="60" s="1"/>
  <c r="CD66" i="60" s="1"/>
  <c r="P48" i="56"/>
  <c r="F21" i="76" s="1"/>
  <c r="F21" i="91" s="1"/>
  <c r="M66" i="65"/>
  <c r="E67" i="65"/>
  <c r="AL66" i="60"/>
  <c r="AX66" i="60" s="1"/>
  <c r="BJ66" i="60" s="1"/>
  <c r="BV66" i="60" s="1"/>
  <c r="CH66" i="60" s="1"/>
  <c r="M66" i="115"/>
  <c r="S23" i="76"/>
  <c r="D25" i="108"/>
  <c r="I25" i="108" s="1"/>
  <c r="H77" i="65"/>
  <c r="AN76" i="60"/>
  <c r="AZ76" i="60" s="1"/>
  <c r="BL76" i="60" s="1"/>
  <c r="BX76" i="60" s="1"/>
  <c r="L69" i="115"/>
  <c r="I86" i="115"/>
  <c r="AP85" i="60"/>
  <c r="BB85" i="60" s="1"/>
  <c r="AQ85" i="60"/>
  <c r="BC85" i="60" s="1"/>
  <c r="BO85" i="60" s="1"/>
  <c r="CA85" i="60" s="1"/>
  <c r="AM93" i="60"/>
  <c r="AM95" i="60" s="1"/>
  <c r="J86" i="65"/>
  <c r="AA95" i="60"/>
  <c r="AB37" i="78" s="1"/>
  <c r="F94" i="65"/>
  <c r="F96" i="65" s="1"/>
  <c r="AM85" i="60"/>
  <c r="AY85" i="60" s="1"/>
  <c r="BK85" i="60" s="1"/>
  <c r="BW85" i="60" s="1"/>
  <c r="CI85" i="60" s="1"/>
  <c r="F86" i="65"/>
  <c r="O86" i="60"/>
  <c r="J86" i="60"/>
  <c r="O95" i="60"/>
  <c r="N37" i="78" s="1"/>
  <c r="K71" i="65"/>
  <c r="AH26" i="64"/>
  <c r="L69" i="65"/>
  <c r="E70" i="65"/>
  <c r="Z71" i="60"/>
  <c r="AR70" i="60"/>
  <c r="BD70" i="60" s="1"/>
  <c r="Q73" i="20"/>
  <c r="Q73" i="56" s="1"/>
  <c r="S142" i="117" s="1"/>
  <c r="T142" i="117" s="1"/>
  <c r="I67" i="65"/>
  <c r="Y34" i="44"/>
  <c r="D34" i="108"/>
  <c r="AM69" i="60"/>
  <c r="AY69" i="60" s="1"/>
  <c r="BK69" i="60" s="1"/>
  <c r="BW69" i="60" s="1"/>
  <c r="CI69" i="60" s="1"/>
  <c r="F70" i="65"/>
  <c r="O36" i="76"/>
  <c r="M95" i="60"/>
  <c r="L37" i="78" s="1"/>
  <c r="AR69" i="60"/>
  <c r="BD69" i="60" s="1"/>
  <c r="BP69" i="60" s="1"/>
  <c r="CB69" i="60" s="1"/>
  <c r="K70" i="65"/>
  <c r="G77" i="65"/>
  <c r="E71" i="65"/>
  <c r="I71" i="60"/>
  <c r="AF33" i="64"/>
  <c r="G28" i="44"/>
  <c r="H28" i="44"/>
  <c r="B24" i="83"/>
  <c r="C23" i="83"/>
  <c r="AP9" i="72" s="1"/>
  <c r="D9" i="20"/>
  <c r="G6" i="117" s="1"/>
  <c r="D101" i="113"/>
  <c r="D8" i="64"/>
  <c r="N67" i="115"/>
  <c r="N67" i="65"/>
  <c r="F66" i="65"/>
  <c r="H77" i="60"/>
  <c r="E10" i="113"/>
  <c r="D9" i="56"/>
  <c r="E8" i="60"/>
  <c r="E8" i="64" s="1"/>
  <c r="AR20" i="64"/>
  <c r="Y35" i="44"/>
  <c r="O19" i="76"/>
  <c r="AG5" i="44"/>
  <c r="Q16" i="20"/>
  <c r="Q16" i="55" s="1"/>
  <c r="C16" i="65"/>
  <c r="E15" i="61"/>
  <c r="F15" i="61" s="1"/>
  <c r="C85" i="60"/>
  <c r="C86" i="65" s="1"/>
  <c r="Y25" i="44"/>
  <c r="Q74" i="20"/>
  <c r="Q74" i="56" s="1"/>
  <c r="S143" i="117" s="1"/>
  <c r="T143" i="117" s="1"/>
  <c r="E52" i="61"/>
  <c r="Z24" i="44"/>
  <c r="AA24" i="44" s="1"/>
  <c r="D35" i="108"/>
  <c r="V33" i="64"/>
  <c r="AI14" i="64"/>
  <c r="W33" i="64"/>
  <c r="AI32" i="64"/>
  <c r="W15" i="64"/>
  <c r="AH30" i="64"/>
  <c r="AT30" i="64" s="1"/>
  <c r="BF30" i="64" s="1"/>
  <c r="BR30" i="64" s="1"/>
  <c r="W14" i="64"/>
  <c r="V39" i="64"/>
  <c r="AR21" i="64"/>
  <c r="AI15" i="64"/>
  <c r="AA38" i="64"/>
  <c r="AM36" i="64"/>
  <c r="AY36" i="64" s="1"/>
  <c r="BK36" i="64" s="1"/>
  <c r="BW36" i="64" s="1"/>
  <c r="CI36" i="64" s="1"/>
  <c r="AR31" i="64"/>
  <c r="AR33" i="64" s="1"/>
  <c r="W32" i="64"/>
  <c r="Z21" i="64"/>
  <c r="V20" i="64"/>
  <c r="V21" i="64"/>
  <c r="AJ12" i="64"/>
  <c r="AV12" i="64" s="1"/>
  <c r="BH12" i="64" s="1"/>
  <c r="BT12" i="64" s="1"/>
  <c r="CF12" i="64" s="1"/>
  <c r="AL42" i="64"/>
  <c r="AX42" i="64" s="1"/>
  <c r="Z44" i="64"/>
  <c r="V45" i="64"/>
  <c r="X14" i="64"/>
  <c r="AI33" i="64"/>
  <c r="AL18" i="64"/>
  <c r="AX18" i="64" s="1"/>
  <c r="BJ18" i="64" s="1"/>
  <c r="BV18" i="64" s="1"/>
  <c r="CH18" i="64" s="1"/>
  <c r="Y52" i="64"/>
  <c r="AI21" i="64"/>
  <c r="BD21" i="64"/>
  <c r="AK49" i="64"/>
  <c r="AK52" i="64" s="1"/>
  <c r="AP20" i="64"/>
  <c r="AU18" i="64"/>
  <c r="AU21" i="64" s="1"/>
  <c r="AD26" i="64"/>
  <c r="AP26" i="64"/>
  <c r="AI38" i="64"/>
  <c r="AH38" i="64"/>
  <c r="AT27" i="64"/>
  <c r="AM43" i="64"/>
  <c r="AY43" i="64" s="1"/>
  <c r="BK43" i="64" s="1"/>
  <c r="BW43" i="64" s="1"/>
  <c r="CI43" i="64" s="1"/>
  <c r="AI39" i="64"/>
  <c r="AH52" i="64"/>
  <c r="AT26" i="64"/>
  <c r="AH51" i="64"/>
  <c r="BR25" i="64"/>
  <c r="CD25" i="64" s="1"/>
  <c r="CD26" i="64" s="1"/>
  <c r="Z51" i="64"/>
  <c r="U27" i="64"/>
  <c r="AT52" i="64"/>
  <c r="AH27" i="64"/>
  <c r="Z52" i="64"/>
  <c r="AE15" i="64"/>
  <c r="AG24" i="64"/>
  <c r="AG27" i="64" s="1"/>
  <c r="BF27" i="64"/>
  <c r="AS56" i="60"/>
  <c r="BE56" i="60" s="1"/>
  <c r="BQ56" i="60" s="1"/>
  <c r="CC56" i="60" s="1"/>
  <c r="Q42" i="20"/>
  <c r="Q42" i="56" s="1"/>
  <c r="D71" i="65"/>
  <c r="N86" i="65"/>
  <c r="AD27" i="64"/>
  <c r="D31" i="108"/>
  <c r="I31" i="108" s="1"/>
  <c r="AS52" i="64"/>
  <c r="Q30" i="60"/>
  <c r="Q13" i="78" s="1"/>
  <c r="C49" i="60"/>
  <c r="C57" i="60" s="1"/>
  <c r="BZ18" i="64"/>
  <c r="BZ20" i="64" s="1"/>
  <c r="AT38" i="64"/>
  <c r="L57" i="65"/>
  <c r="U52" i="64"/>
  <c r="AG51" i="64"/>
  <c r="O26" i="76"/>
  <c r="AP66" i="60"/>
  <c r="BB66" i="60" s="1"/>
  <c r="BN66" i="60" s="1"/>
  <c r="BZ66" i="60" s="1"/>
  <c r="J66" i="65"/>
  <c r="F66" i="115"/>
  <c r="T28" i="44"/>
  <c r="C76" i="65" s="1"/>
  <c r="Y31" i="44"/>
  <c r="AA13" i="78"/>
  <c r="Q69" i="20"/>
  <c r="Q69" i="56" s="1"/>
  <c r="S141" i="117" s="1"/>
  <c r="T141" i="117" s="1"/>
  <c r="D86" i="115"/>
  <c r="AV70" i="60"/>
  <c r="BH70" i="60" s="1"/>
  <c r="BT70" i="60" s="1"/>
  <c r="CF70" i="60" s="1"/>
  <c r="AQ12" i="64"/>
  <c r="BC12" i="64" s="1"/>
  <c r="AG30" i="64"/>
  <c r="AG33" i="64" s="1"/>
  <c r="AT39" i="64"/>
  <c r="W86" i="60"/>
  <c r="O21" i="76"/>
  <c r="AK70" i="60"/>
  <c r="AW70" i="60" s="1"/>
  <c r="BB20" i="64"/>
  <c r="AG52" i="64"/>
  <c r="J77" i="60"/>
  <c r="AG6" i="44"/>
  <c r="D15" i="108"/>
  <c r="E86" i="65"/>
  <c r="H77" i="115"/>
  <c r="AU31" i="64"/>
  <c r="BG31" i="64" s="1"/>
  <c r="BB24" i="64"/>
  <c r="BB27" i="64" s="1"/>
  <c r="D14" i="108"/>
  <c r="U51" i="64"/>
  <c r="V44" i="64"/>
  <c r="K86" i="60"/>
  <c r="E86" i="115"/>
  <c r="AC39" i="64"/>
  <c r="AV85" i="60"/>
  <c r="BH85" i="60" s="1"/>
  <c r="BT85" i="60" s="1"/>
  <c r="CF85" i="60" s="1"/>
  <c r="N71" i="60"/>
  <c r="AC38" i="64"/>
  <c r="AH39" i="64"/>
  <c r="E15" i="81"/>
  <c r="AK30" i="60"/>
  <c r="AW30" i="60" s="1"/>
  <c r="BI30" i="60" s="1"/>
  <c r="BU30" i="60" s="1"/>
  <c r="CG30" i="60" s="1"/>
  <c r="D31" i="65"/>
  <c r="D15" i="81"/>
  <c r="N13" i="78"/>
  <c r="N15" i="78" s="1"/>
  <c r="H13" i="78"/>
  <c r="H15" i="78" s="1"/>
  <c r="E31" i="65"/>
  <c r="O17" i="20"/>
  <c r="H68" i="82"/>
  <c r="G70" i="82" s="1"/>
  <c r="B78" i="82"/>
  <c r="J77" i="82"/>
  <c r="L49" i="82"/>
  <c r="E57" i="115"/>
  <c r="L71" i="60"/>
  <c r="K75" i="115"/>
  <c r="AS57" i="60"/>
  <c r="O86" i="65"/>
  <c r="F57" i="115"/>
  <c r="K13" i="78"/>
  <c r="K15" i="78" s="1"/>
  <c r="D66" i="115"/>
  <c r="F57" i="65"/>
  <c r="O57" i="65"/>
  <c r="C12" i="78"/>
  <c r="O12" i="78" s="1"/>
  <c r="O57" i="115"/>
  <c r="I71" i="65"/>
  <c r="G70" i="65"/>
  <c r="AK85" i="60"/>
  <c r="AW85" i="60" s="1"/>
  <c r="BI85" i="60" s="1"/>
  <c r="BU85" i="60" s="1"/>
  <c r="CG85" i="60" s="1"/>
  <c r="V84" i="60"/>
  <c r="V86" i="60" s="1"/>
  <c r="AT68" i="60"/>
  <c r="BF68" i="60" s="1"/>
  <c r="X86" i="60"/>
  <c r="AQ56" i="60"/>
  <c r="BC56" i="60" s="1"/>
  <c r="BO56" i="60" s="1"/>
  <c r="CA56" i="60" s="1"/>
  <c r="AN83" i="60"/>
  <c r="AZ83" i="60" s="1"/>
  <c r="BL83" i="60" s="1"/>
  <c r="BX83" i="60" s="1"/>
  <c r="AP65" i="60"/>
  <c r="BB65" i="60" s="1"/>
  <c r="BN65" i="60" s="1"/>
  <c r="BZ65" i="60" s="1"/>
  <c r="I66" i="115"/>
  <c r="J57" i="115"/>
  <c r="M69" i="65"/>
  <c r="L67" i="65"/>
  <c r="O71" i="115"/>
  <c r="V95" i="60"/>
  <c r="V37" i="78" s="1"/>
  <c r="M86" i="60"/>
  <c r="AK65" i="60"/>
  <c r="AW65" i="60" s="1"/>
  <c r="BI65" i="60" s="1"/>
  <c r="BU65" i="60" s="1"/>
  <c r="CG65" i="60" s="1"/>
  <c r="AJ84" i="60"/>
  <c r="AV84" i="60" s="1"/>
  <c r="J67" i="115"/>
  <c r="J67" i="65"/>
  <c r="T13" i="78"/>
  <c r="G13" i="78"/>
  <c r="G15" i="78" s="1"/>
  <c r="N86" i="115"/>
  <c r="I13" i="78"/>
  <c r="I15" i="78" s="1"/>
  <c r="O70" i="65"/>
  <c r="V13" i="78"/>
  <c r="D9" i="55"/>
  <c r="F6" i="117"/>
  <c r="A6" i="20"/>
  <c r="J5" i="64" s="1"/>
  <c r="A4" i="82" s="1"/>
  <c r="A6" i="113"/>
  <c r="BN20" i="64"/>
  <c r="F71" i="60"/>
  <c r="AB49" i="64"/>
  <c r="H67" i="65"/>
  <c r="E20" i="61"/>
  <c r="E27" i="61" s="1"/>
  <c r="AA84" i="60"/>
  <c r="F85" i="65" s="1"/>
  <c r="AL69" i="60"/>
  <c r="AX69" i="60" s="1"/>
  <c r="BJ69" i="60" s="1"/>
  <c r="BV69" i="60" s="1"/>
  <c r="CH69" i="60" s="1"/>
  <c r="AP70" i="60"/>
  <c r="BB70" i="60" s="1"/>
  <c r="BN70" i="60" s="1"/>
  <c r="BZ70" i="60" s="1"/>
  <c r="H67" i="115"/>
  <c r="AL56" i="60"/>
  <c r="AX56" i="60" s="1"/>
  <c r="BJ56" i="60" s="1"/>
  <c r="BV56" i="60" s="1"/>
  <c r="CH56" i="60" s="1"/>
  <c r="N69" i="65"/>
  <c r="W52" i="64"/>
  <c r="Q20" i="20"/>
  <c r="R21" i="64"/>
  <c r="P15" i="64"/>
  <c r="AL65" i="60"/>
  <c r="AX65" i="60" s="1"/>
  <c r="BJ65" i="60" s="1"/>
  <c r="BV65" i="60" s="1"/>
  <c r="CH65" i="60" s="1"/>
  <c r="E66" i="115"/>
  <c r="P14" i="64"/>
  <c r="P45" i="64"/>
  <c r="AB42" i="64"/>
  <c r="R45" i="64"/>
  <c r="AR65" i="60"/>
  <c r="BD65" i="60" s="1"/>
  <c r="BP65" i="60" s="1"/>
  <c r="CB65" i="60" s="1"/>
  <c r="D57" i="115"/>
  <c r="W76" i="60"/>
  <c r="R44" i="64"/>
  <c r="E70" i="115"/>
  <c r="E72" i="115" s="1"/>
  <c r="L67" i="115"/>
  <c r="M57" i="65"/>
  <c r="AK56" i="60"/>
  <c r="AW56" i="60" s="1"/>
  <c r="BI56" i="60" s="1"/>
  <c r="BU56" i="60" s="1"/>
  <c r="CG56" i="60" s="1"/>
  <c r="S38" i="64"/>
  <c r="E13" i="78"/>
  <c r="E15" i="78" s="1"/>
  <c r="AE36" i="64"/>
  <c r="AQ36" i="64" s="1"/>
  <c r="BC36" i="64" s="1"/>
  <c r="BO36" i="64" s="1"/>
  <c r="CA36" i="64" s="1"/>
  <c r="T26" i="64"/>
  <c r="F461" i="82"/>
  <c r="O16" i="76"/>
  <c r="C12" i="60"/>
  <c r="T76" i="60"/>
  <c r="T77" i="60" s="1"/>
  <c r="F13" i="78"/>
  <c r="F15" i="78" s="1"/>
  <c r="AH30" i="60"/>
  <c r="M15" i="81" s="1"/>
  <c r="M86" i="115"/>
  <c r="AM14" i="64"/>
  <c r="AD20" i="64"/>
  <c r="S20" i="64"/>
  <c r="AS85" i="60"/>
  <c r="BE85" i="60" s="1"/>
  <c r="BQ85" i="60" s="1"/>
  <c r="CC85" i="60" s="1"/>
  <c r="P52" i="64"/>
  <c r="AA45" i="64"/>
  <c r="AM33" i="64"/>
  <c r="AY30" i="64"/>
  <c r="AM32" i="64"/>
  <c r="Z13" i="78"/>
  <c r="D31" i="115"/>
  <c r="F67" i="65"/>
  <c r="AM66" i="60"/>
  <c r="AY66" i="60" s="1"/>
  <c r="BK66" i="60" s="1"/>
  <c r="BW66" i="60" s="1"/>
  <c r="CI66" i="60" s="1"/>
  <c r="M57" i="115"/>
  <c r="AT51" i="64"/>
  <c r="K66" i="65"/>
  <c r="D12" i="108"/>
  <c r="V25" i="65" s="1"/>
  <c r="Q41" i="20"/>
  <c r="Q41" i="56" s="1"/>
  <c r="AV69" i="60"/>
  <c r="BH69" i="60" s="1"/>
  <c r="BT69" i="60" s="1"/>
  <c r="CF69" i="60" s="1"/>
  <c r="AO69" i="60"/>
  <c r="BA69" i="60" s="1"/>
  <c r="BM69" i="60" s="1"/>
  <c r="BY69" i="60" s="1"/>
  <c r="AT85" i="60"/>
  <c r="BF85" i="60" s="1"/>
  <c r="BR85" i="60" s="1"/>
  <c r="CD85" i="60" s="1"/>
  <c r="R20" i="64"/>
  <c r="AE18" i="64"/>
  <c r="L86" i="115"/>
  <c r="AP21" i="64"/>
  <c r="U33" i="64"/>
  <c r="AD21" i="64"/>
  <c r="C51" i="65"/>
  <c r="I70" i="65"/>
  <c r="BF50" i="64"/>
  <c r="BF51" i="64" s="1"/>
  <c r="C24" i="65"/>
  <c r="G126" i="44"/>
  <c r="E77" i="60"/>
  <c r="AU68" i="60"/>
  <c r="BG68" i="60" s="1"/>
  <c r="BS68" i="60" s="1"/>
  <c r="CE68" i="60" s="1"/>
  <c r="AM15" i="64"/>
  <c r="T27" i="64"/>
  <c r="L13" i="78"/>
  <c r="L15" i="78" s="1"/>
  <c r="C22" i="65"/>
  <c r="C31" i="65" s="1"/>
  <c r="C40" i="65" s="1"/>
  <c r="AN69" i="60"/>
  <c r="AZ69" i="60" s="1"/>
  <c r="BL69" i="60" s="1"/>
  <c r="BX69" i="60" s="1"/>
  <c r="P75" i="20"/>
  <c r="AP69" i="60"/>
  <c r="BB69" i="60" s="1"/>
  <c r="BN69" i="60" s="1"/>
  <c r="BZ69" i="60" s="1"/>
  <c r="AL70" i="60"/>
  <c r="AX70" i="60" s="1"/>
  <c r="BJ70" i="60" s="1"/>
  <c r="BV70" i="60" s="1"/>
  <c r="CH70" i="60" s="1"/>
  <c r="AQ65" i="60"/>
  <c r="BC65" i="60" s="1"/>
  <c r="BO65" i="60" s="1"/>
  <c r="CA65" i="60" s="1"/>
  <c r="H70" i="115"/>
  <c r="M13" i="78"/>
  <c r="M15" i="78" s="1"/>
  <c r="BB21" i="64"/>
  <c r="AB14" i="64"/>
  <c r="M32" i="115"/>
  <c r="AT31" i="60"/>
  <c r="BF31" i="60" s="1"/>
  <c r="Q84" i="113"/>
  <c r="R39" i="60" s="1"/>
  <c r="P84" i="65"/>
  <c r="Q84" i="65" s="1"/>
  <c r="R84" i="65" s="1"/>
  <c r="E461" i="82"/>
  <c r="O14" i="78"/>
  <c r="AD50" i="64"/>
  <c r="R51" i="64"/>
  <c r="AN13" i="64"/>
  <c r="AB15" i="64"/>
  <c r="AB49" i="60"/>
  <c r="J54" i="64"/>
  <c r="AJ30" i="64"/>
  <c r="X32" i="64"/>
  <c r="BE50" i="64"/>
  <c r="BQ50" i="64" s="1"/>
  <c r="CC50" i="64" s="1"/>
  <c r="AS51" i="64"/>
  <c r="Z93" i="60"/>
  <c r="E94" i="65" s="1"/>
  <c r="E96" i="65" s="1"/>
  <c r="X39" i="64"/>
  <c r="AJ36" i="64"/>
  <c r="X38" i="64"/>
  <c r="L86" i="60"/>
  <c r="I86" i="60"/>
  <c r="Y23" i="44"/>
  <c r="AA23" i="44" s="1"/>
  <c r="C23" i="44"/>
  <c r="N54" i="64"/>
  <c r="N98" i="60" s="1"/>
  <c r="N19" i="72" s="1"/>
  <c r="O22" i="76"/>
  <c r="L54" i="64"/>
  <c r="L58" i="64" s="1"/>
  <c r="D32" i="108"/>
  <c r="I32" i="108" s="1"/>
  <c r="C64" i="60"/>
  <c r="C65" i="65" s="1"/>
  <c r="E122" i="44" s="1"/>
  <c r="O25" i="76"/>
  <c r="K54" i="64"/>
  <c r="C77" i="65"/>
  <c r="AG7" i="44"/>
  <c r="C76" i="60"/>
  <c r="Q43" i="20"/>
  <c r="Q43" i="56" s="1"/>
  <c r="O35" i="76"/>
  <c r="Y32" i="44"/>
  <c r="Q65" i="56"/>
  <c r="R65" i="56" s="1"/>
  <c r="C50" i="60"/>
  <c r="C58" i="60" s="1"/>
  <c r="AG3" i="44"/>
  <c r="O17" i="76"/>
  <c r="E13" i="61"/>
  <c r="E21" i="61" s="1"/>
  <c r="E28" i="61" s="1"/>
  <c r="E31" i="61" s="1"/>
  <c r="F31" i="61" s="1"/>
  <c r="Q14" i="20"/>
  <c r="R14" i="20" s="1"/>
  <c r="D23" i="108"/>
  <c r="I23" i="108" s="1"/>
  <c r="K23" i="108" s="1"/>
  <c r="L23" i="108" s="1"/>
  <c r="F54" i="64"/>
  <c r="F98" i="60" s="1"/>
  <c r="F19" i="72" s="1"/>
  <c r="C14" i="65"/>
  <c r="E125" i="44" s="1"/>
  <c r="C90" i="44"/>
  <c r="AV66" i="60"/>
  <c r="BH66" i="60" s="1"/>
  <c r="BT66" i="60" s="1"/>
  <c r="CF66" i="60" s="1"/>
  <c r="O67" i="115"/>
  <c r="O67" i="65"/>
  <c r="CF18" i="64"/>
  <c r="AY49" i="60"/>
  <c r="N31" i="115"/>
  <c r="AU30" i="60"/>
  <c r="BG30" i="60" s="1"/>
  <c r="BS30" i="60" s="1"/>
  <c r="CE30" i="60" s="1"/>
  <c r="N15" i="81"/>
  <c r="N31" i="65"/>
  <c r="L49" i="115"/>
  <c r="L49" i="65"/>
  <c r="AS48" i="60"/>
  <c r="BE48" i="60" s="1"/>
  <c r="AP43" i="64"/>
  <c r="AD44" i="64"/>
  <c r="AD45" i="64"/>
  <c r="E33" i="76"/>
  <c r="E33" i="91" s="1"/>
  <c r="H33" i="91" s="1"/>
  <c r="M33" i="91" s="1"/>
  <c r="D67" i="115"/>
  <c r="AK66" i="60"/>
  <c r="AW66" i="60" s="1"/>
  <c r="BI66" i="60" s="1"/>
  <c r="BU66" i="60" s="1"/>
  <c r="CG66" i="60" s="1"/>
  <c r="Z76" i="60"/>
  <c r="E77" i="115" s="1"/>
  <c r="N77" i="60"/>
  <c r="AA70" i="60"/>
  <c r="AA71" i="60" s="1"/>
  <c r="O71" i="60"/>
  <c r="AA57" i="60"/>
  <c r="X31" i="60"/>
  <c r="Q59" i="20"/>
  <c r="Q59" i="56" s="1"/>
  <c r="S148" i="117" s="1"/>
  <c r="T148" i="117" s="1"/>
  <c r="Y29" i="44"/>
  <c r="O33" i="76"/>
  <c r="D29" i="108"/>
  <c r="C70" i="60"/>
  <c r="C71" i="65" s="1"/>
  <c r="E141" i="44" s="1"/>
  <c r="BN49" i="60"/>
  <c r="AH21" i="64"/>
  <c r="AH20" i="64"/>
  <c r="AT18" i="64"/>
  <c r="BT37" i="64"/>
  <c r="CF37" i="64" s="1"/>
  <c r="N50" i="115"/>
  <c r="AU49" i="60"/>
  <c r="N50" i="65"/>
  <c r="M94" i="65"/>
  <c r="M96" i="65" s="1"/>
  <c r="M94" i="115"/>
  <c r="M96" i="115" s="1"/>
  <c r="AT93" i="60"/>
  <c r="AT95" i="60" s="1"/>
  <c r="R65" i="20"/>
  <c r="D11" i="108"/>
  <c r="E12" i="61"/>
  <c r="C89" i="44"/>
  <c r="O15" i="76"/>
  <c r="Q13" i="20"/>
  <c r="R13" i="20" s="1"/>
  <c r="AF26" i="64"/>
  <c r="AF27" i="64"/>
  <c r="AR24" i="64"/>
  <c r="J50" i="115"/>
  <c r="J50" i="65"/>
  <c r="AQ49" i="60"/>
  <c r="AP76" i="60"/>
  <c r="BB76" i="60" s="1"/>
  <c r="BN76" i="60" s="1"/>
  <c r="BZ76" i="60" s="1"/>
  <c r="I77" i="115"/>
  <c r="O11" i="78"/>
  <c r="BE49" i="60"/>
  <c r="E21" i="76"/>
  <c r="E21" i="91" s="1"/>
  <c r="AU65" i="60"/>
  <c r="BG65" i="60" s="1"/>
  <c r="BS65" i="60" s="1"/>
  <c r="CE65" i="60" s="1"/>
  <c r="N66" i="115"/>
  <c r="AT67" i="60"/>
  <c r="BF67" i="60" s="1"/>
  <c r="BR67" i="60" s="1"/>
  <c r="CD67" i="60" s="1"/>
  <c r="M68" i="65"/>
  <c r="P68" i="65" s="1"/>
  <c r="AF49" i="64"/>
  <c r="T51" i="64"/>
  <c r="T52" i="64"/>
  <c r="AK42" i="64"/>
  <c r="AW42" i="64" s="1"/>
  <c r="BI42" i="64" s="1"/>
  <c r="BU42" i="64" s="1"/>
  <c r="CG42" i="64" s="1"/>
  <c r="Y44" i="64"/>
  <c r="AC42" i="64"/>
  <c r="Q45" i="64"/>
  <c r="Q44" i="64"/>
  <c r="AS36" i="64"/>
  <c r="BE36" i="64" s="1"/>
  <c r="AG38" i="64"/>
  <c r="AC30" i="64"/>
  <c r="AO30" i="64" s="1"/>
  <c r="BA30" i="64" s="1"/>
  <c r="BM30" i="64" s="1"/>
  <c r="BY30" i="64" s="1"/>
  <c r="Q32" i="64"/>
  <c r="U20" i="64"/>
  <c r="U21" i="64"/>
  <c r="AG18" i="64"/>
  <c r="AH12" i="64"/>
  <c r="V14" i="64"/>
  <c r="V15" i="64"/>
  <c r="R15" i="64"/>
  <c r="R14" i="64"/>
  <c r="AD12" i="64"/>
  <c r="BF49" i="60"/>
  <c r="J53" i="61"/>
  <c r="E86" i="60"/>
  <c r="M32" i="65"/>
  <c r="O24" i="20"/>
  <c r="D16" i="91"/>
  <c r="AK30" i="64"/>
  <c r="Y32" i="64"/>
  <c r="Y33" i="64"/>
  <c r="AM50" i="64"/>
  <c r="AA52" i="64"/>
  <c r="AA51" i="64"/>
  <c r="AJ43" i="64"/>
  <c r="X45" i="64"/>
  <c r="X44" i="64"/>
  <c r="AK24" i="64"/>
  <c r="Y27" i="64"/>
  <c r="Y26" i="64"/>
  <c r="AK18" i="64"/>
  <c r="Y21" i="64"/>
  <c r="Y20" i="64"/>
  <c r="E38" i="76"/>
  <c r="E38" i="91" s="1"/>
  <c r="P84" i="20"/>
  <c r="AB38" i="64"/>
  <c r="AN36" i="64"/>
  <c r="AB39" i="64"/>
  <c r="X49" i="60"/>
  <c r="AX49" i="60"/>
  <c r="AK48" i="60"/>
  <c r="AW48" i="60" s="1"/>
  <c r="BI48" i="60" s="1"/>
  <c r="BU48" i="60" s="1"/>
  <c r="CG48" i="60" s="1"/>
  <c r="D49" i="115"/>
  <c r="D49" i="65"/>
  <c r="W56" i="60"/>
  <c r="J13" i="78"/>
  <c r="J15" i="78" s="1"/>
  <c r="AJ49" i="64"/>
  <c r="X51" i="64"/>
  <c r="X52" i="64"/>
  <c r="AK36" i="64"/>
  <c r="Y39" i="64"/>
  <c r="Y38" i="64"/>
  <c r="Q26" i="64"/>
  <c r="AC24" i="64"/>
  <c r="Q27" i="64"/>
  <c r="AK13" i="64"/>
  <c r="Y14" i="64"/>
  <c r="Y15" i="64"/>
  <c r="Z15" i="64"/>
  <c r="AL12" i="64"/>
  <c r="Z14" i="64"/>
  <c r="P93" i="60"/>
  <c r="D95" i="60"/>
  <c r="C37" i="78" s="1"/>
  <c r="AO49" i="60"/>
  <c r="H50" i="65"/>
  <c r="H50" i="115"/>
  <c r="AU24" i="64"/>
  <c r="AI26" i="64"/>
  <c r="AI27" i="64"/>
  <c r="AT42" i="64"/>
  <c r="AH45" i="64"/>
  <c r="AH44" i="64"/>
  <c r="AW49" i="60"/>
  <c r="Q22" i="20"/>
  <c r="Q15" i="55"/>
  <c r="AB25" i="64"/>
  <c r="P27" i="64"/>
  <c r="D15" i="78"/>
  <c r="I54" i="64"/>
  <c r="I58" i="64" s="1"/>
  <c r="Y57" i="60"/>
  <c r="E31" i="115"/>
  <c r="AL30" i="60"/>
  <c r="AX30" i="60" s="1"/>
  <c r="BJ30" i="60" s="1"/>
  <c r="BV30" i="60" s="1"/>
  <c r="CH30" i="60" s="1"/>
  <c r="W31" i="60"/>
  <c r="AX31" i="64"/>
  <c r="BJ31" i="64" s="1"/>
  <c r="BV31" i="64" s="1"/>
  <c r="CH31" i="64" s="1"/>
  <c r="AL32" i="64"/>
  <c r="G49" i="115"/>
  <c r="AN48" i="60"/>
  <c r="AZ48" i="60" s="1"/>
  <c r="BL48" i="60" s="1"/>
  <c r="G49" i="65"/>
  <c r="D20" i="76"/>
  <c r="D20" i="91" s="1"/>
  <c r="O44" i="20"/>
  <c r="AV24" i="64"/>
  <c r="AJ27" i="64"/>
  <c r="AJ26" i="64"/>
  <c r="E29" i="76"/>
  <c r="M54" i="64"/>
  <c r="AV48" i="60"/>
  <c r="BH48" i="60" s="1"/>
  <c r="BT48" i="60" s="1"/>
  <c r="CF48" i="60" s="1"/>
  <c r="O49" i="115"/>
  <c r="O49" i="65"/>
  <c r="W51" i="64"/>
  <c r="BH19" i="64"/>
  <c r="AV21" i="64"/>
  <c r="P12" i="78"/>
  <c r="L58" i="65"/>
  <c r="E17" i="76"/>
  <c r="E17" i="91" s="1"/>
  <c r="L32" i="115"/>
  <c r="L32" i="65"/>
  <c r="AS31" i="60"/>
  <c r="BE31" i="60" s="1"/>
  <c r="BQ31" i="60" s="1"/>
  <c r="CC31" i="60" s="1"/>
  <c r="G27" i="44"/>
  <c r="AG26" i="44" s="1"/>
  <c r="T27" i="44"/>
  <c r="AG44" i="64"/>
  <c r="AS42" i="64"/>
  <c r="AG45" i="64"/>
  <c r="AZ43" i="64"/>
  <c r="H54" i="64"/>
  <c r="H98" i="60" s="1"/>
  <c r="H19" i="72" s="1"/>
  <c r="O54" i="64"/>
  <c r="O58" i="64" s="1"/>
  <c r="Q78" i="56"/>
  <c r="R78" i="56" s="1"/>
  <c r="C49" i="65"/>
  <c r="E46" i="61" s="1"/>
  <c r="O20" i="76"/>
  <c r="D13" i="108"/>
  <c r="R38" i="64"/>
  <c r="R39" i="64"/>
  <c r="AD36" i="64"/>
  <c r="BZ30" i="64"/>
  <c r="BD20" i="64"/>
  <c r="BN49" i="64"/>
  <c r="AX24" i="64"/>
  <c r="AL26" i="64"/>
  <c r="AL27" i="64"/>
  <c r="AL51" i="64"/>
  <c r="AX49" i="64"/>
  <c r="AL52" i="64"/>
  <c r="CB18" i="64"/>
  <c r="BP20" i="64"/>
  <c r="BP21" i="64"/>
  <c r="AU49" i="64"/>
  <c r="AI51" i="64"/>
  <c r="AI52" i="64"/>
  <c r="AU39" i="64"/>
  <c r="BG36" i="64"/>
  <c r="AU38" i="64"/>
  <c r="AW43" i="64"/>
  <c r="AZ24" i="64"/>
  <c r="BB13" i="64"/>
  <c r="R32" i="64"/>
  <c r="AD31" i="64"/>
  <c r="R33" i="64"/>
  <c r="AU42" i="64"/>
  <c r="AI44" i="64"/>
  <c r="AI45" i="64"/>
  <c r="BC24" i="64"/>
  <c r="AQ37" i="64"/>
  <c r="BC42" i="64"/>
  <c r="CE30" i="64"/>
  <c r="U14" i="64"/>
  <c r="AG12" i="64"/>
  <c r="U15" i="64"/>
  <c r="BA25" i="64"/>
  <c r="E54" i="64"/>
  <c r="BH13" i="64"/>
  <c r="AE43" i="64"/>
  <c r="S45" i="64"/>
  <c r="S44" i="64"/>
  <c r="AQ49" i="64"/>
  <c r="AE51" i="64"/>
  <c r="AE52" i="64"/>
  <c r="S33" i="64"/>
  <c r="AE30" i="64"/>
  <c r="S32" i="64"/>
  <c r="Q15" i="64"/>
  <c r="Q14" i="64"/>
  <c r="AC13" i="64"/>
  <c r="BQ43" i="64"/>
  <c r="AA26" i="64"/>
  <c r="AM24" i="64"/>
  <c r="AA27" i="64"/>
  <c r="AF15" i="64"/>
  <c r="AF14" i="64"/>
  <c r="AR13" i="64"/>
  <c r="AO38" i="64"/>
  <c r="AO39" i="64"/>
  <c r="BA36" i="64"/>
  <c r="BG12" i="64"/>
  <c r="AU15" i="64"/>
  <c r="AU14" i="64"/>
  <c r="AE25" i="64"/>
  <c r="S26" i="64"/>
  <c r="AF42" i="64"/>
  <c r="T44" i="64"/>
  <c r="T45" i="64"/>
  <c r="G54" i="64"/>
  <c r="BR36" i="64"/>
  <c r="BF39" i="64"/>
  <c r="BF38" i="64"/>
  <c r="BU19" i="64"/>
  <c r="Q52" i="64"/>
  <c r="AC50" i="64"/>
  <c r="AO19" i="64"/>
  <c r="AC21" i="64"/>
  <c r="AC20" i="64"/>
  <c r="AO31" i="64"/>
  <c r="P21" i="64"/>
  <c r="P20" i="64"/>
  <c r="AB18" i="64"/>
  <c r="AM19" i="64"/>
  <c r="AA21" i="64"/>
  <c r="AA20" i="64"/>
  <c r="AR36" i="64"/>
  <c r="AF38" i="64"/>
  <c r="AF39" i="64"/>
  <c r="AX38" i="64"/>
  <c r="AX39" i="64"/>
  <c r="BJ37" i="64"/>
  <c r="BK49" i="64"/>
  <c r="CI18" i="64"/>
  <c r="Q51" i="64"/>
  <c r="BK42" i="64"/>
  <c r="CF42" i="64"/>
  <c r="BQ49" i="64"/>
  <c r="BK13" i="64"/>
  <c r="AY14" i="64"/>
  <c r="AY15" i="64"/>
  <c r="AX19" i="64"/>
  <c r="BJ30" i="64"/>
  <c r="BK37" i="64"/>
  <c r="F31" i="115"/>
  <c r="AM30" i="60"/>
  <c r="AY30" i="60" s="1"/>
  <c r="BK30" i="60" s="1"/>
  <c r="BW30" i="60" s="1"/>
  <c r="CI30" i="60" s="1"/>
  <c r="F31" i="65"/>
  <c r="F15" i="81"/>
  <c r="AG30" i="60"/>
  <c r="U13" i="78"/>
  <c r="AA76" i="60"/>
  <c r="O77" i="60"/>
  <c r="AY31" i="60"/>
  <c r="BJ74" i="60"/>
  <c r="Y76" i="60"/>
  <c r="M77" i="60"/>
  <c r="G71" i="60"/>
  <c r="AB13" i="78"/>
  <c r="X57" i="60"/>
  <c r="L66" i="65"/>
  <c r="L66" i="115"/>
  <c r="AS65" i="60"/>
  <c r="BE65" i="60" s="1"/>
  <c r="BQ65" i="60" s="1"/>
  <c r="CC65" i="60" s="1"/>
  <c r="W69" i="60"/>
  <c r="K71" i="60"/>
  <c r="U93" i="60"/>
  <c r="I95" i="60"/>
  <c r="H37" i="78" s="1"/>
  <c r="W57" i="60"/>
  <c r="S71" i="60"/>
  <c r="R80" i="56"/>
  <c r="L76" i="115"/>
  <c r="L76" i="65"/>
  <c r="AS75" i="60"/>
  <c r="BE75" i="60" s="1"/>
  <c r="BQ75" i="60" s="1"/>
  <c r="CC75" i="60" s="1"/>
  <c r="O66" i="65"/>
  <c r="O66" i="115"/>
  <c r="X13" i="78"/>
  <c r="AJ30" i="60"/>
  <c r="AG84" i="60"/>
  <c r="U86" i="60"/>
  <c r="F69" i="115"/>
  <c r="AM68" i="60"/>
  <c r="F69" i="65"/>
  <c r="L95" i="60"/>
  <c r="K37" i="78" s="1"/>
  <c r="X93" i="60"/>
  <c r="I77" i="60"/>
  <c r="T93" i="60"/>
  <c r="H95" i="60"/>
  <c r="G37" i="78" s="1"/>
  <c r="Y31" i="60"/>
  <c r="Z84" i="60"/>
  <c r="N86" i="60"/>
  <c r="Q57" i="60"/>
  <c r="L77" i="60"/>
  <c r="X74" i="60"/>
  <c r="V57" i="60"/>
  <c r="N85" i="115"/>
  <c r="N85" i="65"/>
  <c r="AI86" i="60"/>
  <c r="AU84" i="60"/>
  <c r="Y68" i="60"/>
  <c r="M71" i="60"/>
  <c r="Z31" i="60"/>
  <c r="W93" i="60"/>
  <c r="K95" i="60"/>
  <c r="J37" i="78" s="1"/>
  <c r="AY74" i="60"/>
  <c r="J77" i="115"/>
  <c r="J77" i="65"/>
  <c r="AQ76" i="60"/>
  <c r="BC76" i="60" s="1"/>
  <c r="BO76" i="60" s="1"/>
  <c r="CA76" i="60" s="1"/>
  <c r="R71" i="56"/>
  <c r="G86" i="60"/>
  <c r="S84" i="60"/>
  <c r="H32" i="115"/>
  <c r="H32" i="65"/>
  <c r="AO31" i="60"/>
  <c r="BC74" i="60"/>
  <c r="K67" i="65"/>
  <c r="AR66" i="60"/>
  <c r="BD66" i="60" s="1"/>
  <c r="BP66" i="60" s="1"/>
  <c r="CB66" i="60" s="1"/>
  <c r="K67" i="115"/>
  <c r="R93" i="60"/>
  <c r="F95" i="60"/>
  <c r="E37" i="78" s="1"/>
  <c r="J69" i="115"/>
  <c r="J69" i="65"/>
  <c r="AQ68" i="60"/>
  <c r="AE71" i="60"/>
  <c r="T68" i="60"/>
  <c r="H71" i="60"/>
  <c r="R31" i="60"/>
  <c r="J71" i="65"/>
  <c r="AQ70" i="60"/>
  <c r="BC70" i="60" s="1"/>
  <c r="BO70" i="60" s="1"/>
  <c r="CA70" i="60" s="1"/>
  <c r="J71" i="115"/>
  <c r="AC74" i="60"/>
  <c r="Q77" i="60"/>
  <c r="P66" i="56"/>
  <c r="T84" i="60"/>
  <c r="H86" i="60"/>
  <c r="T31" i="60"/>
  <c r="E71" i="60"/>
  <c r="Q70" i="60"/>
  <c r="S75" i="60"/>
  <c r="G77" i="60"/>
  <c r="F86" i="60"/>
  <c r="R84" i="60"/>
  <c r="AD30" i="60"/>
  <c r="R13" i="78"/>
  <c r="AE57" i="60"/>
  <c r="G95" i="60"/>
  <c r="F37" i="78" s="1"/>
  <c r="S93" i="60"/>
  <c r="K57" i="65"/>
  <c r="K57" i="115"/>
  <c r="AR56" i="60"/>
  <c r="R74" i="60"/>
  <c r="F77" i="60"/>
  <c r="R70" i="56"/>
  <c r="AQ31" i="60"/>
  <c r="J32" i="65"/>
  <c r="J32" i="115"/>
  <c r="T57" i="60"/>
  <c r="AP57" i="60"/>
  <c r="I58" i="65"/>
  <c r="I58" i="115"/>
  <c r="F35" i="91"/>
  <c r="F35" i="76"/>
  <c r="F26" i="76"/>
  <c r="F26" i="91" s="1"/>
  <c r="O75" i="56"/>
  <c r="AE30" i="60"/>
  <c r="S13" i="78"/>
  <c r="G57" i="115"/>
  <c r="G57" i="65"/>
  <c r="AN56" i="60"/>
  <c r="F16" i="76"/>
  <c r="F16" i="91" s="1"/>
  <c r="O31" i="56"/>
  <c r="F34" i="91"/>
  <c r="H34" i="91" s="1"/>
  <c r="M34" i="91" s="1"/>
  <c r="F34" i="76"/>
  <c r="H34" i="76" s="1"/>
  <c r="M34" i="76" s="1"/>
  <c r="R79" i="56"/>
  <c r="F22" i="76"/>
  <c r="F37" i="76"/>
  <c r="F37" i="91" s="1"/>
  <c r="P75" i="56"/>
  <c r="F31" i="76"/>
  <c r="F31" i="91" s="1"/>
  <c r="P60" i="56"/>
  <c r="G71" i="65"/>
  <c r="G71" i="115"/>
  <c r="AN70" i="60"/>
  <c r="AZ70" i="60" s="1"/>
  <c r="BL70" i="60" s="1"/>
  <c r="BX70" i="60" s="1"/>
  <c r="F32" i="76"/>
  <c r="F32" i="91" s="1"/>
  <c r="P74" i="60"/>
  <c r="D77" i="60"/>
  <c r="AN57" i="60"/>
  <c r="G58" i="115"/>
  <c r="G58" i="65"/>
  <c r="P31" i="56"/>
  <c r="G76" i="65"/>
  <c r="G76" i="115"/>
  <c r="AN75" i="60"/>
  <c r="AZ75" i="60" s="1"/>
  <c r="BL75" i="60" s="1"/>
  <c r="BX75" i="60" s="1"/>
  <c r="F25" i="76"/>
  <c r="F25" i="91" s="1"/>
  <c r="R53" i="56"/>
  <c r="O60" i="56"/>
  <c r="D66" i="60"/>
  <c r="P66" i="60" s="1"/>
  <c r="AB66" i="60" s="1"/>
  <c r="R55" i="56"/>
  <c r="P31" i="60"/>
  <c r="O50" i="56"/>
  <c r="F20" i="76"/>
  <c r="F20" i="91" s="1"/>
  <c r="D65" i="60"/>
  <c r="P65" i="60" s="1"/>
  <c r="AB65" i="60" s="1"/>
  <c r="R54" i="56"/>
  <c r="O84" i="56"/>
  <c r="F27" i="76"/>
  <c r="P30" i="60"/>
  <c r="C13" i="78"/>
  <c r="E31" i="76"/>
  <c r="P60" i="20"/>
  <c r="P84" i="115"/>
  <c r="Q84" i="115" s="1"/>
  <c r="BA92" i="60"/>
  <c r="J71" i="60"/>
  <c r="BX84" i="60"/>
  <c r="U77" i="60"/>
  <c r="AG76" i="60"/>
  <c r="O77" i="115"/>
  <c r="O77" i="65"/>
  <c r="AV76" i="60"/>
  <c r="V77" i="60"/>
  <c r="AH76" i="60"/>
  <c r="E37" i="91"/>
  <c r="P68" i="60"/>
  <c r="D71" i="60"/>
  <c r="AT70" i="60"/>
  <c r="BF70" i="60" s="1"/>
  <c r="BR70" i="60" s="1"/>
  <c r="CD70" i="60" s="1"/>
  <c r="M71" i="65"/>
  <c r="M71" i="115"/>
  <c r="P93" i="115"/>
  <c r="Q93" i="115" s="1"/>
  <c r="H69" i="115"/>
  <c r="H69" i="65"/>
  <c r="AO68" i="60"/>
  <c r="P85" i="60"/>
  <c r="D86" i="60"/>
  <c r="E36" i="91"/>
  <c r="H36" i="91" s="1"/>
  <c r="M36" i="91" s="1"/>
  <c r="H36" i="76"/>
  <c r="M36" i="76" s="1"/>
  <c r="AK93" i="60"/>
  <c r="D94" i="65"/>
  <c r="Y95" i="60"/>
  <c r="Z37" i="78" s="1"/>
  <c r="D94" i="115"/>
  <c r="E35" i="76"/>
  <c r="E35" i="91"/>
  <c r="AJ68" i="60"/>
  <c r="X71" i="60"/>
  <c r="BA76" i="60"/>
  <c r="P93" i="65"/>
  <c r="BO69" i="60"/>
  <c r="AH69" i="60"/>
  <c r="V71" i="60"/>
  <c r="P68" i="115"/>
  <c r="Q68" i="115" s="1"/>
  <c r="AC84" i="60"/>
  <c r="Q86" i="60"/>
  <c r="BG70" i="60"/>
  <c r="J48" i="61"/>
  <c r="E32" i="76"/>
  <c r="AK84" i="60"/>
  <c r="D85" i="65"/>
  <c r="D85" i="115"/>
  <c r="Y86" i="60"/>
  <c r="BP85" i="60"/>
  <c r="AY65" i="60"/>
  <c r="R71" i="60"/>
  <c r="AD68" i="60"/>
  <c r="J51" i="61"/>
  <c r="AG69" i="60"/>
  <c r="U71" i="60"/>
  <c r="AX68" i="60"/>
  <c r="CG69" i="60"/>
  <c r="L36" i="80"/>
  <c r="K110" i="80"/>
  <c r="K112" i="80" s="1"/>
  <c r="K114" i="80" s="1"/>
  <c r="O19" i="80"/>
  <c r="L20" i="80"/>
  <c r="L21" i="80" s="1"/>
  <c r="L60" i="80" s="1"/>
  <c r="M18" i="80"/>
  <c r="F51" i="80"/>
  <c r="F53" i="80" s="1"/>
  <c r="G51" i="80"/>
  <c r="G53" i="80" s="1"/>
  <c r="H43" i="80"/>
  <c r="O38" i="80"/>
  <c r="J58" i="80"/>
  <c r="J66" i="80"/>
  <c r="K24" i="80"/>
  <c r="C81" i="65"/>
  <c r="E121" i="44" s="1"/>
  <c r="E40" i="61"/>
  <c r="R47" i="113"/>
  <c r="Q21" i="60"/>
  <c r="R46" i="113"/>
  <c r="Q57" i="113"/>
  <c r="R74" i="113"/>
  <c r="S73" i="113"/>
  <c r="R84" i="113"/>
  <c r="R19" i="113"/>
  <c r="Q30" i="113"/>
  <c r="R12" i="60" s="1"/>
  <c r="R11" i="78" s="1"/>
  <c r="R20" i="113"/>
  <c r="P11" i="78"/>
  <c r="C461" i="82"/>
  <c r="G461" i="82"/>
  <c r="D461" i="82"/>
  <c r="E137" i="44" l="1"/>
  <c r="G137" i="44" s="1"/>
  <c r="E127" i="44"/>
  <c r="G127" i="44" s="1"/>
  <c r="E133" i="44"/>
  <c r="G133" i="44" s="1"/>
  <c r="E130" i="44"/>
  <c r="G130" i="44" s="1"/>
  <c r="E134" i="44"/>
  <c r="G134" i="44" s="1"/>
  <c r="AH14" i="44"/>
  <c r="O15" i="91"/>
  <c r="C13" i="115"/>
  <c r="F118" i="44" s="1"/>
  <c r="E11" i="108"/>
  <c r="W16" i="65" s="1"/>
  <c r="D89" i="44"/>
  <c r="E47" i="61"/>
  <c r="J14" i="44"/>
  <c r="O63" i="44" s="1"/>
  <c r="H15" i="44"/>
  <c r="AG16" i="44"/>
  <c r="C58" i="65"/>
  <c r="Q93" i="60"/>
  <c r="AC93" i="60" s="1"/>
  <c r="AG15" i="44"/>
  <c r="J13" i="44"/>
  <c r="O62" i="44" s="1"/>
  <c r="F38" i="76"/>
  <c r="F38" i="91" s="1"/>
  <c r="H38" i="91" s="1"/>
  <c r="M38" i="91" s="1"/>
  <c r="D28" i="108"/>
  <c r="AG27" i="44"/>
  <c r="H37" i="76"/>
  <c r="M37" i="76" s="1"/>
  <c r="P37" i="76" s="1"/>
  <c r="P50" i="56"/>
  <c r="R73" i="20"/>
  <c r="P36" i="76"/>
  <c r="AY93" i="60"/>
  <c r="BK93" i="60" s="1"/>
  <c r="O85" i="115"/>
  <c r="O87" i="115" s="1"/>
  <c r="E72" i="65"/>
  <c r="AH84" i="60"/>
  <c r="AT84" i="60" s="1"/>
  <c r="F87" i="65"/>
  <c r="J50" i="61"/>
  <c r="E94" i="115"/>
  <c r="E96" i="115" s="1"/>
  <c r="O32" i="76"/>
  <c r="I36" i="78"/>
  <c r="I38" i="78" s="1"/>
  <c r="AF76" i="60"/>
  <c r="AF77" i="60" s="1"/>
  <c r="H29" i="44"/>
  <c r="J29" i="44" s="1"/>
  <c r="J28" i="44"/>
  <c r="Y28" i="44"/>
  <c r="Q58" i="20"/>
  <c r="Q58" i="56" s="1"/>
  <c r="S147" i="117" s="1"/>
  <c r="T147" i="117" s="1"/>
  <c r="N87" i="65"/>
  <c r="K36" i="78"/>
  <c r="K38" i="78" s="1"/>
  <c r="AL93" i="60"/>
  <c r="AX93" i="60" s="1"/>
  <c r="C69" i="60"/>
  <c r="C70" i="65" s="1"/>
  <c r="H35" i="91"/>
  <c r="M35" i="91" s="1"/>
  <c r="H35" i="76"/>
  <c r="M35" i="76" s="1"/>
  <c r="P35" i="76" s="1"/>
  <c r="U9" i="20"/>
  <c r="B25" i="83"/>
  <c r="C24" i="83"/>
  <c r="AQ9" i="72" s="1"/>
  <c r="E9" i="55"/>
  <c r="E101" i="113"/>
  <c r="F8" i="60"/>
  <c r="E9" i="56"/>
  <c r="E9" i="20"/>
  <c r="H6" i="117" s="1"/>
  <c r="F10" i="113"/>
  <c r="F9" i="20" s="1"/>
  <c r="W9" i="20" s="1"/>
  <c r="F28" i="76"/>
  <c r="F28" i="91" s="1"/>
  <c r="R84" i="56"/>
  <c r="C25" i="65"/>
  <c r="Q23" i="20"/>
  <c r="Q30" i="20" s="1"/>
  <c r="AH33" i="64"/>
  <c r="AH32" i="64"/>
  <c r="AT33" i="64"/>
  <c r="BF32" i="64"/>
  <c r="M31" i="115"/>
  <c r="AT30" i="60"/>
  <c r="BF30" i="60" s="1"/>
  <c r="BR30" i="60" s="1"/>
  <c r="CD30" i="60" s="1"/>
  <c r="AI13" i="78"/>
  <c r="M31" i="65"/>
  <c r="BE57" i="60"/>
  <c r="BQ57" i="60" s="1"/>
  <c r="E23" i="61"/>
  <c r="E30" i="61" s="1"/>
  <c r="E33" i="61" s="1"/>
  <c r="F33" i="61" s="1"/>
  <c r="W54" i="64"/>
  <c r="W98" i="60" s="1"/>
  <c r="X19" i="72" s="1"/>
  <c r="AH4" i="44"/>
  <c r="C24" i="115"/>
  <c r="E24" i="108"/>
  <c r="J24" i="108" s="1"/>
  <c r="K24" i="108" s="1"/>
  <c r="L24" i="108" s="1"/>
  <c r="R74" i="20"/>
  <c r="C24" i="44"/>
  <c r="AH27" i="44"/>
  <c r="O19" i="91"/>
  <c r="O18" i="91"/>
  <c r="R42" i="20"/>
  <c r="Q48" i="20"/>
  <c r="R48" i="20" s="1"/>
  <c r="V34" i="65"/>
  <c r="V43" i="65"/>
  <c r="R41" i="20"/>
  <c r="Q47" i="20"/>
  <c r="R47" i="20" s="1"/>
  <c r="C15" i="115"/>
  <c r="BF33" i="64"/>
  <c r="AM45" i="64"/>
  <c r="AY39" i="64"/>
  <c r="AM39" i="64"/>
  <c r="BZ21" i="64"/>
  <c r="AY38" i="64"/>
  <c r="AT32" i="64"/>
  <c r="BD31" i="64"/>
  <c r="BP31" i="64" s="1"/>
  <c r="AM38" i="64"/>
  <c r="AL45" i="64"/>
  <c r="AR32" i="64"/>
  <c r="AL21" i="64"/>
  <c r="V54" i="64"/>
  <c r="V98" i="60" s="1"/>
  <c r="W19" i="72" s="1"/>
  <c r="AL44" i="64"/>
  <c r="AL20" i="64"/>
  <c r="AJ15" i="64"/>
  <c r="AJ14" i="64"/>
  <c r="AV15" i="64"/>
  <c r="AV14" i="64"/>
  <c r="AU20" i="64"/>
  <c r="AC33" i="64"/>
  <c r="AS24" i="64"/>
  <c r="BE24" i="64" s="1"/>
  <c r="BE52" i="64"/>
  <c r="AE39" i="64"/>
  <c r="Z54" i="64"/>
  <c r="Z98" i="60" s="1"/>
  <c r="AB19" i="72" s="1"/>
  <c r="AM44" i="64"/>
  <c r="AG32" i="64"/>
  <c r="BG18" i="64"/>
  <c r="BG21" i="64" s="1"/>
  <c r="AW49" i="64"/>
  <c r="AK51" i="64"/>
  <c r="AY44" i="64"/>
  <c r="AQ14" i="64"/>
  <c r="AS30" i="64"/>
  <c r="BE30" i="64" s="1"/>
  <c r="AE38" i="64"/>
  <c r="BR26" i="64"/>
  <c r="AG26" i="64"/>
  <c r="AY45" i="64"/>
  <c r="CD27" i="64"/>
  <c r="BR27" i="64"/>
  <c r="AQ15" i="64"/>
  <c r="H37" i="91"/>
  <c r="M37" i="91" s="1"/>
  <c r="Q64" i="20"/>
  <c r="R64" i="20" s="1"/>
  <c r="Q14" i="55"/>
  <c r="Q14" i="56" s="1"/>
  <c r="Q21" i="20"/>
  <c r="Q21" i="55" s="1"/>
  <c r="BN24" i="64"/>
  <c r="BN27" i="64" s="1"/>
  <c r="BB26" i="64"/>
  <c r="C33" i="65"/>
  <c r="C42" i="65" s="1"/>
  <c r="H36" i="78"/>
  <c r="H38" i="78" s="1"/>
  <c r="AU33" i="64"/>
  <c r="E119" i="44"/>
  <c r="AC30" i="60"/>
  <c r="AU32" i="64"/>
  <c r="BR50" i="64"/>
  <c r="CD50" i="64" s="1"/>
  <c r="N58" i="64"/>
  <c r="BF52" i="64"/>
  <c r="Q64" i="56"/>
  <c r="R64" i="56" s="1"/>
  <c r="C75" i="60"/>
  <c r="O34" i="76"/>
  <c r="P34" i="76" s="1"/>
  <c r="M36" i="78"/>
  <c r="M38" i="78" s="1"/>
  <c r="J36" i="78"/>
  <c r="J38" i="78" s="1"/>
  <c r="AC32" i="64"/>
  <c r="D70" i="82"/>
  <c r="F70" i="82"/>
  <c r="C70" i="82"/>
  <c r="E70" i="82"/>
  <c r="K50" i="82"/>
  <c r="B14" i="82"/>
  <c r="M50" i="82"/>
  <c r="N49" i="82"/>
  <c r="J78" i="82"/>
  <c r="B79" i="82"/>
  <c r="R59" i="56"/>
  <c r="H33" i="76"/>
  <c r="M33" i="76" s="1"/>
  <c r="P33" i="76" s="1"/>
  <c r="AJ86" i="60"/>
  <c r="N87" i="115"/>
  <c r="O85" i="65"/>
  <c r="O87" i="65" s="1"/>
  <c r="Z95" i="60"/>
  <c r="AA37" i="78" s="1"/>
  <c r="H21" i="76"/>
  <c r="M21" i="76" s="1"/>
  <c r="P21" i="76" s="1"/>
  <c r="E78" i="115"/>
  <c r="AL71" i="60"/>
  <c r="Q13" i="55"/>
  <c r="R13" i="55" s="1"/>
  <c r="C23" i="65"/>
  <c r="G125" i="44"/>
  <c r="AK44" i="64"/>
  <c r="C59" i="65"/>
  <c r="Z77" i="60"/>
  <c r="W77" i="60"/>
  <c r="AI76" i="60"/>
  <c r="D51" i="61"/>
  <c r="F51" i="61" s="1"/>
  <c r="AA86" i="60"/>
  <c r="L36" i="78"/>
  <c r="L38" i="78" s="1"/>
  <c r="D36" i="78"/>
  <c r="D38" i="78" s="1"/>
  <c r="AK45" i="64"/>
  <c r="BK30" i="64"/>
  <c r="AY32" i="64"/>
  <c r="AY33" i="64"/>
  <c r="Q27" i="20"/>
  <c r="R20" i="20"/>
  <c r="Q20" i="55"/>
  <c r="AM84" i="60"/>
  <c r="AM86" i="60" s="1"/>
  <c r="AL76" i="60"/>
  <c r="AX76" i="60" s="1"/>
  <c r="F85" i="115"/>
  <c r="F87" i="115" s="1"/>
  <c r="E77" i="65"/>
  <c r="E78" i="65" s="1"/>
  <c r="AB51" i="64"/>
  <c r="AB52" i="64"/>
  <c r="AN49" i="64"/>
  <c r="AE21" i="64"/>
  <c r="AQ18" i="64"/>
  <c r="AE20" i="64"/>
  <c r="AN42" i="64"/>
  <c r="AB45" i="64"/>
  <c r="AB44" i="64"/>
  <c r="N36" i="78"/>
  <c r="N38" i="78" s="1"/>
  <c r="BE51" i="64"/>
  <c r="E120" i="44"/>
  <c r="G141" i="44"/>
  <c r="AJ39" i="64"/>
  <c r="AV36" i="64"/>
  <c r="AJ38" i="64"/>
  <c r="G50" i="115"/>
  <c r="AN49" i="60"/>
  <c r="G50" i="65"/>
  <c r="AX32" i="64"/>
  <c r="AV30" i="64"/>
  <c r="AJ33" i="64"/>
  <c r="AJ32" i="64"/>
  <c r="AZ13" i="64"/>
  <c r="AN14" i="64"/>
  <c r="AN15" i="64"/>
  <c r="AX33" i="64"/>
  <c r="P49" i="65"/>
  <c r="J98" i="60"/>
  <c r="J19" i="72" s="1"/>
  <c r="J58" i="64"/>
  <c r="H21" i="91"/>
  <c r="M21" i="91" s="1"/>
  <c r="AD52" i="64"/>
  <c r="AD51" i="64"/>
  <c r="AP50" i="64"/>
  <c r="AI54" i="64"/>
  <c r="AI98" i="60" s="1"/>
  <c r="N99" i="65" s="1"/>
  <c r="V17" i="65"/>
  <c r="V26" i="65" s="1"/>
  <c r="V35" i="65" s="1"/>
  <c r="V44" i="65" s="1"/>
  <c r="AA54" i="64"/>
  <c r="AA98" i="60" s="1"/>
  <c r="F99" i="65" s="1"/>
  <c r="U54" i="64"/>
  <c r="U98" i="60" s="1"/>
  <c r="V19" i="72" s="1"/>
  <c r="K98" i="60"/>
  <c r="K19" i="72" s="1"/>
  <c r="K58" i="64"/>
  <c r="L98" i="60"/>
  <c r="L19" i="72" s="1"/>
  <c r="O98" i="60"/>
  <c r="O19" i="72" s="1"/>
  <c r="Q49" i="20"/>
  <c r="F58" i="64"/>
  <c r="T54" i="64"/>
  <c r="T98" i="60" s="1"/>
  <c r="U19" i="72" s="1"/>
  <c r="C57" i="65"/>
  <c r="Y54" i="64"/>
  <c r="Y98" i="60" s="1"/>
  <c r="D99" i="115" s="1"/>
  <c r="X54" i="64"/>
  <c r="X98" i="60" s="1"/>
  <c r="Y19" i="72" s="1"/>
  <c r="H58" i="64"/>
  <c r="BE42" i="64"/>
  <c r="AS44" i="64"/>
  <c r="AS45" i="64"/>
  <c r="Q57" i="20"/>
  <c r="Y27" i="44"/>
  <c r="AA27" i="44" s="1"/>
  <c r="C68" i="60"/>
  <c r="D27" i="108"/>
  <c r="K27" i="108" s="1"/>
  <c r="L27" i="108" s="1"/>
  <c r="O31" i="76"/>
  <c r="M58" i="64"/>
  <c r="M98" i="60"/>
  <c r="M19" i="72" s="1"/>
  <c r="BH24" i="64"/>
  <c r="AV27" i="64"/>
  <c r="AV26" i="64"/>
  <c r="R15" i="55"/>
  <c r="Q15" i="56"/>
  <c r="AU27" i="64"/>
  <c r="BG24" i="64"/>
  <c r="AU26" i="64"/>
  <c r="AJ49" i="60"/>
  <c r="AJ44" i="64"/>
  <c r="AJ45" i="64"/>
  <c r="AV43" i="64"/>
  <c r="AF52" i="64"/>
  <c r="AR49" i="64"/>
  <c r="AF51" i="64"/>
  <c r="BQ49" i="60"/>
  <c r="BZ49" i="60"/>
  <c r="BQ48" i="60"/>
  <c r="BK49" i="60"/>
  <c r="I98" i="60"/>
  <c r="I19" i="72" s="1"/>
  <c r="AS38" i="64"/>
  <c r="BL43" i="64"/>
  <c r="P29" i="76"/>
  <c r="E29" i="91"/>
  <c r="P29" i="91" s="1"/>
  <c r="Q29" i="20"/>
  <c r="Q22" i="55"/>
  <c r="AX12" i="64"/>
  <c r="AL14" i="64"/>
  <c r="AL15" i="64"/>
  <c r="AW13" i="64"/>
  <c r="AK15" i="64"/>
  <c r="AK14" i="64"/>
  <c r="P49" i="115"/>
  <c r="AO41" i="44" s="1"/>
  <c r="BJ49" i="60"/>
  <c r="AW24" i="64"/>
  <c r="AK27" i="64"/>
  <c r="AK26" i="64"/>
  <c r="BR49" i="60"/>
  <c r="V16" i="65"/>
  <c r="BG49" i="60"/>
  <c r="BF93" i="60"/>
  <c r="BF95" i="60" s="1"/>
  <c r="AS39" i="64"/>
  <c r="BX48" i="60"/>
  <c r="D58" i="65"/>
  <c r="D58" i="115"/>
  <c r="AK57" i="60"/>
  <c r="AJ51" i="64"/>
  <c r="AJ52" i="64"/>
  <c r="AV49" i="64"/>
  <c r="AI56" i="60"/>
  <c r="W13" i="78"/>
  <c r="AW18" i="64"/>
  <c r="AK20" i="64"/>
  <c r="AK21" i="64"/>
  <c r="AK33" i="64"/>
  <c r="AK32" i="64"/>
  <c r="AW30" i="64"/>
  <c r="AP12" i="64"/>
  <c r="AD15" i="64"/>
  <c r="AD14" i="64"/>
  <c r="AS18" i="64"/>
  <c r="AG20" i="64"/>
  <c r="AG21" i="64"/>
  <c r="BC49" i="60"/>
  <c r="BD24" i="64"/>
  <c r="AR26" i="64"/>
  <c r="AR27" i="64"/>
  <c r="AT20" i="64"/>
  <c r="AT21" i="64"/>
  <c r="BF18" i="64"/>
  <c r="AJ31" i="60"/>
  <c r="AM70" i="60"/>
  <c r="AY70" i="60" s="1"/>
  <c r="BK70" i="60" s="1"/>
  <c r="BW70" i="60" s="1"/>
  <c r="CI70" i="60" s="1"/>
  <c r="F71" i="115"/>
  <c r="F72" i="115" s="1"/>
  <c r="F71" i="65"/>
  <c r="F72" i="65" s="1"/>
  <c r="J72" i="65"/>
  <c r="S54" i="64"/>
  <c r="S98" i="60" s="1"/>
  <c r="T19" i="72" s="1"/>
  <c r="Q63" i="56"/>
  <c r="R63" i="56" s="1"/>
  <c r="C74" i="60"/>
  <c r="Q63" i="20"/>
  <c r="R63" i="20" s="1"/>
  <c r="C75" i="65"/>
  <c r="BT19" i="64"/>
  <c r="BH20" i="64"/>
  <c r="BH21" i="64"/>
  <c r="AI31" i="60"/>
  <c r="AN25" i="64"/>
  <c r="AB26" i="64"/>
  <c r="AB27" i="64"/>
  <c r="BI49" i="60"/>
  <c r="AT45" i="64"/>
  <c r="BF42" i="64"/>
  <c r="AT44" i="64"/>
  <c r="BA49" i="60"/>
  <c r="AB93" i="60"/>
  <c r="P95" i="60"/>
  <c r="P37" i="78" s="1"/>
  <c r="AO24" i="64"/>
  <c r="AC27" i="64"/>
  <c r="AC26" i="64"/>
  <c r="AW36" i="64"/>
  <c r="AK38" i="64"/>
  <c r="AK39" i="64"/>
  <c r="AN38" i="64"/>
  <c r="AZ36" i="64"/>
  <c r="AN39" i="64"/>
  <c r="AY50" i="64"/>
  <c r="AM52" i="64"/>
  <c r="AM51" i="64"/>
  <c r="AH15" i="64"/>
  <c r="AH14" i="64"/>
  <c r="AT12" i="64"/>
  <c r="AO42" i="64"/>
  <c r="AC44" i="64"/>
  <c r="AC45" i="64"/>
  <c r="F58" i="115"/>
  <c r="AM57" i="60"/>
  <c r="F58" i="65"/>
  <c r="R59" i="20"/>
  <c r="AP45" i="64"/>
  <c r="BB43" i="64"/>
  <c r="AP44" i="64"/>
  <c r="R43" i="56"/>
  <c r="Q49" i="56"/>
  <c r="S139" i="117" s="1"/>
  <c r="T139" i="117" s="1"/>
  <c r="Q16" i="56"/>
  <c r="R16" i="55"/>
  <c r="Q48" i="56"/>
  <c r="S138" i="117" s="1"/>
  <c r="T138" i="117" s="1"/>
  <c r="R42" i="56"/>
  <c r="BW13" i="64"/>
  <c r="BK15" i="64"/>
  <c r="BK14" i="64"/>
  <c r="BD36" i="64"/>
  <c r="AR38" i="64"/>
  <c r="AR39" i="64"/>
  <c r="AY24" i="64"/>
  <c r="AM26" i="64"/>
  <c r="AM27" i="64"/>
  <c r="R54" i="64"/>
  <c r="R98" i="60" s="1"/>
  <c r="S19" i="72" s="1"/>
  <c r="AW45" i="64"/>
  <c r="AW44" i="64"/>
  <c r="BI43" i="64"/>
  <c r="AD39" i="64"/>
  <c r="AD38" i="64"/>
  <c r="AP36" i="64"/>
  <c r="BO12" i="64"/>
  <c r="BC14" i="64"/>
  <c r="BC15" i="64"/>
  <c r="AP31" i="64"/>
  <c r="AD33" i="64"/>
  <c r="AD32" i="64"/>
  <c r="BG49" i="64"/>
  <c r="AU51" i="64"/>
  <c r="AU52" i="64"/>
  <c r="BZ49" i="64"/>
  <c r="BS31" i="64"/>
  <c r="BG33" i="64"/>
  <c r="BG32" i="64"/>
  <c r="BA38" i="64"/>
  <c r="BM36" i="64"/>
  <c r="BA39" i="64"/>
  <c r="AQ43" i="64"/>
  <c r="AE45" i="64"/>
  <c r="AE44" i="64"/>
  <c r="BO42" i="64"/>
  <c r="BO24" i="64"/>
  <c r="CC49" i="64"/>
  <c r="BQ51" i="64"/>
  <c r="BQ52" i="64"/>
  <c r="AY19" i="64"/>
  <c r="AM20" i="64"/>
  <c r="AM21" i="64"/>
  <c r="AR42" i="64"/>
  <c r="AF45" i="64"/>
  <c r="AF44" i="64"/>
  <c r="AX20" i="64"/>
  <c r="AX21" i="64"/>
  <c r="BJ19" i="64"/>
  <c r="BW49" i="64"/>
  <c r="AQ25" i="64"/>
  <c r="AE27" i="64"/>
  <c r="AE26" i="64"/>
  <c r="CC43" i="64"/>
  <c r="CD30" i="64"/>
  <c r="BR33" i="64"/>
  <c r="BR32" i="64"/>
  <c r="CB20" i="64"/>
  <c r="CB21" i="64"/>
  <c r="BW37" i="64"/>
  <c r="BK39" i="64"/>
  <c r="BK38" i="64"/>
  <c r="AB21" i="64"/>
  <c r="AN18" i="64"/>
  <c r="AB20" i="64"/>
  <c r="AR14" i="64"/>
  <c r="AR15" i="64"/>
  <c r="BD13" i="64"/>
  <c r="AO13" i="64"/>
  <c r="AC14" i="64"/>
  <c r="AC15" i="64"/>
  <c r="BT13" i="64"/>
  <c r="BH14" i="64"/>
  <c r="BH15" i="64"/>
  <c r="BN13" i="64"/>
  <c r="BQ36" i="64"/>
  <c r="BE39" i="64"/>
  <c r="BE38" i="64"/>
  <c r="BA19" i="64"/>
  <c r="AO21" i="64"/>
  <c r="AO20" i="64"/>
  <c r="CD36" i="64"/>
  <c r="BR38" i="64"/>
  <c r="BR39" i="64"/>
  <c r="AE32" i="64"/>
  <c r="AQ30" i="64"/>
  <c r="AE33" i="64"/>
  <c r="E58" i="64"/>
  <c r="E98" i="60"/>
  <c r="E19" i="72" s="1"/>
  <c r="BJ49" i="64"/>
  <c r="AX52" i="64"/>
  <c r="AX51" i="64"/>
  <c r="BV37" i="64"/>
  <c r="BJ38" i="64"/>
  <c r="BJ39" i="64"/>
  <c r="AO50" i="64"/>
  <c r="AC51" i="64"/>
  <c r="AC52" i="64"/>
  <c r="G58" i="64"/>
  <c r="G98" i="60"/>
  <c r="G19" i="72" s="1"/>
  <c r="Q54" i="64"/>
  <c r="Q98" i="60" s="1"/>
  <c r="R19" i="72" s="1"/>
  <c r="BS36" i="64"/>
  <c r="BG39" i="64"/>
  <c r="BG38" i="64"/>
  <c r="BW42" i="64"/>
  <c r="BK44" i="64"/>
  <c r="BK45" i="64"/>
  <c r="AO33" i="64"/>
  <c r="AO32" i="64"/>
  <c r="BA31" i="64"/>
  <c r="CG19" i="64"/>
  <c r="BM25" i="64"/>
  <c r="AG14" i="64"/>
  <c r="AG15" i="64"/>
  <c r="AS12" i="64"/>
  <c r="BL24" i="64"/>
  <c r="BS12" i="64"/>
  <c r="BG15" i="64"/>
  <c r="BG14" i="64"/>
  <c r="BJ42" i="64"/>
  <c r="AX45" i="64"/>
  <c r="AX44" i="64"/>
  <c r="BC37" i="64"/>
  <c r="AQ38" i="64"/>
  <c r="AQ39" i="64"/>
  <c r="AX27" i="64"/>
  <c r="AX26" i="64"/>
  <c r="BJ24" i="64"/>
  <c r="BV30" i="64"/>
  <c r="BJ33" i="64"/>
  <c r="BJ32" i="64"/>
  <c r="BC49" i="64"/>
  <c r="AQ51" i="64"/>
  <c r="AQ52" i="64"/>
  <c r="AU45" i="64"/>
  <c r="BG42" i="64"/>
  <c r="AU44" i="64"/>
  <c r="AJ57" i="60"/>
  <c r="F36" i="78"/>
  <c r="F38" i="78" s="1"/>
  <c r="BV74" i="60"/>
  <c r="BK31" i="60"/>
  <c r="U36" i="78"/>
  <c r="AK76" i="60"/>
  <c r="D77" i="115"/>
  <c r="Y77" i="60"/>
  <c r="D77" i="65"/>
  <c r="AA77" i="60"/>
  <c r="AM76" i="60"/>
  <c r="F77" i="115"/>
  <c r="F77" i="65"/>
  <c r="E36" i="78"/>
  <c r="E38" i="78" s="1"/>
  <c r="L15" i="81"/>
  <c r="L31" i="115"/>
  <c r="L31" i="65"/>
  <c r="AS30" i="60"/>
  <c r="AH13" i="78"/>
  <c r="BG84" i="60"/>
  <c r="AU86" i="60"/>
  <c r="AG93" i="60"/>
  <c r="U95" i="60"/>
  <c r="U37" i="78" s="1"/>
  <c r="BJ57" i="60"/>
  <c r="W95" i="60"/>
  <c r="W37" i="78" s="1"/>
  <c r="AI93" i="60"/>
  <c r="AL31" i="60"/>
  <c r="E32" i="65"/>
  <c r="E32" i="115"/>
  <c r="AJ74" i="60"/>
  <c r="X77" i="60"/>
  <c r="X36" i="78" s="1"/>
  <c r="X95" i="60"/>
  <c r="X37" i="78" s="1"/>
  <c r="AJ93" i="60"/>
  <c r="J72" i="115"/>
  <c r="AY68" i="60"/>
  <c r="AI69" i="60"/>
  <c r="W71" i="60"/>
  <c r="AK68" i="60"/>
  <c r="D69" i="65"/>
  <c r="D69" i="115"/>
  <c r="Y71" i="60"/>
  <c r="AC57" i="60"/>
  <c r="AL84" i="60"/>
  <c r="E85" i="65"/>
  <c r="E87" i="65" s="1"/>
  <c r="Z86" i="60"/>
  <c r="E85" i="115"/>
  <c r="AF93" i="60"/>
  <c r="T95" i="60"/>
  <c r="T37" i="78" s="1"/>
  <c r="O37" i="78"/>
  <c r="G36" i="78"/>
  <c r="G38" i="78" s="1"/>
  <c r="BK74" i="60"/>
  <c r="AH57" i="60"/>
  <c r="AK31" i="60"/>
  <c r="D32" i="65"/>
  <c r="D32" i="115"/>
  <c r="L85" i="65"/>
  <c r="L87" i="65" s="1"/>
  <c r="L85" i="115"/>
  <c r="AG86" i="60"/>
  <c r="AS84" i="60"/>
  <c r="BR31" i="60"/>
  <c r="O31" i="65"/>
  <c r="O31" i="115"/>
  <c r="O15" i="81"/>
  <c r="AV30" i="60"/>
  <c r="AK13" i="78"/>
  <c r="AI57" i="60"/>
  <c r="AD84" i="60"/>
  <c r="R86" i="60"/>
  <c r="AD93" i="60"/>
  <c r="R95" i="60"/>
  <c r="R37" i="78" s="1"/>
  <c r="BB57" i="60"/>
  <c r="J58" i="65"/>
  <c r="J58" i="115"/>
  <c r="AQ57" i="60"/>
  <c r="J15" i="81"/>
  <c r="J31" i="65"/>
  <c r="AF13" i="78"/>
  <c r="J31" i="115"/>
  <c r="AQ30" i="60"/>
  <c r="H38" i="76"/>
  <c r="M38" i="76" s="1"/>
  <c r="AO74" i="60"/>
  <c r="H75" i="115"/>
  <c r="H75" i="65"/>
  <c r="AC77" i="60"/>
  <c r="AF57" i="60"/>
  <c r="AF84" i="60"/>
  <c r="T86" i="60"/>
  <c r="BC68" i="60"/>
  <c r="AQ71" i="60"/>
  <c r="BC31" i="60"/>
  <c r="I31" i="65"/>
  <c r="I15" i="81"/>
  <c r="AP30" i="60"/>
  <c r="I31" i="115"/>
  <c r="AE13" i="78"/>
  <c r="AE75" i="60"/>
  <c r="S77" i="60"/>
  <c r="BD56" i="60"/>
  <c r="AC70" i="60"/>
  <c r="Q71" i="60"/>
  <c r="Q36" i="78" s="1"/>
  <c r="AD31" i="60"/>
  <c r="BO74" i="60"/>
  <c r="AE84" i="60"/>
  <c r="S86" i="60"/>
  <c r="AD74" i="60"/>
  <c r="R77" i="60"/>
  <c r="S95" i="60"/>
  <c r="S37" i="78" s="1"/>
  <c r="AE93" i="60"/>
  <c r="AF31" i="60"/>
  <c r="AF68" i="60"/>
  <c r="T71" i="60"/>
  <c r="BA31" i="60"/>
  <c r="AZ57" i="60"/>
  <c r="G66" i="115"/>
  <c r="P66" i="115" s="1"/>
  <c r="AN65" i="60"/>
  <c r="AZ65" i="60" s="1"/>
  <c r="BL65" i="60" s="1"/>
  <c r="BX65" i="60" s="1"/>
  <c r="G66" i="65"/>
  <c r="P66" i="65" s="1"/>
  <c r="Q20" i="91"/>
  <c r="P77" i="60"/>
  <c r="AB74" i="60"/>
  <c r="C15" i="78"/>
  <c r="O15" i="78" s="1"/>
  <c r="O13" i="78"/>
  <c r="AB31" i="60"/>
  <c r="P13" i="78"/>
  <c r="P15" i="78" s="1"/>
  <c r="AB30" i="60"/>
  <c r="AZ56" i="60"/>
  <c r="G67" i="65"/>
  <c r="P67" i="65" s="1"/>
  <c r="G67" i="115"/>
  <c r="P67" i="115" s="1"/>
  <c r="AN66" i="60"/>
  <c r="AZ66" i="60" s="1"/>
  <c r="BL66" i="60" s="1"/>
  <c r="BX66" i="60" s="1"/>
  <c r="P20" i="76"/>
  <c r="J46" i="61"/>
  <c r="F27" i="91"/>
  <c r="F22" i="91"/>
  <c r="I69" i="115"/>
  <c r="AP68" i="60"/>
  <c r="I69" i="65"/>
  <c r="AD71" i="60"/>
  <c r="D96" i="65"/>
  <c r="BJ68" i="60"/>
  <c r="AX71" i="60"/>
  <c r="L70" i="115"/>
  <c r="L70" i="65"/>
  <c r="AS69" i="60"/>
  <c r="AG71" i="60"/>
  <c r="BS70" i="60"/>
  <c r="V36" i="78"/>
  <c r="V38" i="78" s="1"/>
  <c r="AW93" i="60"/>
  <c r="AK95" i="60"/>
  <c r="BM92" i="60"/>
  <c r="BH84" i="60"/>
  <c r="AV86" i="60"/>
  <c r="C36" i="78"/>
  <c r="AB68" i="60"/>
  <c r="P71" i="60"/>
  <c r="AG77" i="60"/>
  <c r="L77" i="115"/>
  <c r="L77" i="65"/>
  <c r="AS76" i="60"/>
  <c r="BR68" i="60"/>
  <c r="E32" i="91"/>
  <c r="H32" i="91" s="1"/>
  <c r="M32" i="91" s="1"/>
  <c r="H32" i="76"/>
  <c r="M32" i="76" s="1"/>
  <c r="BI70" i="60"/>
  <c r="P86" i="60"/>
  <c r="AB85" i="60"/>
  <c r="BA68" i="60"/>
  <c r="H31" i="76"/>
  <c r="M31" i="76" s="1"/>
  <c r="E31" i="91"/>
  <c r="AO84" i="60"/>
  <c r="H85" i="115"/>
  <c r="H85" i="65"/>
  <c r="H87" i="65" s="1"/>
  <c r="AC86" i="60"/>
  <c r="BP70" i="60"/>
  <c r="D87" i="115"/>
  <c r="CA69" i="60"/>
  <c r="BK65" i="60"/>
  <c r="D87" i="65"/>
  <c r="M70" i="65"/>
  <c r="M72" i="65" s="1"/>
  <c r="AT69" i="60"/>
  <c r="M70" i="115"/>
  <c r="M72" i="115" s="1"/>
  <c r="AH71" i="60"/>
  <c r="AW84" i="60"/>
  <c r="AK86" i="60"/>
  <c r="D53" i="61"/>
  <c r="Q93" i="65"/>
  <c r="R93" i="65" s="1"/>
  <c r="AT76" i="60"/>
  <c r="M77" i="115"/>
  <c r="M77" i="65"/>
  <c r="AH77" i="60"/>
  <c r="O69" i="65"/>
  <c r="AV68" i="60"/>
  <c r="AJ71" i="60"/>
  <c r="O69" i="115"/>
  <c r="D48" i="61"/>
  <c r="Q68" i="65"/>
  <c r="R68" i="65" s="1"/>
  <c r="D96" i="115"/>
  <c r="BM76" i="60"/>
  <c r="BH76" i="60"/>
  <c r="BN85" i="60"/>
  <c r="CB85" i="60"/>
  <c r="M36" i="80"/>
  <c r="L110" i="80"/>
  <c r="L112" i="80" s="1"/>
  <c r="L114" i="80" s="1"/>
  <c r="M20" i="80"/>
  <c r="M21" i="80" s="1"/>
  <c r="M60" i="80" s="1"/>
  <c r="N18" i="80"/>
  <c r="P19" i="80"/>
  <c r="P38" i="80"/>
  <c r="H51" i="80"/>
  <c r="L24" i="80"/>
  <c r="K66" i="80"/>
  <c r="K58" i="80"/>
  <c r="R73" i="56"/>
  <c r="R74" i="56"/>
  <c r="R69" i="56"/>
  <c r="Q47" i="56"/>
  <c r="S137" i="117" s="1"/>
  <c r="T137" i="117" s="1"/>
  <c r="R41" i="56"/>
  <c r="S47" i="113"/>
  <c r="R14" i="78"/>
  <c r="Q12" i="78"/>
  <c r="Q15" i="78" s="1"/>
  <c r="S39" i="60"/>
  <c r="S14" i="78" s="1"/>
  <c r="T73" i="113"/>
  <c r="S84" i="113"/>
  <c r="S74" i="113"/>
  <c r="R21" i="60"/>
  <c r="R12" i="78" s="1"/>
  <c r="S46" i="113"/>
  <c r="R57" i="113"/>
  <c r="R30" i="113"/>
  <c r="S12" i="60" s="1"/>
  <c r="S11" i="78" s="1"/>
  <c r="S19" i="113"/>
  <c r="S20" i="113"/>
  <c r="I118" i="44" l="1"/>
  <c r="J118" i="44" s="1"/>
  <c r="Q95" i="60"/>
  <c r="Q37" i="78" s="1"/>
  <c r="Q38" i="78" s="1"/>
  <c r="E50" i="61"/>
  <c r="E140" i="44"/>
  <c r="G140" i="44" s="1"/>
  <c r="F126" i="44"/>
  <c r="H126" i="44" s="1"/>
  <c r="I126" i="44" s="1"/>
  <c r="J126" i="44" s="1"/>
  <c r="F130" i="44"/>
  <c r="H130" i="44" s="1"/>
  <c r="C32" i="65"/>
  <c r="C41" i="65" s="1"/>
  <c r="E129" i="44"/>
  <c r="G129" i="44" s="1"/>
  <c r="C34" i="65"/>
  <c r="C43" i="65" s="1"/>
  <c r="E131" i="44"/>
  <c r="G131" i="44" s="1"/>
  <c r="H11" i="108"/>
  <c r="I11" i="108" s="1"/>
  <c r="Q49" i="65"/>
  <c r="AN41" i="44" s="1"/>
  <c r="AM41" i="44"/>
  <c r="C49" i="115"/>
  <c r="AH16" i="44"/>
  <c r="O20" i="91"/>
  <c r="P20" i="91" s="1"/>
  <c r="E13" i="108"/>
  <c r="H13" i="108" s="1"/>
  <c r="I13" i="108" s="1"/>
  <c r="H16" i="44"/>
  <c r="J16" i="44" s="1"/>
  <c r="AG17" i="44"/>
  <c r="J15" i="44"/>
  <c r="O16" i="91"/>
  <c r="AH15" i="44"/>
  <c r="C22" i="115"/>
  <c r="E12" i="108"/>
  <c r="Q66" i="65"/>
  <c r="AN58" i="44" s="1"/>
  <c r="AM58" i="44"/>
  <c r="Q66" i="115"/>
  <c r="AP58" i="44" s="1"/>
  <c r="AO58" i="44"/>
  <c r="Q67" i="115"/>
  <c r="AP59" i="44" s="1"/>
  <c r="AO59" i="44"/>
  <c r="Q67" i="65"/>
  <c r="AN59" i="44" s="1"/>
  <c r="AM59" i="44"/>
  <c r="AY95" i="60"/>
  <c r="M85" i="65"/>
  <c r="M87" i="65" s="1"/>
  <c r="M85" i="115"/>
  <c r="M87" i="115" s="1"/>
  <c r="AH86" i="60"/>
  <c r="AI36" i="78" s="1"/>
  <c r="AI38" i="78" s="1"/>
  <c r="E74" i="65"/>
  <c r="AR76" i="60"/>
  <c r="BD76" i="60" s="1"/>
  <c r="K77" i="115"/>
  <c r="K78" i="115" s="1"/>
  <c r="BR93" i="60"/>
  <c r="BR95" i="60" s="1"/>
  <c r="K77" i="65"/>
  <c r="K78" i="65" s="1"/>
  <c r="P32" i="76"/>
  <c r="Q23" i="55"/>
  <c r="R23" i="55" s="1"/>
  <c r="R58" i="56"/>
  <c r="AL77" i="60"/>
  <c r="AL95" i="60"/>
  <c r="R58" i="20"/>
  <c r="W36" i="78"/>
  <c r="W38" i="78" s="1"/>
  <c r="B28" i="82"/>
  <c r="Q32" i="72"/>
  <c r="H53" i="80"/>
  <c r="V9" i="20"/>
  <c r="F9" i="56"/>
  <c r="B26" i="83"/>
  <c r="C25" i="83"/>
  <c r="AR9" i="72" s="1"/>
  <c r="F9" i="55"/>
  <c r="G10" i="113"/>
  <c r="F101" i="113"/>
  <c r="G8" i="60"/>
  <c r="G8" i="64" s="1"/>
  <c r="F8" i="64"/>
  <c r="AH54" i="64"/>
  <c r="AH98" i="60" s="1"/>
  <c r="M99" i="115" s="1"/>
  <c r="I6" i="117"/>
  <c r="AO30" i="60"/>
  <c r="H31" i="115"/>
  <c r="H31" i="65"/>
  <c r="H15" i="81"/>
  <c r="AD13" i="78"/>
  <c r="C25" i="44"/>
  <c r="Z25" i="44"/>
  <c r="AA25" i="44" s="1"/>
  <c r="C33" i="115"/>
  <c r="C42" i="115" s="1"/>
  <c r="AH5" i="44"/>
  <c r="E25" i="108"/>
  <c r="J25" i="108" s="1"/>
  <c r="K25" i="108" s="1"/>
  <c r="L25" i="108" s="1"/>
  <c r="C16" i="115"/>
  <c r="C25" i="115"/>
  <c r="AH28" i="44"/>
  <c r="R21" i="20"/>
  <c r="R66" i="20"/>
  <c r="P31" i="76"/>
  <c r="Q28" i="20"/>
  <c r="R28" i="20" s="1"/>
  <c r="E99" i="65"/>
  <c r="BD33" i="64"/>
  <c r="BD32" i="64"/>
  <c r="AS26" i="64"/>
  <c r="AS32" i="64"/>
  <c r="AL54" i="64"/>
  <c r="AL98" i="60" s="1"/>
  <c r="BS18" i="64"/>
  <c r="BS21" i="64" s="1"/>
  <c r="BG20" i="64"/>
  <c r="AS27" i="64"/>
  <c r="AS33" i="64"/>
  <c r="E99" i="115"/>
  <c r="BN26" i="64"/>
  <c r="BI49" i="64"/>
  <c r="AW52" i="64"/>
  <c r="AW51" i="64"/>
  <c r="BR51" i="64"/>
  <c r="AF54" i="64"/>
  <c r="AF98" i="60" s="1"/>
  <c r="K99" i="65" s="1"/>
  <c r="N99" i="115"/>
  <c r="AK19" i="72"/>
  <c r="BZ24" i="64"/>
  <c r="BZ26" i="64" s="1"/>
  <c r="Q13" i="56"/>
  <c r="R13" i="56" s="1"/>
  <c r="AY84" i="60"/>
  <c r="AY86" i="60" s="1"/>
  <c r="BR52" i="64"/>
  <c r="P73" i="60"/>
  <c r="R66" i="56"/>
  <c r="P406" i="82"/>
  <c r="P171" i="82"/>
  <c r="H185" i="82"/>
  <c r="H175" i="82"/>
  <c r="H203" i="82"/>
  <c r="H178" i="82"/>
  <c r="H107" i="82"/>
  <c r="H153" i="82"/>
  <c r="P292" i="82"/>
  <c r="P417" i="82"/>
  <c r="H115" i="82"/>
  <c r="H242" i="82"/>
  <c r="H289" i="82"/>
  <c r="P382" i="82"/>
  <c r="H98" i="82"/>
  <c r="P435" i="82"/>
  <c r="H176" i="82"/>
  <c r="P285" i="82"/>
  <c r="H316" i="82"/>
  <c r="H263" i="82"/>
  <c r="H135" i="82"/>
  <c r="P381" i="82"/>
  <c r="H421" i="82"/>
  <c r="P224" i="82"/>
  <c r="H412" i="82"/>
  <c r="P296" i="82"/>
  <c r="H383" i="82"/>
  <c r="P311" i="82"/>
  <c r="P145" i="82"/>
  <c r="P335" i="82"/>
  <c r="P330" i="82"/>
  <c r="P160" i="82"/>
  <c r="H422" i="82"/>
  <c r="P362" i="82"/>
  <c r="P415" i="82"/>
  <c r="H224" i="82"/>
  <c r="P154" i="82"/>
  <c r="H122" i="82"/>
  <c r="P181" i="82"/>
  <c r="H218" i="82"/>
  <c r="H434" i="82"/>
  <c r="P231" i="82"/>
  <c r="P234" i="82"/>
  <c r="H277" i="82"/>
  <c r="H161" i="82"/>
  <c r="H123" i="82"/>
  <c r="H337" i="82"/>
  <c r="H217" i="82"/>
  <c r="P89" i="82"/>
  <c r="P193" i="82"/>
  <c r="H156" i="82"/>
  <c r="P147" i="82"/>
  <c r="P249" i="82"/>
  <c r="P320" i="82"/>
  <c r="P308" i="82"/>
  <c r="P137" i="82"/>
  <c r="P430" i="82"/>
  <c r="H368" i="82"/>
  <c r="P156" i="82"/>
  <c r="P117" i="82"/>
  <c r="P316" i="82"/>
  <c r="P384" i="82"/>
  <c r="P119" i="82"/>
  <c r="H246" i="82"/>
  <c r="H400" i="82"/>
  <c r="P373" i="82"/>
  <c r="H451" i="82"/>
  <c r="P133" i="82"/>
  <c r="H81" i="82"/>
  <c r="P259" i="82"/>
  <c r="H254" i="82"/>
  <c r="H416" i="82"/>
  <c r="P368" i="82"/>
  <c r="H454" i="82"/>
  <c r="H147" i="82"/>
  <c r="H329" i="82"/>
  <c r="H444" i="82"/>
  <c r="H200" i="82"/>
  <c r="P83" i="82"/>
  <c r="H174" i="82"/>
  <c r="H199" i="82"/>
  <c r="P306" i="82"/>
  <c r="H239" i="82"/>
  <c r="H211" i="82"/>
  <c r="H132" i="82"/>
  <c r="P363" i="82"/>
  <c r="P96" i="82"/>
  <c r="H231" i="82"/>
  <c r="H190" i="82"/>
  <c r="P405" i="82"/>
  <c r="H146" i="82"/>
  <c r="P106" i="82"/>
  <c r="P239" i="82"/>
  <c r="H390" i="82"/>
  <c r="H171" i="82"/>
  <c r="P290" i="82"/>
  <c r="P298" i="82"/>
  <c r="H208" i="82"/>
  <c r="P355" i="82"/>
  <c r="P123" i="82"/>
  <c r="H182" i="82"/>
  <c r="P166" i="82"/>
  <c r="P144" i="82"/>
  <c r="P393" i="82"/>
  <c r="P408" i="82"/>
  <c r="P348" i="82"/>
  <c r="H198" i="82"/>
  <c r="P301" i="82"/>
  <c r="H414" i="82"/>
  <c r="P361" i="82"/>
  <c r="H210" i="82"/>
  <c r="P168" i="82"/>
  <c r="H77" i="82"/>
  <c r="P211" i="82"/>
  <c r="H363" i="82"/>
  <c r="H117" i="82"/>
  <c r="P356" i="82"/>
  <c r="H133" i="82"/>
  <c r="H86" i="82"/>
  <c r="P175" i="82"/>
  <c r="P323" i="82"/>
  <c r="H274" i="82"/>
  <c r="P421" i="82"/>
  <c r="P207" i="82"/>
  <c r="P126" i="82"/>
  <c r="P248" i="82"/>
  <c r="H281" i="82"/>
  <c r="H233" i="82"/>
  <c r="P275" i="82"/>
  <c r="P351" i="82"/>
  <c r="P76" i="82"/>
  <c r="P388" i="82"/>
  <c r="P118" i="82"/>
  <c r="H314" i="82"/>
  <c r="H331" i="82"/>
  <c r="H306" i="82"/>
  <c r="H136" i="82"/>
  <c r="H391" i="82"/>
  <c r="P113" i="82"/>
  <c r="H189" i="82"/>
  <c r="H283" i="82"/>
  <c r="P427" i="82"/>
  <c r="P218" i="82"/>
  <c r="H304" i="82"/>
  <c r="H286" i="82"/>
  <c r="H159" i="82"/>
  <c r="H78" i="82"/>
  <c r="H165" i="82"/>
  <c r="P244" i="82"/>
  <c r="P300" i="82"/>
  <c r="P371" i="82"/>
  <c r="P312" i="82"/>
  <c r="P206" i="82"/>
  <c r="H430" i="82"/>
  <c r="P344" i="82"/>
  <c r="H450" i="82"/>
  <c r="H235" i="82"/>
  <c r="P429" i="82"/>
  <c r="H361" i="82"/>
  <c r="P82" i="82"/>
  <c r="P332" i="82"/>
  <c r="H372" i="82"/>
  <c r="H184" i="82"/>
  <c r="P267" i="82"/>
  <c r="H375" i="82"/>
  <c r="H332" i="82"/>
  <c r="P419" i="82"/>
  <c r="H186" i="82"/>
  <c r="H427" i="82"/>
  <c r="P232" i="82"/>
  <c r="P266" i="82"/>
  <c r="P288" i="82"/>
  <c r="P343" i="82"/>
  <c r="P146" i="82"/>
  <c r="H291" i="82"/>
  <c r="P295" i="82"/>
  <c r="H269" i="82"/>
  <c r="H160" i="82"/>
  <c r="P401" i="82"/>
  <c r="H111" i="82"/>
  <c r="H152" i="82"/>
  <c r="H349" i="82"/>
  <c r="H345" i="82"/>
  <c r="P111" i="82"/>
  <c r="P110" i="82"/>
  <c r="P245" i="82"/>
  <c r="P132" i="82"/>
  <c r="P345" i="82"/>
  <c r="P329" i="82"/>
  <c r="P414" i="82"/>
  <c r="H150" i="82"/>
  <c r="H104" i="82"/>
  <c r="H99" i="82"/>
  <c r="P339" i="82"/>
  <c r="H257" i="82"/>
  <c r="P142" i="82"/>
  <c r="P395" i="82"/>
  <c r="P139" i="82"/>
  <c r="H112" i="82"/>
  <c r="H158" i="82"/>
  <c r="P439" i="82"/>
  <c r="P152" i="82"/>
  <c r="H197" i="82"/>
  <c r="P127" i="82"/>
  <c r="H216" i="82"/>
  <c r="H309" i="82"/>
  <c r="P397" i="82"/>
  <c r="P305" i="82"/>
  <c r="H259" i="82"/>
  <c r="H320" i="82"/>
  <c r="H381" i="82"/>
  <c r="H325" i="82"/>
  <c r="P256" i="82"/>
  <c r="P173" i="82"/>
  <c r="H145" i="82"/>
  <c r="H405" i="82"/>
  <c r="P394" i="82"/>
  <c r="P385" i="82"/>
  <c r="H110" i="82"/>
  <c r="H215" i="82"/>
  <c r="H258" i="82"/>
  <c r="P98" i="82"/>
  <c r="H411" i="82"/>
  <c r="H137" i="82"/>
  <c r="H344" i="82"/>
  <c r="P284" i="82"/>
  <c r="H326" i="82"/>
  <c r="H130" i="82"/>
  <c r="P399" i="82"/>
  <c r="H97" i="82"/>
  <c r="H426" i="82"/>
  <c r="H340" i="82"/>
  <c r="P172" i="82"/>
  <c r="P383" i="82"/>
  <c r="H168" i="82"/>
  <c r="H148" i="82"/>
  <c r="H449" i="82"/>
  <c r="H243" i="82"/>
  <c r="P80" i="82"/>
  <c r="P199" i="82"/>
  <c r="P264" i="82"/>
  <c r="H288" i="82"/>
  <c r="H333" i="82"/>
  <c r="H330" i="82"/>
  <c r="H276" i="82"/>
  <c r="H312" i="82"/>
  <c r="P396" i="82"/>
  <c r="P191" i="82"/>
  <c r="H371" i="82"/>
  <c r="P271" i="82"/>
  <c r="H389" i="82"/>
  <c r="H342" i="82"/>
  <c r="H149" i="82"/>
  <c r="P140" i="82"/>
  <c r="H245" i="82"/>
  <c r="P260" i="82"/>
  <c r="H222" i="82"/>
  <c r="H354" i="82"/>
  <c r="H441" i="82"/>
  <c r="H323" i="82"/>
  <c r="H353" i="82"/>
  <c r="P238" i="82"/>
  <c r="P208" i="82"/>
  <c r="H265" i="82"/>
  <c r="H105" i="82"/>
  <c r="H229" i="82"/>
  <c r="H249" i="82"/>
  <c r="P81" i="82"/>
  <c r="P407" i="82"/>
  <c r="H425" i="82"/>
  <c r="H108" i="82"/>
  <c r="P324" i="82"/>
  <c r="P375" i="82"/>
  <c r="H120" i="82"/>
  <c r="P307" i="82"/>
  <c r="P101" i="82"/>
  <c r="H205" i="82"/>
  <c r="H301" i="82"/>
  <c r="P222" i="82"/>
  <c r="H206" i="82"/>
  <c r="P374" i="82"/>
  <c r="H172" i="82"/>
  <c r="H418" i="82"/>
  <c r="H230" i="82"/>
  <c r="P424" i="82"/>
  <c r="P103" i="82"/>
  <c r="P225" i="82"/>
  <c r="P276" i="82"/>
  <c r="P392" i="82"/>
  <c r="H223" i="82"/>
  <c r="H438" i="82"/>
  <c r="P125" i="82"/>
  <c r="P102" i="82"/>
  <c r="H173" i="82"/>
  <c r="P342" i="82"/>
  <c r="H279" i="82"/>
  <c r="H402" i="82"/>
  <c r="P331" i="82"/>
  <c r="P286" i="82"/>
  <c r="P390" i="82"/>
  <c r="H386" i="82"/>
  <c r="P410" i="82"/>
  <c r="P283" i="82"/>
  <c r="P185" i="82"/>
  <c r="P149" i="82"/>
  <c r="P416" i="82"/>
  <c r="H138" i="82"/>
  <c r="H303" i="82"/>
  <c r="P121" i="82"/>
  <c r="P200" i="82"/>
  <c r="H157" i="82"/>
  <c r="H293" i="82"/>
  <c r="H244" i="82"/>
  <c r="H442" i="82"/>
  <c r="P148" i="82"/>
  <c r="H284" i="82"/>
  <c r="P87" i="82"/>
  <c r="H144" i="82"/>
  <c r="P99" i="82"/>
  <c r="P161" i="82"/>
  <c r="P78" i="82"/>
  <c r="H318" i="82"/>
  <c r="P192" i="82"/>
  <c r="P143" i="82"/>
  <c r="H369" i="82"/>
  <c r="P321" i="82"/>
  <c r="H164" i="82"/>
  <c r="H169" i="82"/>
  <c r="H262" i="82"/>
  <c r="P179" i="82"/>
  <c r="H248" i="82"/>
  <c r="P120" i="82"/>
  <c r="H96" i="82"/>
  <c r="P304" i="82"/>
  <c r="P358" i="82"/>
  <c r="P198" i="82"/>
  <c r="H126" i="82"/>
  <c r="P432" i="82"/>
  <c r="P257" i="82"/>
  <c r="P263" i="82"/>
  <c r="P92" i="82"/>
  <c r="P364" i="82"/>
  <c r="H396" i="82"/>
  <c r="H261" i="82"/>
  <c r="H221" i="82"/>
  <c r="P303" i="82"/>
  <c r="P210" i="82"/>
  <c r="H94" i="82"/>
  <c r="P178" i="82"/>
  <c r="P326" i="82"/>
  <c r="H437" i="82"/>
  <c r="H82" i="82"/>
  <c r="P299" i="82"/>
  <c r="H228" i="82"/>
  <c r="H387" i="82"/>
  <c r="H317" i="82"/>
  <c r="P217" i="82"/>
  <c r="H76" i="82"/>
  <c r="P105" i="82"/>
  <c r="H282" i="82"/>
  <c r="P277" i="82"/>
  <c r="H270" i="82"/>
  <c r="P254" i="82"/>
  <c r="P387" i="82"/>
  <c r="H207" i="82"/>
  <c r="P378" i="82"/>
  <c r="H124" i="82"/>
  <c r="P229" i="82"/>
  <c r="P223" i="82"/>
  <c r="H420" i="82"/>
  <c r="H395" i="82"/>
  <c r="H410" i="82"/>
  <c r="H195" i="82"/>
  <c r="H428" i="82"/>
  <c r="P190" i="82"/>
  <c r="H315" i="82"/>
  <c r="P431" i="82"/>
  <c r="P77" i="82"/>
  <c r="P400" i="82"/>
  <c r="P109" i="82"/>
  <c r="P437" i="82"/>
  <c r="P272" i="82"/>
  <c r="P317" i="82"/>
  <c r="H238" i="82"/>
  <c r="P84" i="82"/>
  <c r="P170" i="82"/>
  <c r="H350" i="82"/>
  <c r="P352" i="82"/>
  <c r="P287" i="82"/>
  <c r="H456" i="82"/>
  <c r="P428" i="82"/>
  <c r="P302" i="82"/>
  <c r="H121" i="82"/>
  <c r="P151" i="82"/>
  <c r="H338" i="82"/>
  <c r="H142" i="82"/>
  <c r="H373" i="82"/>
  <c r="H321" i="82"/>
  <c r="P131" i="82"/>
  <c r="H141" i="82"/>
  <c r="H101" i="82"/>
  <c r="H388" i="82"/>
  <c r="P176" i="82"/>
  <c r="H364" i="82"/>
  <c r="P242" i="82"/>
  <c r="H351" i="82"/>
  <c r="P79" i="82"/>
  <c r="H128" i="82"/>
  <c r="H287" i="82"/>
  <c r="H255" i="82"/>
  <c r="H343" i="82"/>
  <c r="P124" i="82"/>
  <c r="H192" i="82"/>
  <c r="H188" i="82"/>
  <c r="P202" i="82"/>
  <c r="H295" i="82"/>
  <c r="P177" i="82"/>
  <c r="H313" i="82"/>
  <c r="H234" i="82"/>
  <c r="H118" i="82"/>
  <c r="H380" i="82"/>
  <c r="H404" i="82"/>
  <c r="P220" i="82"/>
  <c r="P366" i="82"/>
  <c r="H297" i="82"/>
  <c r="P322" i="82"/>
  <c r="P389" i="82"/>
  <c r="H167" i="82"/>
  <c r="P184" i="82"/>
  <c r="P235" i="82"/>
  <c r="H227" i="82"/>
  <c r="H398" i="82"/>
  <c r="H280" i="82"/>
  <c r="H193" i="82"/>
  <c r="P167" i="82"/>
  <c r="P434" i="82"/>
  <c r="P216" i="82"/>
  <c r="P372" i="82"/>
  <c r="H423" i="82"/>
  <c r="P255" i="82"/>
  <c r="P413" i="82"/>
  <c r="H204" i="82"/>
  <c r="P380" i="82"/>
  <c r="H180" i="82"/>
  <c r="P236" i="82"/>
  <c r="P293" i="82"/>
  <c r="H406" i="82"/>
  <c r="P262" i="82"/>
  <c r="P420" i="82"/>
  <c r="P411" i="82"/>
  <c r="H170" i="82"/>
  <c r="P258" i="82"/>
  <c r="P104" i="82"/>
  <c r="H443" i="82"/>
  <c r="P158" i="82"/>
  <c r="H348" i="82"/>
  <c r="P91" i="82"/>
  <c r="H109" i="82"/>
  <c r="H266" i="82"/>
  <c r="H240" i="82"/>
  <c r="H397" i="82"/>
  <c r="P112" i="82"/>
  <c r="H436" i="82"/>
  <c r="H268" i="82"/>
  <c r="H103" i="82"/>
  <c r="P418" i="82"/>
  <c r="P309" i="82"/>
  <c r="P122" i="82"/>
  <c r="H102" i="82"/>
  <c r="H201" i="82"/>
  <c r="H360" i="82"/>
  <c r="H366" i="82"/>
  <c r="P294" i="82"/>
  <c r="P107" i="82"/>
  <c r="H346" i="82"/>
  <c r="P130" i="82"/>
  <c r="P159" i="82"/>
  <c r="H134" i="82"/>
  <c r="P359" i="82"/>
  <c r="H296" i="82"/>
  <c r="H267" i="82"/>
  <c r="H194" i="82"/>
  <c r="H155" i="82"/>
  <c r="H419" i="82"/>
  <c r="P203" i="82"/>
  <c r="P354" i="82"/>
  <c r="H394" i="82"/>
  <c r="H408" i="82"/>
  <c r="P353" i="82"/>
  <c r="H213" i="82"/>
  <c r="P337" i="82"/>
  <c r="P163" i="82"/>
  <c r="H300" i="82"/>
  <c r="H119" i="82"/>
  <c r="H370" i="82"/>
  <c r="H253" i="82"/>
  <c r="P150" i="82"/>
  <c r="H385" i="82"/>
  <c r="P214" i="82"/>
  <c r="H447" i="82"/>
  <c r="P240" i="82"/>
  <c r="P398" i="82"/>
  <c r="H415" i="82"/>
  <c r="H140" i="82"/>
  <c r="P333" i="82"/>
  <c r="P205" i="82"/>
  <c r="P129" i="82"/>
  <c r="H435" i="82"/>
  <c r="P250" i="82"/>
  <c r="P403" i="82"/>
  <c r="H367" i="82"/>
  <c r="P441" i="82"/>
  <c r="H319" i="82"/>
  <c r="P215" i="82"/>
  <c r="P346" i="82"/>
  <c r="P213" i="82"/>
  <c r="P376" i="82"/>
  <c r="H362" i="82"/>
  <c r="P357" i="82"/>
  <c r="H166" i="82"/>
  <c r="H341" i="82"/>
  <c r="H328" i="82"/>
  <c r="P282" i="82"/>
  <c r="P90" i="82"/>
  <c r="H448" i="82"/>
  <c r="H299" i="82"/>
  <c r="H308" i="82"/>
  <c r="P165" i="82"/>
  <c r="P340" i="82"/>
  <c r="H212" i="82"/>
  <c r="H335" i="82"/>
  <c r="H336" i="82"/>
  <c r="H382" i="82"/>
  <c r="P100" i="82"/>
  <c r="P280" i="82"/>
  <c r="P85" i="82"/>
  <c r="H85" i="82"/>
  <c r="H88" i="82"/>
  <c r="P135" i="82"/>
  <c r="P187" i="82"/>
  <c r="H417" i="82"/>
  <c r="H275" i="82"/>
  <c r="H378" i="82"/>
  <c r="H294" i="82"/>
  <c r="H209" i="82"/>
  <c r="H129" i="82"/>
  <c r="P186" i="82"/>
  <c r="H95" i="82"/>
  <c r="H440" i="82"/>
  <c r="P438" i="82"/>
  <c r="H455" i="82"/>
  <c r="H339" i="82"/>
  <c r="P115" i="82"/>
  <c r="H90" i="82"/>
  <c r="H251" i="82"/>
  <c r="H202" i="82"/>
  <c r="H305" i="82"/>
  <c r="P136" i="82"/>
  <c r="H452" i="82"/>
  <c r="P310" i="82"/>
  <c r="P315" i="82"/>
  <c r="P228" i="82"/>
  <c r="P386" i="82"/>
  <c r="P153" i="82"/>
  <c r="H260" i="82"/>
  <c r="P273" i="82"/>
  <c r="P155" i="82"/>
  <c r="P226" i="82"/>
  <c r="P334" i="82"/>
  <c r="P233" i="82"/>
  <c r="P391" i="82"/>
  <c r="P138" i="82"/>
  <c r="H310" i="82"/>
  <c r="P297" i="82"/>
  <c r="P196" i="82"/>
  <c r="P252" i="82"/>
  <c r="H89" i="82"/>
  <c r="H307" i="82"/>
  <c r="H181" i="82"/>
  <c r="H256" i="82"/>
  <c r="H334" i="82"/>
  <c r="H379" i="82"/>
  <c r="H177" i="82"/>
  <c r="P270" i="82"/>
  <c r="P336" i="82"/>
  <c r="H80" i="82"/>
  <c r="H183" i="82"/>
  <c r="H139" i="82"/>
  <c r="P243" i="82"/>
  <c r="H403" i="82"/>
  <c r="H424" i="82"/>
  <c r="H324" i="82"/>
  <c r="H237" i="82"/>
  <c r="H432" i="82"/>
  <c r="H162" i="82"/>
  <c r="H196" i="82"/>
  <c r="P265" i="82"/>
  <c r="P423" i="82"/>
  <c r="H127" i="82"/>
  <c r="H355" i="82"/>
  <c r="P108" i="82"/>
  <c r="P347" i="82"/>
  <c r="P318" i="82"/>
  <c r="P319" i="82"/>
  <c r="H125" i="82"/>
  <c r="H365" i="82"/>
  <c r="H264" i="82"/>
  <c r="H191" i="82"/>
  <c r="P169" i="82"/>
  <c r="P436" i="82"/>
  <c r="H347" i="82"/>
  <c r="P128" i="82"/>
  <c r="H407" i="82"/>
  <c r="P194" i="82"/>
  <c r="H358" i="82"/>
  <c r="P369" i="82"/>
  <c r="H163" i="82"/>
  <c r="H327" i="82"/>
  <c r="H311" i="82"/>
  <c r="H393" i="82"/>
  <c r="P114" i="82"/>
  <c r="P338" i="82"/>
  <c r="P367" i="82"/>
  <c r="P274" i="82"/>
  <c r="P204" i="82"/>
  <c r="P365" i="82"/>
  <c r="H292" i="82"/>
  <c r="H84" i="82"/>
  <c r="P189" i="82"/>
  <c r="P349" i="82"/>
  <c r="P94" i="82"/>
  <c r="P291" i="82"/>
  <c r="P219" i="82"/>
  <c r="P377" i="82"/>
  <c r="P86" i="82"/>
  <c r="H131" i="82"/>
  <c r="P237" i="82"/>
  <c r="P402" i="82"/>
  <c r="P221" i="82"/>
  <c r="P134" i="82"/>
  <c r="P261" i="82"/>
  <c r="H322" i="82"/>
  <c r="H359" i="82"/>
  <c r="H429" i="82"/>
  <c r="H154" i="82"/>
  <c r="H252" i="82"/>
  <c r="P253" i="82"/>
  <c r="P409" i="82"/>
  <c r="H92" i="82"/>
  <c r="H439" i="82"/>
  <c r="H446" i="82"/>
  <c r="P209" i="82"/>
  <c r="H273" i="82"/>
  <c r="P201" i="82"/>
  <c r="H87" i="82"/>
  <c r="H113" i="82"/>
  <c r="P325" i="82"/>
  <c r="H226" i="82"/>
  <c r="H271" i="82"/>
  <c r="P251" i="82"/>
  <c r="P404" i="82"/>
  <c r="H219" i="82"/>
  <c r="H399" i="82"/>
  <c r="P425" i="82"/>
  <c r="P97" i="82"/>
  <c r="P268" i="82"/>
  <c r="P247" i="82"/>
  <c r="H225" i="82"/>
  <c r="H116" i="82"/>
  <c r="H356" i="82"/>
  <c r="H250" i="82"/>
  <c r="P157" i="82"/>
  <c r="H100" i="82"/>
  <c r="H143" i="82"/>
  <c r="P370" i="82"/>
  <c r="P227" i="82"/>
  <c r="P412" i="82"/>
  <c r="H114" i="82"/>
  <c r="H232" i="82"/>
  <c r="H298" i="82"/>
  <c r="H377" i="82"/>
  <c r="H433" i="82"/>
  <c r="P289" i="82"/>
  <c r="P95" i="82"/>
  <c r="H409" i="82"/>
  <c r="P281" i="82"/>
  <c r="H413" i="82"/>
  <c r="P180" i="82"/>
  <c r="P350" i="82"/>
  <c r="H79" i="82"/>
  <c r="H220" i="82"/>
  <c r="P93" i="82"/>
  <c r="P279" i="82"/>
  <c r="P313" i="82"/>
  <c r="H401" i="82"/>
  <c r="P195" i="82"/>
  <c r="P360" i="82"/>
  <c r="H302" i="82"/>
  <c r="H91" i="82"/>
  <c r="P141" i="82"/>
  <c r="H93" i="82"/>
  <c r="H83" i="82"/>
  <c r="P328" i="82"/>
  <c r="H214" i="82"/>
  <c r="H290" i="82"/>
  <c r="P241" i="82"/>
  <c r="P197" i="82"/>
  <c r="P426" i="82"/>
  <c r="P182" i="82"/>
  <c r="H431" i="82"/>
  <c r="P116" i="82"/>
  <c r="P422" i="82"/>
  <c r="H453" i="82"/>
  <c r="P246" i="82"/>
  <c r="H179" i="82"/>
  <c r="H151" i="82"/>
  <c r="H106" i="82"/>
  <c r="P174" i="82"/>
  <c r="H384" i="82"/>
  <c r="H236" i="82"/>
  <c r="H285" i="82"/>
  <c r="H374" i="82"/>
  <c r="P212" i="82"/>
  <c r="P341" i="82"/>
  <c r="P379" i="82"/>
  <c r="H241" i="82"/>
  <c r="P162" i="82"/>
  <c r="H247" i="82"/>
  <c r="H187" i="82"/>
  <c r="P88" i="82"/>
  <c r="H357" i="82"/>
  <c r="P269" i="82"/>
  <c r="P278" i="82"/>
  <c r="H352" i="82"/>
  <c r="P188" i="82"/>
  <c r="P183" i="82"/>
  <c r="P230" i="82"/>
  <c r="H376" i="82"/>
  <c r="P164" i="82"/>
  <c r="P440" i="82"/>
  <c r="H278" i="82"/>
  <c r="H272" i="82"/>
  <c r="P327" i="82"/>
  <c r="P314" i="82"/>
  <c r="P433" i="82"/>
  <c r="H445" i="82"/>
  <c r="H392" i="82"/>
  <c r="B80" i="82"/>
  <c r="J79" i="82"/>
  <c r="L50" i="82"/>
  <c r="AM71" i="60"/>
  <c r="J52" i="61"/>
  <c r="Z36" i="78"/>
  <c r="Z38" i="78" s="1"/>
  <c r="R68" i="115"/>
  <c r="AB36" i="78"/>
  <c r="AB38" i="78" s="1"/>
  <c r="T36" i="78"/>
  <c r="T38" i="78" s="1"/>
  <c r="N77" i="65"/>
  <c r="AI77" i="60"/>
  <c r="N77" i="115"/>
  <c r="N78" i="115" s="1"/>
  <c r="AU76" i="60"/>
  <c r="AU73" i="60" s="1"/>
  <c r="AC19" i="72"/>
  <c r="AZ49" i="64"/>
  <c r="AN51" i="64"/>
  <c r="AN52" i="64"/>
  <c r="AZ42" i="64"/>
  <c r="AN44" i="64"/>
  <c r="AN45" i="64"/>
  <c r="BC18" i="64"/>
  <c r="AQ21" i="64"/>
  <c r="AQ20" i="64"/>
  <c r="F99" i="115"/>
  <c r="U28" i="44"/>
  <c r="C76" i="115" s="1"/>
  <c r="C70" i="115"/>
  <c r="F140" i="44" s="1"/>
  <c r="E28" i="108"/>
  <c r="K28" i="108" s="1"/>
  <c r="L28" i="108" s="1"/>
  <c r="Z28" i="44"/>
  <c r="AA28" i="44" s="1"/>
  <c r="O32" i="91"/>
  <c r="O34" i="91" s="1"/>
  <c r="P34" i="91" s="1"/>
  <c r="Q20" i="56"/>
  <c r="R20" i="55"/>
  <c r="BK33" i="64"/>
  <c r="BK32" i="64"/>
  <c r="BW30" i="64"/>
  <c r="R44" i="56"/>
  <c r="R27" i="20"/>
  <c r="Q34" i="20"/>
  <c r="BB50" i="64"/>
  <c r="AP52" i="64"/>
  <c r="AP51" i="64"/>
  <c r="AV32" i="64"/>
  <c r="AV33" i="64"/>
  <c r="BH30" i="64"/>
  <c r="G69" i="44"/>
  <c r="AZ49" i="60"/>
  <c r="BL13" i="64"/>
  <c r="AZ15" i="64"/>
  <c r="AZ14" i="64"/>
  <c r="BH36" i="64"/>
  <c r="AV39" i="64"/>
  <c r="AV38" i="64"/>
  <c r="AM54" i="64"/>
  <c r="AM98" i="60" s="1"/>
  <c r="AA19" i="72"/>
  <c r="D99" i="65"/>
  <c r="AF73" i="60"/>
  <c r="AG54" i="64"/>
  <c r="AG98" i="60" s="1"/>
  <c r="L99" i="65" s="1"/>
  <c r="BA42" i="64"/>
  <c r="AO45" i="64"/>
  <c r="AO44" i="64"/>
  <c r="AZ39" i="64"/>
  <c r="BL36" i="64"/>
  <c r="AZ38" i="64"/>
  <c r="CF19" i="64"/>
  <c r="BT20" i="64"/>
  <c r="BT21" i="64"/>
  <c r="BB12" i="64"/>
  <c r="AP14" i="64"/>
  <c r="AP15" i="64"/>
  <c r="AR51" i="64"/>
  <c r="BD49" i="64"/>
  <c r="AR52" i="64"/>
  <c r="BH43" i="64"/>
  <c r="AV45" i="64"/>
  <c r="AV44" i="64"/>
  <c r="BT24" i="64"/>
  <c r="BH26" i="64"/>
  <c r="BH27" i="64"/>
  <c r="Q57" i="56"/>
  <c r="S146" i="117" s="1"/>
  <c r="T146" i="117" s="1"/>
  <c r="R57" i="20"/>
  <c r="U38" i="78"/>
  <c r="AE54" i="64"/>
  <c r="AE98" i="60" s="1"/>
  <c r="AG19" i="72" s="1"/>
  <c r="AT14" i="64"/>
  <c r="AT15" i="64"/>
  <c r="AT54" i="64" s="1"/>
  <c r="AT98" i="60" s="1"/>
  <c r="BF12" i="64"/>
  <c r="BA24" i="64"/>
  <c r="AO26" i="64"/>
  <c r="AO27" i="64"/>
  <c r="BM49" i="60"/>
  <c r="N32" i="115"/>
  <c r="N32" i="65"/>
  <c r="AU31" i="60"/>
  <c r="O32" i="115"/>
  <c r="AV31" i="60"/>
  <c r="O32" i="65"/>
  <c r="BD26" i="64"/>
  <c r="BP24" i="64"/>
  <c r="BD27" i="64"/>
  <c r="AS20" i="64"/>
  <c r="AS21" i="64"/>
  <c r="BE18" i="64"/>
  <c r="Q29" i="55"/>
  <c r="Q22" i="56"/>
  <c r="CC48" i="60"/>
  <c r="AJ54" i="64"/>
  <c r="AJ98" i="60" s="1"/>
  <c r="BN43" i="64"/>
  <c r="BB44" i="64"/>
  <c r="BB45" i="64"/>
  <c r="AY57" i="60"/>
  <c r="BK50" i="64"/>
  <c r="AY51" i="64"/>
  <c r="AY52" i="64"/>
  <c r="AW38" i="64"/>
  <c r="AW39" i="64"/>
  <c r="BI36" i="64"/>
  <c r="BF21" i="64"/>
  <c r="BF20" i="64"/>
  <c r="BR18" i="64"/>
  <c r="BO49" i="60"/>
  <c r="AW32" i="64"/>
  <c r="BI30" i="64"/>
  <c r="AW33" i="64"/>
  <c r="N57" i="65"/>
  <c r="P57" i="65" s="1"/>
  <c r="AU56" i="60"/>
  <c r="BG56" i="60" s="1"/>
  <c r="BS56" i="60" s="1"/>
  <c r="CE56" i="60" s="1"/>
  <c r="N57" i="115"/>
  <c r="P57" i="115" s="1"/>
  <c r="AJ13" i="78"/>
  <c r="AW57" i="60"/>
  <c r="AG73" i="60"/>
  <c r="AW26" i="64"/>
  <c r="BI24" i="64"/>
  <c r="AW27" i="64"/>
  <c r="BV49" i="60"/>
  <c r="AK54" i="64"/>
  <c r="AK98" i="60" s="1"/>
  <c r="BJ12" i="64"/>
  <c r="AX14" i="64"/>
  <c r="AX15" i="64"/>
  <c r="AX54" i="64" s="1"/>
  <c r="AX98" i="60" s="1"/>
  <c r="Q36" i="20"/>
  <c r="BX43" i="64"/>
  <c r="CC49" i="60"/>
  <c r="C69" i="65"/>
  <c r="E139" i="44" s="1"/>
  <c r="AD54" i="64"/>
  <c r="AD98" i="60" s="1"/>
  <c r="AF19" i="72" s="1"/>
  <c r="G94" i="65"/>
  <c r="G96" i="65" s="1"/>
  <c r="AN93" i="60"/>
  <c r="G94" i="115"/>
  <c r="G96" i="115" s="1"/>
  <c r="AB95" i="60"/>
  <c r="AC37" i="78" s="1"/>
  <c r="BR42" i="64"/>
  <c r="BF45" i="64"/>
  <c r="BF44" i="64"/>
  <c r="BU49" i="60"/>
  <c r="AZ25" i="64"/>
  <c r="AN27" i="64"/>
  <c r="AN26" i="64"/>
  <c r="F73" i="60"/>
  <c r="D73" i="60"/>
  <c r="W73" i="60"/>
  <c r="T73" i="60"/>
  <c r="AL73" i="60"/>
  <c r="AI73" i="60"/>
  <c r="Q73" i="60"/>
  <c r="Z73" i="60"/>
  <c r="E73" i="60"/>
  <c r="M73" i="60"/>
  <c r="S73" i="60"/>
  <c r="L73" i="60"/>
  <c r="Y73" i="60"/>
  <c r="G73" i="60"/>
  <c r="X73" i="60"/>
  <c r="J73" i="60"/>
  <c r="U73" i="60"/>
  <c r="O73" i="60"/>
  <c r="AH73" i="60"/>
  <c r="H73" i="60"/>
  <c r="AC73" i="60"/>
  <c r="K73" i="60"/>
  <c r="N73" i="60"/>
  <c r="V73" i="60"/>
  <c r="AA73" i="60"/>
  <c r="I73" i="60"/>
  <c r="R73" i="60"/>
  <c r="BI18" i="64"/>
  <c r="AW21" i="64"/>
  <c r="AW20" i="64"/>
  <c r="BH49" i="64"/>
  <c r="AV51" i="64"/>
  <c r="AV52" i="64"/>
  <c r="BS49" i="60"/>
  <c r="CD49" i="60"/>
  <c r="BI13" i="64"/>
  <c r="AW15" i="64"/>
  <c r="AW14" i="64"/>
  <c r="BW49" i="60"/>
  <c r="AV49" i="60"/>
  <c r="O50" i="115"/>
  <c r="O50" i="65"/>
  <c r="BG26" i="64"/>
  <c r="BS24" i="64"/>
  <c r="BG27" i="64"/>
  <c r="BQ42" i="64"/>
  <c r="BE44" i="64"/>
  <c r="BE45" i="64"/>
  <c r="AU54" i="64"/>
  <c r="AU98" i="60" s="1"/>
  <c r="R48" i="56"/>
  <c r="Q37" i="20"/>
  <c r="R49" i="56"/>
  <c r="CI49" i="64"/>
  <c r="BV24" i="64"/>
  <c r="BJ27" i="64"/>
  <c r="BJ26" i="64"/>
  <c r="BV42" i="64"/>
  <c r="BJ44" i="64"/>
  <c r="BJ45" i="64"/>
  <c r="CD38" i="64"/>
  <c r="CD39" i="64"/>
  <c r="CA12" i="64"/>
  <c r="BO14" i="64"/>
  <c r="BO15" i="64"/>
  <c r="BD38" i="64"/>
  <c r="BP36" i="64"/>
  <c r="BD39" i="64"/>
  <c r="BX24" i="64"/>
  <c r="BC43" i="64"/>
  <c r="AQ45" i="64"/>
  <c r="AQ44" i="64"/>
  <c r="AS15" i="64"/>
  <c r="AS14" i="64"/>
  <c r="BE12" i="64"/>
  <c r="BA33" i="64"/>
  <c r="BM31" i="64"/>
  <c r="BA32" i="64"/>
  <c r="CC52" i="64"/>
  <c r="CC51" i="64"/>
  <c r="BY36" i="64"/>
  <c r="BM38" i="64"/>
  <c r="BM39" i="64"/>
  <c r="BQ30" i="64"/>
  <c r="BE32" i="64"/>
  <c r="BE33" i="64"/>
  <c r="BD42" i="64"/>
  <c r="AR44" i="64"/>
  <c r="AR45" i="64"/>
  <c r="CH30" i="64"/>
  <c r="BV33" i="64"/>
  <c r="BV32" i="64"/>
  <c r="BO49" i="64"/>
  <c r="BC51" i="64"/>
  <c r="BC52" i="64"/>
  <c r="BS14" i="64"/>
  <c r="BS15" i="64"/>
  <c r="CE12" i="64"/>
  <c r="BV49" i="64"/>
  <c r="BJ52" i="64"/>
  <c r="BJ51" i="64"/>
  <c r="BM19" i="64"/>
  <c r="BA21" i="64"/>
  <c r="BA20" i="64"/>
  <c r="CD33" i="64"/>
  <c r="CD32" i="64"/>
  <c r="CE36" i="64"/>
  <c r="BS38" i="64"/>
  <c r="BS39" i="64"/>
  <c r="AZ18" i="64"/>
  <c r="AN20" i="64"/>
  <c r="AN21" i="64"/>
  <c r="BV19" i="64"/>
  <c r="BJ20" i="64"/>
  <c r="BJ21" i="64"/>
  <c r="AY26" i="64"/>
  <c r="BK24" i="64"/>
  <c r="AY27" i="64"/>
  <c r="CA24" i="64"/>
  <c r="BG51" i="64"/>
  <c r="BG52" i="64"/>
  <c r="BS49" i="64"/>
  <c r="BC38" i="64"/>
  <c r="BO37" i="64"/>
  <c r="BC39" i="64"/>
  <c r="BY25" i="64"/>
  <c r="BA50" i="64"/>
  <c r="AO51" i="64"/>
  <c r="AO52" i="64"/>
  <c r="CC36" i="64"/>
  <c r="BQ38" i="64"/>
  <c r="BQ39" i="64"/>
  <c r="AC54" i="64"/>
  <c r="AC98" i="60" s="1"/>
  <c r="BE26" i="64"/>
  <c r="BE27" i="64"/>
  <c r="BQ24" i="64"/>
  <c r="CI13" i="64"/>
  <c r="BW15" i="64"/>
  <c r="BW14" i="64"/>
  <c r="CD52" i="64"/>
  <c r="CD51" i="64"/>
  <c r="CF13" i="64"/>
  <c r="BT15" i="64"/>
  <c r="BT14" i="64"/>
  <c r="CE31" i="64"/>
  <c r="BS32" i="64"/>
  <c r="BS33" i="64"/>
  <c r="CA42" i="64"/>
  <c r="BB36" i="64"/>
  <c r="AP38" i="64"/>
  <c r="AP39" i="64"/>
  <c r="BW45" i="64"/>
  <c r="BW44" i="64"/>
  <c r="CI42" i="64"/>
  <c r="BC30" i="64"/>
  <c r="AQ32" i="64"/>
  <c r="AQ33" i="64"/>
  <c r="BA13" i="64"/>
  <c r="AO15" i="64"/>
  <c r="AO14" i="64"/>
  <c r="BB31" i="64"/>
  <c r="AP32" i="64"/>
  <c r="AP33" i="64"/>
  <c r="BS42" i="64"/>
  <c r="BG45" i="64"/>
  <c r="BG44" i="64"/>
  <c r="CB31" i="64"/>
  <c r="BP32" i="64"/>
  <c r="BP33" i="64"/>
  <c r="CH37" i="64"/>
  <c r="BV38" i="64"/>
  <c r="BV39" i="64"/>
  <c r="BZ13" i="64"/>
  <c r="BD15" i="64"/>
  <c r="BP13" i="64"/>
  <c r="BD14" i="64"/>
  <c r="BC25" i="64"/>
  <c r="AQ26" i="64"/>
  <c r="AQ27" i="64"/>
  <c r="CI37" i="64"/>
  <c r="BW38" i="64"/>
  <c r="BW39" i="64"/>
  <c r="BK19" i="64"/>
  <c r="AY21" i="64"/>
  <c r="AY20" i="64"/>
  <c r="BI45" i="64"/>
  <c r="BI44" i="64"/>
  <c r="BU43" i="64"/>
  <c r="D74" i="65"/>
  <c r="D78" i="65"/>
  <c r="O58" i="115"/>
  <c r="O58" i="65"/>
  <c r="AV57" i="60"/>
  <c r="D78" i="115"/>
  <c r="BJ76" i="60"/>
  <c r="AX77" i="60"/>
  <c r="AX73" i="60"/>
  <c r="AW76" i="60"/>
  <c r="AK77" i="60"/>
  <c r="AK73" i="60"/>
  <c r="F74" i="65"/>
  <c r="F78" i="65"/>
  <c r="CH74" i="60"/>
  <c r="F78" i="115"/>
  <c r="BE30" i="60"/>
  <c r="AY76" i="60"/>
  <c r="AM77" i="60"/>
  <c r="AM73" i="60"/>
  <c r="BW31" i="60"/>
  <c r="R36" i="78"/>
  <c r="R38" i="78" s="1"/>
  <c r="X38" i="78"/>
  <c r="BH30" i="60"/>
  <c r="AT86" i="60"/>
  <c r="BF84" i="60"/>
  <c r="K94" i="65"/>
  <c r="K96" i="65" s="1"/>
  <c r="K94" i="115"/>
  <c r="K96" i="115" s="1"/>
  <c r="AR93" i="60"/>
  <c r="AF95" i="60"/>
  <c r="AG37" i="78" s="1"/>
  <c r="AX95" i="60"/>
  <c r="BJ93" i="60"/>
  <c r="BK68" i="60"/>
  <c r="AY71" i="60"/>
  <c r="AV74" i="60"/>
  <c r="O75" i="115"/>
  <c r="O75" i="65"/>
  <c r="AJ77" i="60"/>
  <c r="AK36" i="78" s="1"/>
  <c r="AJ73" i="60"/>
  <c r="AU93" i="60"/>
  <c r="AI95" i="60"/>
  <c r="AJ37" i="78" s="1"/>
  <c r="N94" i="115"/>
  <c r="N96" i="115" s="1"/>
  <c r="N94" i="65"/>
  <c r="N96" i="65" s="1"/>
  <c r="AS86" i="60"/>
  <c r="BE84" i="60"/>
  <c r="E87" i="115"/>
  <c r="BS84" i="60"/>
  <c r="BG86" i="60"/>
  <c r="AA36" i="78"/>
  <c r="AA38" i="78" s="1"/>
  <c r="L87" i="115"/>
  <c r="M58" i="65"/>
  <c r="M58" i="115"/>
  <c r="AT57" i="60"/>
  <c r="D72" i="115"/>
  <c r="BV57" i="60"/>
  <c r="BW74" i="60"/>
  <c r="AL86" i="60"/>
  <c r="AX84" i="60"/>
  <c r="D72" i="65"/>
  <c r="AX31" i="60"/>
  <c r="AW68" i="60"/>
  <c r="AK71" i="60"/>
  <c r="S36" i="78"/>
  <c r="S38" i="78" s="1"/>
  <c r="L94" i="115"/>
  <c r="L96" i="115" s="1"/>
  <c r="AG95" i="60"/>
  <c r="AH37" i="78" s="1"/>
  <c r="AS93" i="60"/>
  <c r="L94" i="65"/>
  <c r="L96" i="65" s="1"/>
  <c r="CD31" i="60"/>
  <c r="AW31" i="60"/>
  <c r="N58" i="115"/>
  <c r="N58" i="65"/>
  <c r="AU57" i="60"/>
  <c r="AJ95" i="60"/>
  <c r="AK37" i="78" s="1"/>
  <c r="O94" i="115"/>
  <c r="O96" i="115" s="1"/>
  <c r="AV93" i="60"/>
  <c r="O94" i="65"/>
  <c r="O96" i="65" s="1"/>
  <c r="CC57" i="60"/>
  <c r="H58" i="115"/>
  <c r="H58" i="65"/>
  <c r="AO57" i="60"/>
  <c r="N70" i="115"/>
  <c r="P70" i="115" s="1"/>
  <c r="AO62" i="44" s="1"/>
  <c r="AU69" i="60"/>
  <c r="N70" i="65"/>
  <c r="P70" i="65" s="1"/>
  <c r="AM62" i="44" s="1"/>
  <c r="AI71" i="60"/>
  <c r="I75" i="115"/>
  <c r="AP74" i="60"/>
  <c r="I75" i="65"/>
  <c r="AD77" i="60"/>
  <c r="AD73" i="60"/>
  <c r="H78" i="115"/>
  <c r="BN57" i="60"/>
  <c r="I94" i="65"/>
  <c r="I96" i="65" s="1"/>
  <c r="I94" i="115"/>
  <c r="I96" i="115" s="1"/>
  <c r="AP93" i="60"/>
  <c r="AD95" i="60"/>
  <c r="AE37" i="78" s="1"/>
  <c r="AR31" i="60"/>
  <c r="K32" i="115"/>
  <c r="K32" i="65"/>
  <c r="H71" i="115"/>
  <c r="H71" i="65"/>
  <c r="AO70" i="60"/>
  <c r="AC71" i="60"/>
  <c r="AD36" i="78" s="1"/>
  <c r="BA74" i="60"/>
  <c r="AO73" i="60"/>
  <c r="AO77" i="60"/>
  <c r="BP56" i="60"/>
  <c r="BO31" i="60"/>
  <c r="AO93" i="60"/>
  <c r="AC95" i="60"/>
  <c r="AD37" i="78" s="1"/>
  <c r="H94" i="65"/>
  <c r="H94" i="115"/>
  <c r="K58" i="115"/>
  <c r="AR57" i="60"/>
  <c r="K58" i="65"/>
  <c r="BC30" i="60"/>
  <c r="BC57" i="60"/>
  <c r="AP84" i="60"/>
  <c r="I85" i="65"/>
  <c r="I85" i="115"/>
  <c r="AD86" i="60"/>
  <c r="CA74" i="60"/>
  <c r="J76" i="115"/>
  <c r="AQ75" i="60"/>
  <c r="J76" i="65"/>
  <c r="AE77" i="60"/>
  <c r="AE73" i="60"/>
  <c r="BO68" i="60"/>
  <c r="BC71" i="60"/>
  <c r="BM31" i="60"/>
  <c r="J94" i="115"/>
  <c r="J96" i="115" s="1"/>
  <c r="J94" i="65"/>
  <c r="J96" i="65" s="1"/>
  <c r="AQ93" i="60"/>
  <c r="AE95" i="60"/>
  <c r="AF37" i="78" s="1"/>
  <c r="I32" i="65"/>
  <c r="I32" i="115"/>
  <c r="AP31" i="60"/>
  <c r="J85" i="115"/>
  <c r="AE86" i="60"/>
  <c r="AQ84" i="60"/>
  <c r="J85" i="65"/>
  <c r="AR84" i="60"/>
  <c r="K85" i="115"/>
  <c r="K85" i="65"/>
  <c r="AF86" i="60"/>
  <c r="K69" i="115"/>
  <c r="K69" i="65"/>
  <c r="AR68" i="60"/>
  <c r="AF71" i="60"/>
  <c r="BB30" i="60"/>
  <c r="H78" i="65"/>
  <c r="H74" i="65"/>
  <c r="G31" i="65"/>
  <c r="AC13" i="78"/>
  <c r="G15" i="81"/>
  <c r="G31" i="115"/>
  <c r="AN30" i="60"/>
  <c r="BL57" i="60"/>
  <c r="G32" i="115"/>
  <c r="G32" i="65"/>
  <c r="AN31" i="60"/>
  <c r="BL56" i="60"/>
  <c r="G75" i="65"/>
  <c r="G75" i="115"/>
  <c r="AN74" i="60"/>
  <c r="AB77" i="60"/>
  <c r="AB73" i="60"/>
  <c r="M78" i="115"/>
  <c r="BE69" i="60"/>
  <c r="AS71" i="60"/>
  <c r="BA84" i="60"/>
  <c r="AO86" i="60"/>
  <c r="AW95" i="60"/>
  <c r="BI93" i="60"/>
  <c r="BF76" i="60"/>
  <c r="AT77" i="60"/>
  <c r="AT73" i="60"/>
  <c r="L72" i="115"/>
  <c r="BE76" i="60"/>
  <c r="AS77" i="60"/>
  <c r="AS73" i="60"/>
  <c r="BW93" i="60"/>
  <c r="BK95" i="60"/>
  <c r="H87" i="115"/>
  <c r="L72" i="65"/>
  <c r="BZ85" i="60"/>
  <c r="BM68" i="60"/>
  <c r="L78" i="65"/>
  <c r="L74" i="65"/>
  <c r="BJ71" i="60"/>
  <c r="BV68" i="60"/>
  <c r="G86" i="65"/>
  <c r="G86" i="115"/>
  <c r="AN85" i="60"/>
  <c r="AB86" i="60"/>
  <c r="L78" i="115"/>
  <c r="CE70" i="60"/>
  <c r="BY76" i="60"/>
  <c r="O36" i="78"/>
  <c r="C38" i="78"/>
  <c r="O38" i="78" s="1"/>
  <c r="O72" i="115"/>
  <c r="BF69" i="60"/>
  <c r="AT71" i="60"/>
  <c r="BT76" i="60"/>
  <c r="CB70" i="60"/>
  <c r="I72" i="65"/>
  <c r="H31" i="91"/>
  <c r="M31" i="91" s="1"/>
  <c r="P31" i="91" s="1"/>
  <c r="BH68" i="60"/>
  <c r="AV71" i="60"/>
  <c r="BW65" i="60"/>
  <c r="BU70" i="60"/>
  <c r="P36" i="78"/>
  <c r="P38" i="78" s="1"/>
  <c r="BT84" i="60"/>
  <c r="BH86" i="60"/>
  <c r="BB68" i="60"/>
  <c r="AP71" i="60"/>
  <c r="O72" i="65"/>
  <c r="CD68" i="60"/>
  <c r="G69" i="115"/>
  <c r="G69" i="65"/>
  <c r="J49" i="61" s="1"/>
  <c r="AN68" i="60"/>
  <c r="AB71" i="60"/>
  <c r="BY92" i="60"/>
  <c r="I72" i="115"/>
  <c r="F48" i="61"/>
  <c r="BI84" i="60"/>
  <c r="AW86" i="60"/>
  <c r="M78" i="65"/>
  <c r="M74" i="65"/>
  <c r="AH36" i="78"/>
  <c r="N36" i="80"/>
  <c r="M110" i="80"/>
  <c r="M112" i="80" s="1"/>
  <c r="M114" i="80" s="1"/>
  <c r="K14" i="80"/>
  <c r="O18" i="80"/>
  <c r="G14" i="80"/>
  <c r="N20" i="80"/>
  <c r="Q38" i="80"/>
  <c r="L58" i="80"/>
  <c r="L66" i="80"/>
  <c r="M24" i="80"/>
  <c r="Q28" i="55"/>
  <c r="Q21" i="56"/>
  <c r="R75" i="56"/>
  <c r="R47" i="56"/>
  <c r="R15" i="78"/>
  <c r="S21" i="60"/>
  <c r="S57" i="113"/>
  <c r="T46" i="113"/>
  <c r="T74" i="113"/>
  <c r="T47" i="113"/>
  <c r="T39" i="60"/>
  <c r="U73" i="113"/>
  <c r="T84" i="113"/>
  <c r="T19" i="113"/>
  <c r="S30" i="113"/>
  <c r="T12" i="60" s="1"/>
  <c r="T11" i="78" s="1"/>
  <c r="T20" i="113"/>
  <c r="F131" i="44" l="1"/>
  <c r="H131" i="44" s="1"/>
  <c r="F127" i="44"/>
  <c r="H127" i="44" s="1"/>
  <c r="I127" i="44" s="1"/>
  <c r="J127" i="44" s="1"/>
  <c r="O25" i="91"/>
  <c r="E14" i="108"/>
  <c r="H14" i="108" s="1"/>
  <c r="I14" i="108" s="1"/>
  <c r="C65" i="115"/>
  <c r="F122" i="44" s="1"/>
  <c r="I122" i="44" s="1"/>
  <c r="J122" i="44" s="1"/>
  <c r="AH17" i="44"/>
  <c r="O26" i="91"/>
  <c r="E15" i="108"/>
  <c r="H15" i="108" s="1"/>
  <c r="I15" i="108" s="1"/>
  <c r="C81" i="115"/>
  <c r="F121" i="44" s="1"/>
  <c r="I121" i="44" s="1"/>
  <c r="J121" i="44" s="1"/>
  <c r="F120" i="44"/>
  <c r="I120" i="44" s="1"/>
  <c r="J120" i="44" s="1"/>
  <c r="C57" i="115"/>
  <c r="Q57" i="115" s="1"/>
  <c r="AP49" i="44" s="1"/>
  <c r="Q49" i="115"/>
  <c r="AP41" i="44" s="1"/>
  <c r="R66" i="65"/>
  <c r="AO49" i="44"/>
  <c r="Q57" i="65"/>
  <c r="C47" i="44" s="1"/>
  <c r="AM49" i="44"/>
  <c r="C31" i="115"/>
  <c r="C40" i="115" s="1"/>
  <c r="F119" i="44"/>
  <c r="I119" i="44" s="1"/>
  <c r="J119" i="44" s="1"/>
  <c r="W34" i="65"/>
  <c r="W25" i="65"/>
  <c r="W43" i="65"/>
  <c r="H12" i="108"/>
  <c r="I12" i="108" s="1"/>
  <c r="R67" i="115"/>
  <c r="R66" i="115"/>
  <c r="R67" i="65"/>
  <c r="AR73" i="60"/>
  <c r="AR77" i="60"/>
  <c r="Q23" i="56"/>
  <c r="R23" i="56" s="1"/>
  <c r="Q30" i="55"/>
  <c r="R30" i="55" s="1"/>
  <c r="K74" i="65"/>
  <c r="CD93" i="60"/>
  <c r="CD95" i="60" s="1"/>
  <c r="BK84" i="60"/>
  <c r="BW84" i="60" s="1"/>
  <c r="CE18" i="64"/>
  <c r="CE20" i="64" s="1"/>
  <c r="BS20" i="64"/>
  <c r="R34" i="20"/>
  <c r="Q27" i="55"/>
  <c r="R27" i="55" s="1"/>
  <c r="M99" i="65"/>
  <c r="AJ19" i="72"/>
  <c r="C26" i="83"/>
  <c r="AS9" i="72" s="1"/>
  <c r="G101" i="113"/>
  <c r="H10" i="113"/>
  <c r="G9" i="56"/>
  <c r="G9" i="20"/>
  <c r="G9" i="55"/>
  <c r="H8" i="60"/>
  <c r="BA30" i="60"/>
  <c r="BM30" i="60" s="1"/>
  <c r="P15" i="81"/>
  <c r="C34" i="115"/>
  <c r="Q35" i="20"/>
  <c r="R35" i="20" s="1"/>
  <c r="Q70" i="115"/>
  <c r="AP62" i="44" s="1"/>
  <c r="K99" i="115"/>
  <c r="AH19" i="72"/>
  <c r="BI51" i="64"/>
  <c r="BI52" i="64"/>
  <c r="BU49" i="64"/>
  <c r="L99" i="115"/>
  <c r="BZ27" i="64"/>
  <c r="J99" i="115"/>
  <c r="I99" i="115"/>
  <c r="AR54" i="64"/>
  <c r="AR98" i="60" s="1"/>
  <c r="H459" i="82"/>
  <c r="J54" i="61"/>
  <c r="P32" i="91"/>
  <c r="P459" i="82"/>
  <c r="N50" i="82"/>
  <c r="K51" i="82"/>
  <c r="B15" i="82"/>
  <c r="J80" i="82"/>
  <c r="B81" i="82"/>
  <c r="AD38" i="78"/>
  <c r="N78" i="65"/>
  <c r="N74" i="65"/>
  <c r="D46" i="61"/>
  <c r="F46" i="61" s="1"/>
  <c r="AK38" i="78"/>
  <c r="P77" i="65"/>
  <c r="H140" i="44"/>
  <c r="I140" i="44" s="1"/>
  <c r="J140" i="44" s="1"/>
  <c r="AJ36" i="78"/>
  <c r="AJ38" i="78" s="1"/>
  <c r="AI19" i="72"/>
  <c r="BL49" i="64"/>
  <c r="AZ51" i="64"/>
  <c r="AZ52" i="64"/>
  <c r="BW32" i="64"/>
  <c r="BW33" i="64"/>
  <c r="CI30" i="64"/>
  <c r="BL42" i="64"/>
  <c r="AZ44" i="64"/>
  <c r="AZ45" i="64"/>
  <c r="U29" i="44"/>
  <c r="C77" i="115" s="1"/>
  <c r="K74" i="115" s="1"/>
  <c r="O33" i="91"/>
  <c r="E29" i="108"/>
  <c r="K29" i="108" s="1"/>
  <c r="L29" i="108" s="1"/>
  <c r="Z29" i="44"/>
  <c r="AA29" i="44" s="1"/>
  <c r="C71" i="115"/>
  <c r="F141" i="44" s="1"/>
  <c r="BG76" i="60"/>
  <c r="AU77" i="60"/>
  <c r="R20" i="56"/>
  <c r="Q27" i="56"/>
  <c r="S132" i="117" s="1"/>
  <c r="T132" i="117" s="1"/>
  <c r="BO18" i="64"/>
  <c r="BC20" i="64"/>
  <c r="BC21" i="64"/>
  <c r="P77" i="115"/>
  <c r="AO69" i="44" s="1"/>
  <c r="G72" i="44"/>
  <c r="L71" i="44" s="1"/>
  <c r="AH38" i="78"/>
  <c r="AE36" i="78"/>
  <c r="AE38" i="78" s="1"/>
  <c r="BX13" i="64"/>
  <c r="BL14" i="64"/>
  <c r="BL15" i="64"/>
  <c r="BT36" i="64"/>
  <c r="BH39" i="64"/>
  <c r="BH38" i="64"/>
  <c r="BH32" i="64"/>
  <c r="BT30" i="64"/>
  <c r="BH33" i="64"/>
  <c r="BG54" i="64"/>
  <c r="BG98" i="60" s="1"/>
  <c r="G139" i="44"/>
  <c r="I139" i="44" s="1"/>
  <c r="J139" i="44" s="1"/>
  <c r="I125" i="44"/>
  <c r="J125" i="44" s="1"/>
  <c r="BL49" i="60"/>
  <c r="R109" i="44"/>
  <c r="BN50" i="64"/>
  <c r="BB52" i="64"/>
  <c r="BB51" i="64"/>
  <c r="I99" i="65"/>
  <c r="AW54" i="64"/>
  <c r="AW98" i="60" s="1"/>
  <c r="AQ54" i="64"/>
  <c r="AQ98" i="60" s="1"/>
  <c r="CC42" i="64"/>
  <c r="BQ44" i="64"/>
  <c r="BQ45" i="64"/>
  <c r="CE24" i="64"/>
  <c r="BS26" i="64"/>
  <c r="BS27" i="64"/>
  <c r="BH49" i="60"/>
  <c r="BK57" i="60"/>
  <c r="BZ43" i="64"/>
  <c r="BN45" i="64"/>
  <c r="BN44" i="64"/>
  <c r="BH31" i="60"/>
  <c r="BG31" i="60"/>
  <c r="BM24" i="64"/>
  <c r="BA26" i="64"/>
  <c r="BA27" i="64"/>
  <c r="R50" i="56"/>
  <c r="J99" i="65"/>
  <c r="CI49" i="60"/>
  <c r="BI14" i="64"/>
  <c r="BU13" i="64"/>
  <c r="BI15" i="64"/>
  <c r="CE49" i="60"/>
  <c r="BU18" i="64"/>
  <c r="BI20" i="64"/>
  <c r="BI21" i="64"/>
  <c r="BL25" i="64"/>
  <c r="AZ27" i="64"/>
  <c r="AZ26" i="64"/>
  <c r="BI27" i="64"/>
  <c r="BI26" i="64"/>
  <c r="BU24" i="64"/>
  <c r="BI57" i="60"/>
  <c r="BI33" i="64"/>
  <c r="BU30" i="64"/>
  <c r="BI32" i="64"/>
  <c r="CA49" i="60"/>
  <c r="BY49" i="60"/>
  <c r="BR12" i="64"/>
  <c r="BF15" i="64"/>
  <c r="BF54" i="64" s="1"/>
  <c r="BF98" i="60" s="1"/>
  <c r="BF14" i="64"/>
  <c r="CF24" i="64"/>
  <c r="BT27" i="64"/>
  <c r="BT26" i="64"/>
  <c r="AV54" i="64"/>
  <c r="AV98" i="60" s="1"/>
  <c r="BN12" i="64"/>
  <c r="BB14" i="64"/>
  <c r="BB15" i="64"/>
  <c r="BX36" i="64"/>
  <c r="BL39" i="64"/>
  <c r="BL38" i="64"/>
  <c r="BM42" i="64"/>
  <c r="BA45" i="64"/>
  <c r="BA44" i="64"/>
  <c r="AZ93" i="60"/>
  <c r="AN95" i="60"/>
  <c r="E49" i="61"/>
  <c r="BU36" i="64"/>
  <c r="BI38" i="64"/>
  <c r="BI39" i="64"/>
  <c r="O99" i="115"/>
  <c r="O99" i="65"/>
  <c r="AL19" i="72"/>
  <c r="Q29" i="56"/>
  <c r="S134" i="117" s="1"/>
  <c r="T134" i="117" s="1"/>
  <c r="R22" i="56"/>
  <c r="R57" i="56"/>
  <c r="R60" i="56" s="1"/>
  <c r="BH44" i="64"/>
  <c r="BT43" i="64"/>
  <c r="BH45" i="64"/>
  <c r="BD52" i="64"/>
  <c r="BD51" i="64"/>
  <c r="BP49" i="64"/>
  <c r="AL13" i="78"/>
  <c r="P50" i="65"/>
  <c r="AM42" i="44" s="1"/>
  <c r="BH51" i="64"/>
  <c r="BH52" i="64"/>
  <c r="BT49" i="64"/>
  <c r="AS54" i="64"/>
  <c r="AS98" i="60" s="1"/>
  <c r="CG49" i="60"/>
  <c r="BR44" i="64"/>
  <c r="CD42" i="64"/>
  <c r="BR45" i="64"/>
  <c r="BJ15" i="64"/>
  <c r="BJ54" i="64" s="1"/>
  <c r="BJ98" i="60" s="1"/>
  <c r="BJ14" i="64"/>
  <c r="BV12" i="64"/>
  <c r="CH49" i="60"/>
  <c r="BR21" i="64"/>
  <c r="CD18" i="64"/>
  <c r="BR20" i="64"/>
  <c r="BW50" i="64"/>
  <c r="BK51" i="64"/>
  <c r="BK52" i="64"/>
  <c r="BE21" i="64"/>
  <c r="BQ18" i="64"/>
  <c r="BE20" i="64"/>
  <c r="BP27" i="64"/>
  <c r="BP26" i="64"/>
  <c r="CB24" i="64"/>
  <c r="CF20" i="64"/>
  <c r="CF21" i="64"/>
  <c r="AY54" i="64"/>
  <c r="AY98" i="60" s="1"/>
  <c r="AO54" i="64"/>
  <c r="AO98" i="60" s="1"/>
  <c r="CI38" i="64"/>
  <c r="CI39" i="64"/>
  <c r="BU44" i="64"/>
  <c r="CG43" i="64"/>
  <c r="BU45" i="64"/>
  <c r="CH38" i="64"/>
  <c r="CH39" i="64"/>
  <c r="AZ21" i="64"/>
  <c r="BL18" i="64"/>
  <c r="AZ20" i="64"/>
  <c r="BQ12" i="64"/>
  <c r="BE15" i="64"/>
  <c r="BE14" i="64"/>
  <c r="CH42" i="64"/>
  <c r="BV45" i="64"/>
  <c r="BV44" i="64"/>
  <c r="BY38" i="64"/>
  <c r="BY39" i="64"/>
  <c r="CI45" i="64"/>
  <c r="CI44" i="64"/>
  <c r="BY19" i="64"/>
  <c r="BM21" i="64"/>
  <c r="BM20" i="64"/>
  <c r="CH32" i="64"/>
  <c r="CH33" i="64"/>
  <c r="CA14" i="64"/>
  <c r="CA15" i="64"/>
  <c r="BO25" i="64"/>
  <c r="BC27" i="64"/>
  <c r="BC26" i="64"/>
  <c r="CA37" i="64"/>
  <c r="BO39" i="64"/>
  <c r="BO38" i="64"/>
  <c r="CE39" i="64"/>
  <c r="CE38" i="64"/>
  <c r="CH24" i="64"/>
  <c r="BV27" i="64"/>
  <c r="BV26" i="64"/>
  <c r="BN36" i="64"/>
  <c r="BB38" i="64"/>
  <c r="BB39" i="64"/>
  <c r="CB32" i="64"/>
  <c r="CB33" i="64"/>
  <c r="H99" i="115"/>
  <c r="H99" i="65"/>
  <c r="AE19" i="72"/>
  <c r="CE32" i="64"/>
  <c r="CE33" i="64"/>
  <c r="CB13" i="64"/>
  <c r="BP15" i="64"/>
  <c r="BP14" i="64"/>
  <c r="CF15" i="64"/>
  <c r="CF14" i="64"/>
  <c r="BW24" i="64"/>
  <c r="BK27" i="64"/>
  <c r="BK26" i="64"/>
  <c r="CH49" i="64"/>
  <c r="BV52" i="64"/>
  <c r="BV51" i="64"/>
  <c r="CC30" i="64"/>
  <c r="BQ32" i="64"/>
  <c r="BQ33" i="64"/>
  <c r="BO43" i="64"/>
  <c r="BC45" i="64"/>
  <c r="BC44" i="64"/>
  <c r="CE14" i="64"/>
  <c r="CE15" i="64"/>
  <c r="CE42" i="64"/>
  <c r="BS45" i="64"/>
  <c r="BS44" i="64"/>
  <c r="BA14" i="64"/>
  <c r="BM13" i="64"/>
  <c r="BA15" i="64"/>
  <c r="CC38" i="64"/>
  <c r="CC39" i="64"/>
  <c r="BS51" i="64"/>
  <c r="BS52" i="64"/>
  <c r="CE49" i="64"/>
  <c r="CH19" i="64"/>
  <c r="BV21" i="64"/>
  <c r="BV20" i="64"/>
  <c r="BW19" i="64"/>
  <c r="BK20" i="64"/>
  <c r="BK21" i="64"/>
  <c r="AP54" i="64"/>
  <c r="AP98" i="60" s="1"/>
  <c r="BN31" i="64"/>
  <c r="BB32" i="64"/>
  <c r="BB33" i="64"/>
  <c r="BO30" i="64"/>
  <c r="BC33" i="64"/>
  <c r="BC32" i="64"/>
  <c r="CI15" i="64"/>
  <c r="CI14" i="64"/>
  <c r="BM50" i="64"/>
  <c r="BA52" i="64"/>
  <c r="BA51" i="64"/>
  <c r="BD44" i="64"/>
  <c r="BP42" i="64"/>
  <c r="BD45" i="64"/>
  <c r="BM33" i="64"/>
  <c r="BY31" i="64"/>
  <c r="BM32" i="64"/>
  <c r="BP38" i="64"/>
  <c r="BP39" i="64"/>
  <c r="CB36" i="64"/>
  <c r="BQ27" i="64"/>
  <c r="BQ26" i="64"/>
  <c r="CC24" i="64"/>
  <c r="CA49" i="64"/>
  <c r="BO52" i="64"/>
  <c r="BO51" i="64"/>
  <c r="AW77" i="60"/>
  <c r="AW73" i="60"/>
  <c r="BI76" i="60"/>
  <c r="BH57" i="60"/>
  <c r="CI31" i="60"/>
  <c r="J47" i="61"/>
  <c r="BK76" i="60"/>
  <c r="AY73" i="60"/>
  <c r="AY77" i="60"/>
  <c r="BV76" i="60"/>
  <c r="BJ73" i="60"/>
  <c r="BJ77" i="60"/>
  <c r="BQ30" i="60"/>
  <c r="CI74" i="60"/>
  <c r="BF57" i="60"/>
  <c r="BK71" i="60"/>
  <c r="BW68" i="60"/>
  <c r="BJ95" i="60"/>
  <c r="BV93" i="60"/>
  <c r="N72" i="65"/>
  <c r="BG57" i="60"/>
  <c r="BG69" i="60"/>
  <c r="AU71" i="60"/>
  <c r="BI31" i="60"/>
  <c r="CH57" i="60"/>
  <c r="BS86" i="60"/>
  <c r="CE84" i="60"/>
  <c r="CE86" i="60" s="1"/>
  <c r="AU95" i="60"/>
  <c r="BG93" i="60"/>
  <c r="N72" i="115"/>
  <c r="AS95" i="60"/>
  <c r="BE93" i="60"/>
  <c r="BJ31" i="60"/>
  <c r="AR95" i="60"/>
  <c r="BD93" i="60"/>
  <c r="BA57" i="60"/>
  <c r="AV95" i="60"/>
  <c r="BH93" i="60"/>
  <c r="BI68" i="60"/>
  <c r="AW71" i="60"/>
  <c r="AG36" i="78"/>
  <c r="AG38" i="78" s="1"/>
  <c r="AX86" i="60"/>
  <c r="BJ84" i="60"/>
  <c r="O74" i="65"/>
  <c r="O78" i="65"/>
  <c r="BF86" i="60"/>
  <c r="BR84" i="60"/>
  <c r="O78" i="115"/>
  <c r="BE86" i="60"/>
  <c r="BQ84" i="60"/>
  <c r="BH74" i="60"/>
  <c r="AV73" i="60"/>
  <c r="AV77" i="60"/>
  <c r="BT30" i="60"/>
  <c r="BD68" i="60"/>
  <c r="AR71" i="60"/>
  <c r="K72" i="65"/>
  <c r="BB31" i="60"/>
  <c r="CA68" i="60"/>
  <c r="CA71" i="60" s="1"/>
  <c r="BO71" i="60"/>
  <c r="H96" i="115"/>
  <c r="P94" i="115"/>
  <c r="AO86" i="44" s="1"/>
  <c r="CB56" i="60"/>
  <c r="K72" i="115"/>
  <c r="H96" i="65"/>
  <c r="P94" i="65"/>
  <c r="AM86" i="44" s="1"/>
  <c r="BM74" i="60"/>
  <c r="BA77" i="60"/>
  <c r="BA73" i="60"/>
  <c r="BZ57" i="60"/>
  <c r="BO57" i="60"/>
  <c r="AL37" i="78"/>
  <c r="AM37" i="78" s="1"/>
  <c r="AN37" i="78" s="1"/>
  <c r="J74" i="65"/>
  <c r="J78" i="65"/>
  <c r="P76" i="65"/>
  <c r="AO95" i="60"/>
  <c r="BA93" i="60"/>
  <c r="K87" i="65"/>
  <c r="BC75" i="60"/>
  <c r="AQ77" i="60"/>
  <c r="AQ73" i="60"/>
  <c r="BO30" i="60"/>
  <c r="BN30" i="60"/>
  <c r="K87" i="115"/>
  <c r="J87" i="65"/>
  <c r="AQ95" i="60"/>
  <c r="BC93" i="60"/>
  <c r="J78" i="115"/>
  <c r="P76" i="115"/>
  <c r="BD84" i="60"/>
  <c r="AR86" i="60"/>
  <c r="BC84" i="60"/>
  <c r="AQ86" i="60"/>
  <c r="BA70" i="60"/>
  <c r="AO71" i="60"/>
  <c r="BD31" i="60"/>
  <c r="I78" i="65"/>
  <c r="I74" i="65"/>
  <c r="AF36" i="78"/>
  <c r="AF38" i="78" s="1"/>
  <c r="I87" i="115"/>
  <c r="P58" i="65"/>
  <c r="AM50" i="44" s="1"/>
  <c r="P71" i="65"/>
  <c r="H72" i="65"/>
  <c r="BB74" i="60"/>
  <c r="AP77" i="60"/>
  <c r="AP73" i="60"/>
  <c r="J87" i="115"/>
  <c r="I87" i="65"/>
  <c r="P85" i="65"/>
  <c r="AM77" i="44" s="1"/>
  <c r="BD57" i="60"/>
  <c r="P71" i="115"/>
  <c r="AO63" i="44" s="1"/>
  <c r="H72" i="115"/>
  <c r="AP95" i="60"/>
  <c r="BB93" i="60"/>
  <c r="I78" i="115"/>
  <c r="BY31" i="60"/>
  <c r="BB84" i="60"/>
  <c r="AP86" i="60"/>
  <c r="CA31" i="60"/>
  <c r="BX56" i="60"/>
  <c r="BX57" i="60"/>
  <c r="AZ31" i="60"/>
  <c r="G78" i="65"/>
  <c r="P75" i="65"/>
  <c r="G74" i="65"/>
  <c r="J29" i="61"/>
  <c r="P32" i="65"/>
  <c r="AM24" i="44" s="1"/>
  <c r="AZ74" i="60"/>
  <c r="AN77" i="60"/>
  <c r="AN73" i="60"/>
  <c r="P32" i="115"/>
  <c r="AO24" i="44" s="1"/>
  <c r="AZ30" i="60"/>
  <c r="G78" i="115"/>
  <c r="P75" i="115"/>
  <c r="P31" i="115"/>
  <c r="J28" i="61"/>
  <c r="P31" i="65"/>
  <c r="AM23" i="44" s="1"/>
  <c r="G72" i="115"/>
  <c r="P69" i="115"/>
  <c r="AZ68" i="60"/>
  <c r="AN71" i="60"/>
  <c r="BV71" i="60"/>
  <c r="CH68" i="60"/>
  <c r="BM84" i="60"/>
  <c r="BA86" i="60"/>
  <c r="BN68" i="60"/>
  <c r="BB71" i="60"/>
  <c r="Q70" i="65"/>
  <c r="D50" i="61"/>
  <c r="F50" i="61" s="1"/>
  <c r="CI65" i="60"/>
  <c r="BQ69" i="60"/>
  <c r="BE71" i="60"/>
  <c r="BR76" i="60"/>
  <c r="BF77" i="60"/>
  <c r="BF73" i="60"/>
  <c r="BI95" i="60"/>
  <c r="BU93" i="60"/>
  <c r="BY68" i="60"/>
  <c r="CI93" i="60"/>
  <c r="CI95" i="60" s="1"/>
  <c r="BW95" i="60"/>
  <c r="BT86" i="60"/>
  <c r="CF84" i="60"/>
  <c r="CG70" i="60"/>
  <c r="CF76" i="60"/>
  <c r="AZ85" i="60"/>
  <c r="AN86" i="60"/>
  <c r="BP76" i="60"/>
  <c r="BD77" i="60"/>
  <c r="BD73" i="60"/>
  <c r="BR69" i="60"/>
  <c r="BF71" i="60"/>
  <c r="BT68" i="60"/>
  <c r="BH71" i="60"/>
  <c r="BU84" i="60"/>
  <c r="BI86" i="60"/>
  <c r="G87" i="115"/>
  <c r="BE77" i="60"/>
  <c r="BQ76" i="60"/>
  <c r="BE73" i="60"/>
  <c r="G72" i="65"/>
  <c r="P69" i="65"/>
  <c r="AM61" i="44" s="1"/>
  <c r="AC36" i="78"/>
  <c r="G87" i="65"/>
  <c r="P86" i="65"/>
  <c r="AM78" i="44" s="1"/>
  <c r="O36" i="80"/>
  <c r="N110" i="80"/>
  <c r="N112" i="80" s="1"/>
  <c r="N114" i="80" s="1"/>
  <c r="N21" i="80"/>
  <c r="N60" i="80" s="1"/>
  <c r="I14" i="80"/>
  <c r="F14" i="80"/>
  <c r="P18" i="80"/>
  <c r="H14" i="80"/>
  <c r="O20" i="80"/>
  <c r="O21" i="80" s="1"/>
  <c r="O60" i="80" s="1"/>
  <c r="J14" i="80"/>
  <c r="M58" i="80"/>
  <c r="N24" i="80"/>
  <c r="M66" i="80"/>
  <c r="R38" i="80"/>
  <c r="R21" i="56"/>
  <c r="Q28" i="56"/>
  <c r="S133" i="117" s="1"/>
  <c r="T133" i="117" s="1"/>
  <c r="U47" i="113"/>
  <c r="S12" i="78"/>
  <c r="S15" i="78" s="1"/>
  <c r="U74" i="113"/>
  <c r="U39" i="60"/>
  <c r="U14" i="78" s="1"/>
  <c r="U46" i="113"/>
  <c r="T57" i="113"/>
  <c r="U84" i="113"/>
  <c r="V73" i="113"/>
  <c r="T21" i="60"/>
  <c r="T12" i="78" s="1"/>
  <c r="T14" i="78"/>
  <c r="T30" i="113"/>
  <c r="U12" i="60" s="1"/>
  <c r="U19" i="113"/>
  <c r="U20" i="113"/>
  <c r="AN49" i="44" l="1"/>
  <c r="D47" i="44"/>
  <c r="E47" i="44" s="1"/>
  <c r="Q77" i="65"/>
  <c r="AN69" i="44" s="1"/>
  <c r="AM69" i="44"/>
  <c r="Q31" i="115"/>
  <c r="AP23" i="44" s="1"/>
  <c r="AO23" i="44"/>
  <c r="Q76" i="115"/>
  <c r="AP68" i="44" s="1"/>
  <c r="AO68" i="44"/>
  <c r="Q75" i="65"/>
  <c r="R75" i="65" s="1"/>
  <c r="AM67" i="44"/>
  <c r="Q75" i="115"/>
  <c r="AP67" i="44" s="1"/>
  <c r="AO67" i="44"/>
  <c r="Q76" i="65"/>
  <c r="AM68" i="44"/>
  <c r="BK86" i="60"/>
  <c r="Q69" i="115"/>
  <c r="AP61" i="44" s="1"/>
  <c r="AO61" i="44"/>
  <c r="Q71" i="65"/>
  <c r="R71" i="65" s="1"/>
  <c r="AM63" i="44"/>
  <c r="R70" i="65"/>
  <c r="AN62" i="44"/>
  <c r="Q30" i="56"/>
  <c r="S135" i="117" s="1"/>
  <c r="T135" i="117" s="1"/>
  <c r="CE21" i="64"/>
  <c r="P96" i="115"/>
  <c r="AO88" i="44" s="1"/>
  <c r="S38" i="80"/>
  <c r="H8" i="64"/>
  <c r="X9" i="20"/>
  <c r="J6" i="117"/>
  <c r="H101" i="113"/>
  <c r="I8" i="60"/>
  <c r="I8" i="64" s="1"/>
  <c r="H9" i="20"/>
  <c r="H9" i="56"/>
  <c r="H9" i="55"/>
  <c r="I10" i="113"/>
  <c r="H461" i="82"/>
  <c r="C43" i="115"/>
  <c r="H74" i="115"/>
  <c r="Q77" i="115"/>
  <c r="J74" i="115"/>
  <c r="D74" i="115"/>
  <c r="I74" i="115"/>
  <c r="O74" i="115"/>
  <c r="BU51" i="64"/>
  <c r="BU52" i="64"/>
  <c r="CG49" i="64"/>
  <c r="F74" i="115"/>
  <c r="G74" i="115"/>
  <c r="N74" i="115"/>
  <c r="E74" i="115"/>
  <c r="B82" i="82"/>
  <c r="J81" i="82"/>
  <c r="L51" i="82"/>
  <c r="M51" i="82"/>
  <c r="BX49" i="64"/>
  <c r="BL51" i="64"/>
  <c r="BL52" i="64"/>
  <c r="O35" i="91"/>
  <c r="P35" i="91" s="1"/>
  <c r="P33" i="91"/>
  <c r="Q71" i="115"/>
  <c r="BG77" i="60"/>
  <c r="BS76" i="60"/>
  <c r="BG73" i="60"/>
  <c r="CI33" i="64"/>
  <c r="CI32" i="64"/>
  <c r="CA18" i="64"/>
  <c r="BO20" i="64"/>
  <c r="BO21" i="64"/>
  <c r="Q34" i="56"/>
  <c r="R34" i="56" s="1"/>
  <c r="R27" i="56"/>
  <c r="BX42" i="64"/>
  <c r="BL44" i="64"/>
  <c r="BL45" i="64"/>
  <c r="P78" i="65"/>
  <c r="AM70" i="44" s="1"/>
  <c r="H141" i="44"/>
  <c r="I141" i="44" s="1"/>
  <c r="J141" i="44" s="1"/>
  <c r="L74" i="115"/>
  <c r="R70" i="115"/>
  <c r="M74" i="115"/>
  <c r="BX49" i="60"/>
  <c r="BT33" i="64"/>
  <c r="CF30" i="64"/>
  <c r="BT32" i="64"/>
  <c r="BX14" i="64"/>
  <c r="BX15" i="64"/>
  <c r="BZ50" i="64"/>
  <c r="BN51" i="64"/>
  <c r="BN52" i="64"/>
  <c r="AO37" i="78"/>
  <c r="CF36" i="64"/>
  <c r="BT38" i="64"/>
  <c r="BT39" i="64"/>
  <c r="BK54" i="64"/>
  <c r="BK98" i="60" s="1"/>
  <c r="BD54" i="64"/>
  <c r="BD98" i="60" s="1"/>
  <c r="BE54" i="64"/>
  <c r="BE98" i="60" s="1"/>
  <c r="BI54" i="64"/>
  <c r="BI98" i="60" s="1"/>
  <c r="P74" i="65"/>
  <c r="AM66" i="44" s="1"/>
  <c r="BT51" i="64"/>
  <c r="BT52" i="64"/>
  <c r="CF49" i="64"/>
  <c r="R29" i="56"/>
  <c r="Q36" i="56"/>
  <c r="R36" i="56" s="1"/>
  <c r="AZ95" i="60"/>
  <c r="BL93" i="60"/>
  <c r="BR15" i="64"/>
  <c r="BR54" i="64" s="1"/>
  <c r="BR98" i="60" s="1"/>
  <c r="CD12" i="64"/>
  <c r="BR14" i="64"/>
  <c r="BU26" i="64"/>
  <c r="BU27" i="64"/>
  <c r="CG24" i="64"/>
  <c r="CG18" i="64"/>
  <c r="BU21" i="64"/>
  <c r="BU20" i="64"/>
  <c r="BY24" i="64"/>
  <c r="BM26" i="64"/>
  <c r="BM27" i="64"/>
  <c r="BW57" i="60"/>
  <c r="CC44" i="64"/>
  <c r="CC45" i="64"/>
  <c r="P72" i="65"/>
  <c r="CB26" i="64"/>
  <c r="CB27" i="64"/>
  <c r="CC18" i="64"/>
  <c r="BQ21" i="64"/>
  <c r="BQ20" i="64"/>
  <c r="CI50" i="64"/>
  <c r="BW52" i="64"/>
  <c r="BW51" i="64"/>
  <c r="Q50" i="65"/>
  <c r="AN42" i="44" s="1"/>
  <c r="BH54" i="64"/>
  <c r="BH98" i="60" s="1"/>
  <c r="BZ12" i="64"/>
  <c r="BN14" i="64"/>
  <c r="BN15" i="64"/>
  <c r="CF27" i="64"/>
  <c r="CF26" i="64"/>
  <c r="BX25" i="64"/>
  <c r="BL26" i="64"/>
  <c r="BL27" i="64"/>
  <c r="BT31" i="60"/>
  <c r="R24" i="56"/>
  <c r="BS54" i="64"/>
  <c r="BS98" i="60" s="1"/>
  <c r="CD44" i="64"/>
  <c r="CD45" i="64"/>
  <c r="CB49" i="64"/>
  <c r="BP51" i="64"/>
  <c r="BP52" i="64"/>
  <c r="BT45" i="64"/>
  <c r="CF43" i="64"/>
  <c r="BT44" i="64"/>
  <c r="BX38" i="64"/>
  <c r="BX39" i="64"/>
  <c r="CE27" i="64"/>
  <c r="CE26" i="64"/>
  <c r="CD21" i="64"/>
  <c r="CD20" i="64"/>
  <c r="CH12" i="64"/>
  <c r="BV14" i="64"/>
  <c r="BV15" i="64"/>
  <c r="BV54" i="64" s="1"/>
  <c r="BV98" i="60" s="1"/>
  <c r="BU39" i="64"/>
  <c r="CG36" i="64"/>
  <c r="BU38" i="64"/>
  <c r="BY42" i="64"/>
  <c r="BM44" i="64"/>
  <c r="BM45" i="64"/>
  <c r="BU32" i="64"/>
  <c r="BU33" i="64"/>
  <c r="CG30" i="64"/>
  <c r="BU57" i="60"/>
  <c r="BU14" i="64"/>
  <c r="BU15" i="64"/>
  <c r="CG13" i="64"/>
  <c r="BS31" i="60"/>
  <c r="BZ44" i="64"/>
  <c r="BZ45" i="64"/>
  <c r="BT49" i="60"/>
  <c r="BB54" i="64"/>
  <c r="BB98" i="60" s="1"/>
  <c r="CH52" i="64"/>
  <c r="CH51" i="64"/>
  <c r="CB39" i="64"/>
  <c r="CB38" i="64"/>
  <c r="BZ31" i="64"/>
  <c r="BN33" i="64"/>
  <c r="BN32" i="64"/>
  <c r="CH26" i="64"/>
  <c r="CH27" i="64"/>
  <c r="CI19" i="64"/>
  <c r="BW20" i="64"/>
  <c r="BW21" i="64"/>
  <c r="BA54" i="64"/>
  <c r="BA98" i="60" s="1"/>
  <c r="CH45" i="64"/>
  <c r="CH44" i="64"/>
  <c r="BM52" i="64"/>
  <c r="BY50" i="64"/>
  <c r="BM51" i="64"/>
  <c r="BY13" i="64"/>
  <c r="BM15" i="64"/>
  <c r="BM14" i="64"/>
  <c r="CI24" i="64"/>
  <c r="BW26" i="64"/>
  <c r="BW27" i="64"/>
  <c r="CG44" i="64"/>
  <c r="CG45" i="64"/>
  <c r="CA43" i="64"/>
  <c r="BO45" i="64"/>
  <c r="BO44" i="64"/>
  <c r="BY33" i="64"/>
  <c r="BY32" i="64"/>
  <c r="CH20" i="64"/>
  <c r="CH21" i="64"/>
  <c r="BY21" i="64"/>
  <c r="BY20" i="64"/>
  <c r="CA52" i="64"/>
  <c r="CA51" i="64"/>
  <c r="CC12" i="64"/>
  <c r="BQ15" i="64"/>
  <c r="BQ14" i="64"/>
  <c r="CC26" i="64"/>
  <c r="CC27" i="64"/>
  <c r="CE52" i="64"/>
  <c r="CE51" i="64"/>
  <c r="CE44" i="64"/>
  <c r="CE45" i="64"/>
  <c r="CC33" i="64"/>
  <c r="CC32" i="64"/>
  <c r="CA38" i="64"/>
  <c r="CA39" i="64"/>
  <c r="BP45" i="64"/>
  <c r="CB42" i="64"/>
  <c r="BP44" i="64"/>
  <c r="CB14" i="64"/>
  <c r="CB15" i="64"/>
  <c r="BL21" i="64"/>
  <c r="BL20" i="64"/>
  <c r="BX18" i="64"/>
  <c r="BC54" i="64"/>
  <c r="BC98" i="60" s="1"/>
  <c r="CA30" i="64"/>
  <c r="BO33" i="64"/>
  <c r="BO32" i="64"/>
  <c r="BN38" i="64"/>
  <c r="BN39" i="64"/>
  <c r="BZ36" i="64"/>
  <c r="CA25" i="64"/>
  <c r="BO27" i="64"/>
  <c r="BO26" i="64"/>
  <c r="BT57" i="60"/>
  <c r="CH76" i="60"/>
  <c r="BV77" i="60"/>
  <c r="BV73" i="60"/>
  <c r="BW76" i="60"/>
  <c r="BK77" i="60"/>
  <c r="BK73" i="60"/>
  <c r="BI73" i="60"/>
  <c r="BU76" i="60"/>
  <c r="BI77" i="60"/>
  <c r="CC30" i="60"/>
  <c r="BT74" i="60"/>
  <c r="BH77" i="60"/>
  <c r="BH73" i="60"/>
  <c r="BV31" i="60"/>
  <c r="BR57" i="60"/>
  <c r="BE95" i="60"/>
  <c r="BQ93" i="60"/>
  <c r="CC84" i="60"/>
  <c r="BQ86" i="60"/>
  <c r="BS69" i="60"/>
  <c r="BG71" i="60"/>
  <c r="BJ86" i="60"/>
  <c r="BV84" i="60"/>
  <c r="BU68" i="60"/>
  <c r="BI71" i="60"/>
  <c r="BH95" i="60"/>
  <c r="BT93" i="60"/>
  <c r="BP93" i="60"/>
  <c r="BD95" i="60"/>
  <c r="BS57" i="60"/>
  <c r="BW71" i="60"/>
  <c r="CI68" i="60"/>
  <c r="CI71" i="60" s="1"/>
  <c r="CF30" i="60"/>
  <c r="BS93" i="60"/>
  <c r="BG95" i="60"/>
  <c r="BU31" i="60"/>
  <c r="P72" i="115"/>
  <c r="AO64" i="44" s="1"/>
  <c r="CD84" i="60"/>
  <c r="BR86" i="60"/>
  <c r="BM57" i="60"/>
  <c r="BV95" i="60"/>
  <c r="CH93" i="60"/>
  <c r="CH95" i="60" s="1"/>
  <c r="BN74" i="60"/>
  <c r="BB77" i="60"/>
  <c r="BB73" i="60"/>
  <c r="BP84" i="60"/>
  <c r="BD86" i="60"/>
  <c r="BO75" i="60"/>
  <c r="BC73" i="60"/>
  <c r="BC77" i="60"/>
  <c r="BM70" i="60"/>
  <c r="BA71" i="60"/>
  <c r="BP57" i="60"/>
  <c r="BZ30" i="60"/>
  <c r="BY74" i="60"/>
  <c r="BM77" i="60"/>
  <c r="BM73" i="60"/>
  <c r="D52" i="61"/>
  <c r="F52" i="61" s="1"/>
  <c r="Q85" i="65"/>
  <c r="BY30" i="60"/>
  <c r="CA57" i="60"/>
  <c r="P96" i="65"/>
  <c r="AM88" i="44" s="1"/>
  <c r="F53" i="61"/>
  <c r="BB95" i="60"/>
  <c r="BN93" i="60"/>
  <c r="D47" i="61"/>
  <c r="F47" i="61" s="1"/>
  <c r="Q58" i="65"/>
  <c r="AN50" i="44" s="1"/>
  <c r="P115" i="65"/>
  <c r="BN84" i="60"/>
  <c r="BB86" i="60"/>
  <c r="BO84" i="60"/>
  <c r="BC86" i="60"/>
  <c r="BO93" i="60"/>
  <c r="BC95" i="60"/>
  <c r="CA30" i="60"/>
  <c r="BM93" i="60"/>
  <c r="BA95" i="60"/>
  <c r="BP31" i="60"/>
  <c r="BN31" i="60"/>
  <c r="BP68" i="60"/>
  <c r="BD71" i="60"/>
  <c r="D28" i="61"/>
  <c r="G71" i="44"/>
  <c r="Q31" i="65"/>
  <c r="AN23" i="44" s="1"/>
  <c r="BL31" i="60"/>
  <c r="BL30" i="60"/>
  <c r="S30" i="76"/>
  <c r="S40" i="76" s="1"/>
  <c r="D29" i="61"/>
  <c r="F29" i="61" s="1"/>
  <c r="Q32" i="65"/>
  <c r="AN24" i="44" s="1"/>
  <c r="P78" i="115"/>
  <c r="AO70" i="44" s="1"/>
  <c r="Q32" i="115"/>
  <c r="AP24" i="44" s="1"/>
  <c r="BL74" i="60"/>
  <c r="AZ77" i="60"/>
  <c r="AZ73" i="60"/>
  <c r="CG84" i="60"/>
  <c r="BU86" i="60"/>
  <c r="CF86" i="60"/>
  <c r="D49" i="61"/>
  <c r="Q69" i="65"/>
  <c r="BT71" i="60"/>
  <c r="CF68" i="60"/>
  <c r="BZ68" i="60"/>
  <c r="BN71" i="60"/>
  <c r="CC76" i="60"/>
  <c r="BQ77" i="60"/>
  <c r="BQ73" i="60"/>
  <c r="CD69" i="60"/>
  <c r="CD71" i="60" s="1"/>
  <c r="BR71" i="60"/>
  <c r="BW86" i="60"/>
  <c r="CI84" i="60"/>
  <c r="BL85" i="60"/>
  <c r="AZ86" i="60"/>
  <c r="Q86" i="65"/>
  <c r="AN78" i="44" s="1"/>
  <c r="P87" i="65"/>
  <c r="Q110" i="44" s="1"/>
  <c r="CG93" i="60"/>
  <c r="CG95" i="60" s="1"/>
  <c r="BU95" i="60"/>
  <c r="BY84" i="60"/>
  <c r="BM86" i="60"/>
  <c r="BL68" i="60"/>
  <c r="AZ71" i="60"/>
  <c r="CD76" i="60"/>
  <c r="BR77" i="60"/>
  <c r="BR73" i="60"/>
  <c r="AC38" i="78"/>
  <c r="AL36" i="78"/>
  <c r="CB76" i="60"/>
  <c r="BP77" i="60"/>
  <c r="BP73" i="60"/>
  <c r="CC69" i="60"/>
  <c r="CC71" i="60" s="1"/>
  <c r="BQ71" i="60"/>
  <c r="CH71" i="60"/>
  <c r="P36" i="80"/>
  <c r="Q36" i="80" s="1"/>
  <c r="K13" i="80"/>
  <c r="P20" i="80"/>
  <c r="P21" i="80" s="1"/>
  <c r="P60" i="80" s="1"/>
  <c r="F13" i="80"/>
  <c r="J46" i="80"/>
  <c r="K46" i="80" s="1"/>
  <c r="L46" i="80" s="1"/>
  <c r="M46" i="80" s="1"/>
  <c r="N46" i="80" s="1"/>
  <c r="O46" i="80" s="1"/>
  <c r="P46" i="80" s="1"/>
  <c r="Q46" i="80" s="1"/>
  <c r="N58" i="80"/>
  <c r="N66" i="80"/>
  <c r="O24" i="80"/>
  <c r="Q35" i="56"/>
  <c r="R35" i="56" s="1"/>
  <c r="R28" i="56"/>
  <c r="T15" i="78"/>
  <c r="V74" i="113"/>
  <c r="W73" i="113"/>
  <c r="V84" i="113"/>
  <c r="V39" i="60"/>
  <c r="V47" i="113"/>
  <c r="U21" i="60"/>
  <c r="U57" i="113"/>
  <c r="V46" i="113"/>
  <c r="U11" i="78"/>
  <c r="V19" i="113"/>
  <c r="U30" i="113"/>
  <c r="V12" i="60" s="1"/>
  <c r="V11" i="78" s="1"/>
  <c r="V20" i="113"/>
  <c r="R77" i="65" l="1"/>
  <c r="R30" i="56"/>
  <c r="R31" i="56" s="1"/>
  <c r="Q37" i="56"/>
  <c r="R37" i="56" s="1"/>
  <c r="R38" i="56" s="1"/>
  <c r="D45" i="44"/>
  <c r="R76" i="115"/>
  <c r="Q78" i="65"/>
  <c r="AN70" i="44" s="1"/>
  <c r="AN67" i="44"/>
  <c r="AN68" i="44"/>
  <c r="R76" i="65"/>
  <c r="AN63" i="44"/>
  <c r="Q111" i="44"/>
  <c r="AM64" i="44"/>
  <c r="AM79" i="44"/>
  <c r="R77" i="115"/>
  <c r="AP69" i="44"/>
  <c r="R85" i="65"/>
  <c r="AN77" i="44"/>
  <c r="R69" i="115"/>
  <c r="AN61" i="44"/>
  <c r="R71" i="115"/>
  <c r="AP63" i="44"/>
  <c r="AS119" i="44" s="1"/>
  <c r="R36" i="80"/>
  <c r="T38" i="80"/>
  <c r="I101" i="113"/>
  <c r="J10" i="113"/>
  <c r="J8" i="60"/>
  <c r="J8" i="64" s="1"/>
  <c r="I9" i="55"/>
  <c r="I9" i="20"/>
  <c r="I9" i="56"/>
  <c r="Y9" i="20"/>
  <c r="K6" i="117"/>
  <c r="Q78" i="115"/>
  <c r="AP70" i="44" s="1"/>
  <c r="CG52" i="64"/>
  <c r="CG51" i="64"/>
  <c r="BP54" i="64"/>
  <c r="BP98" i="60" s="1"/>
  <c r="BQ54" i="64"/>
  <c r="BQ98" i="60" s="1"/>
  <c r="N51" i="82"/>
  <c r="K52" i="82"/>
  <c r="B16" i="82"/>
  <c r="B83" i="82"/>
  <c r="J82" i="82"/>
  <c r="AP37" i="78"/>
  <c r="AQ37" i="78" s="1"/>
  <c r="P74" i="115"/>
  <c r="AO66" i="44" s="1"/>
  <c r="BT54" i="64"/>
  <c r="BT98" i="60" s="1"/>
  <c r="CA20" i="64"/>
  <c r="CA21" i="64"/>
  <c r="BX52" i="64"/>
  <c r="BX51" i="64"/>
  <c r="BX45" i="64"/>
  <c r="BX44" i="64"/>
  <c r="J53" i="44"/>
  <c r="CE76" i="60"/>
  <c r="BS77" i="60"/>
  <c r="BS73" i="60"/>
  <c r="CF39" i="64"/>
  <c r="CF38" i="64"/>
  <c r="CF33" i="64"/>
  <c r="CF32" i="64"/>
  <c r="BZ52" i="64"/>
  <c r="BZ51" i="64"/>
  <c r="BU54" i="64"/>
  <c r="BU98" i="60" s="1"/>
  <c r="CE54" i="64"/>
  <c r="CE98" i="60" s="1"/>
  <c r="CE31" i="60"/>
  <c r="CG15" i="64"/>
  <c r="CG14" i="64"/>
  <c r="CG57" i="60"/>
  <c r="CF44" i="64"/>
  <c r="CF45" i="64"/>
  <c r="CB52" i="64"/>
  <c r="CB51" i="64"/>
  <c r="CF31" i="60"/>
  <c r="CI51" i="64"/>
  <c r="CI52" i="64"/>
  <c r="CI57" i="60"/>
  <c r="CG20" i="64"/>
  <c r="CG21" i="64"/>
  <c r="BN54" i="64"/>
  <c r="BN98" i="60" s="1"/>
  <c r="CF49" i="60"/>
  <c r="BY44" i="64"/>
  <c r="BY45" i="64"/>
  <c r="CH14" i="64"/>
  <c r="CH15" i="64"/>
  <c r="CH54" i="64" s="1"/>
  <c r="CH98" i="60" s="1"/>
  <c r="BZ14" i="64"/>
  <c r="BZ15" i="64"/>
  <c r="BY27" i="64"/>
  <c r="BY26" i="64"/>
  <c r="CG26" i="64"/>
  <c r="CG27" i="64"/>
  <c r="BL95" i="60"/>
  <c r="BX93" i="60"/>
  <c r="BX95" i="60" s="1"/>
  <c r="CG33" i="64"/>
  <c r="CG32" i="64"/>
  <c r="BX27" i="64"/>
  <c r="BX26" i="64"/>
  <c r="CF52" i="64"/>
  <c r="CF51" i="64"/>
  <c r="CG38" i="64"/>
  <c r="CG39" i="64"/>
  <c r="CC21" i="64"/>
  <c r="CC20" i="64"/>
  <c r="CD14" i="64"/>
  <c r="CD15" i="64"/>
  <c r="CD54" i="64" s="1"/>
  <c r="CD98" i="60" s="1"/>
  <c r="Q115" i="65"/>
  <c r="BY51" i="64"/>
  <c r="BY52" i="64"/>
  <c r="CA44" i="64"/>
  <c r="CA45" i="64"/>
  <c r="BZ32" i="64"/>
  <c r="BZ33" i="64"/>
  <c r="CA26" i="64"/>
  <c r="CA27" i="64"/>
  <c r="BY15" i="64"/>
  <c r="BY14" i="64"/>
  <c r="BZ38" i="64"/>
  <c r="BZ39" i="64"/>
  <c r="BW54" i="64"/>
  <c r="BW98" i="60" s="1"/>
  <c r="BO54" i="64"/>
  <c r="BO98" i="60" s="1"/>
  <c r="CI27" i="64"/>
  <c r="CI26" i="64"/>
  <c r="CI20" i="64"/>
  <c r="CI21" i="64"/>
  <c r="CC15" i="64"/>
  <c r="CC14" i="64"/>
  <c r="CA32" i="64"/>
  <c r="CA33" i="64"/>
  <c r="BX21" i="64"/>
  <c r="BX20" i="64"/>
  <c r="CB45" i="64"/>
  <c r="CB44" i="64"/>
  <c r="BM54" i="64"/>
  <c r="BM98" i="60" s="1"/>
  <c r="CI76" i="60"/>
  <c r="BW73" i="60"/>
  <c r="BW77" i="60"/>
  <c r="CH77" i="60"/>
  <c r="CH73" i="60"/>
  <c r="BU77" i="60"/>
  <c r="CG76" i="60"/>
  <c r="BU73" i="60"/>
  <c r="CF57" i="60"/>
  <c r="CD86" i="60"/>
  <c r="CC86" i="60"/>
  <c r="BP95" i="60"/>
  <c r="CB93" i="60"/>
  <c r="CB95" i="60" s="1"/>
  <c r="BV86" i="60"/>
  <c r="CH84" i="60"/>
  <c r="BQ95" i="60"/>
  <c r="CC93" i="60"/>
  <c r="CC95" i="60" s="1"/>
  <c r="CF93" i="60"/>
  <c r="CF95" i="60" s="1"/>
  <c r="BT95" i="60"/>
  <c r="CE57" i="60"/>
  <c r="CD57" i="60"/>
  <c r="CG31" i="60"/>
  <c r="CE69" i="60"/>
  <c r="BS71" i="60"/>
  <c r="CH31" i="60"/>
  <c r="BS95" i="60"/>
  <c r="CE93" i="60"/>
  <c r="CE95" i="60" s="1"/>
  <c r="BY57" i="60"/>
  <c r="CG68" i="60"/>
  <c r="BU71" i="60"/>
  <c r="CF74" i="60"/>
  <c r="BT73" i="60"/>
  <c r="BT77" i="60"/>
  <c r="BZ84" i="60"/>
  <c r="BN86" i="60"/>
  <c r="BN95" i="60"/>
  <c r="BZ93" i="60"/>
  <c r="BZ95" i="60" s="1"/>
  <c r="BM95" i="60"/>
  <c r="BY93" i="60"/>
  <c r="BY95" i="60" s="1"/>
  <c r="CA75" i="60"/>
  <c r="BO77" i="60"/>
  <c r="BO73" i="60"/>
  <c r="CB68" i="60"/>
  <c r="BP71" i="60"/>
  <c r="CA93" i="60"/>
  <c r="CA95" i="60" s="1"/>
  <c r="BO95" i="60"/>
  <c r="CB84" i="60"/>
  <c r="BP86" i="60"/>
  <c r="BZ31" i="60"/>
  <c r="BY77" i="60"/>
  <c r="BY73" i="60"/>
  <c r="BY70" i="60"/>
  <c r="BM71" i="60"/>
  <c r="CA84" i="60"/>
  <c r="BO86" i="60"/>
  <c r="BN77" i="60"/>
  <c r="BZ74" i="60"/>
  <c r="BN73" i="60"/>
  <c r="CB31" i="60"/>
  <c r="CB57" i="60"/>
  <c r="BX31" i="60"/>
  <c r="BX74" i="60"/>
  <c r="BL77" i="60"/>
  <c r="BL73" i="60"/>
  <c r="C45" i="44"/>
  <c r="BX30" i="60"/>
  <c r="G73" i="44"/>
  <c r="L69" i="44"/>
  <c r="F28" i="61"/>
  <c r="CC77" i="60"/>
  <c r="CC73" i="60"/>
  <c r="CD77" i="60"/>
  <c r="CD73" i="60"/>
  <c r="CB77" i="60"/>
  <c r="CB73" i="60"/>
  <c r="AL38" i="78"/>
  <c r="AM38" i="78" s="1"/>
  <c r="AM36" i="78"/>
  <c r="BZ71" i="60"/>
  <c r="CI86" i="60"/>
  <c r="BY86" i="60"/>
  <c r="R86" i="65"/>
  <c r="CF71" i="60"/>
  <c r="BL71" i="60"/>
  <c r="BX68" i="60"/>
  <c r="CG86" i="60"/>
  <c r="R69" i="65"/>
  <c r="I53" i="44"/>
  <c r="I48" i="44"/>
  <c r="F49" i="61"/>
  <c r="D54" i="61"/>
  <c r="BX85" i="60"/>
  <c r="BL86" i="60"/>
  <c r="R46" i="80"/>
  <c r="S46" i="80" s="1"/>
  <c r="T46" i="80" s="1"/>
  <c r="U46" i="80" s="1"/>
  <c r="V46" i="80" s="1"/>
  <c r="M15" i="80"/>
  <c r="W13" i="80"/>
  <c r="K15" i="80"/>
  <c r="K16" i="80" s="1"/>
  <c r="K59" i="80" s="1"/>
  <c r="L15" i="80"/>
  <c r="O15" i="80"/>
  <c r="N15" i="80"/>
  <c r="G13" i="80"/>
  <c r="G15" i="80"/>
  <c r="J15" i="80"/>
  <c r="R13" i="80"/>
  <c r="F15" i="80"/>
  <c r="F16" i="80" s="1"/>
  <c r="H15" i="80"/>
  <c r="Q20" i="80"/>
  <c r="Q21" i="80" s="1"/>
  <c r="Q60" i="80" s="1"/>
  <c r="I13" i="80"/>
  <c r="H13" i="80"/>
  <c r="P24" i="80"/>
  <c r="O66" i="80"/>
  <c r="O58" i="80"/>
  <c r="V14" i="78"/>
  <c r="V57" i="113"/>
  <c r="W46" i="113"/>
  <c r="W74" i="113"/>
  <c r="V21" i="60"/>
  <c r="U12" i="78"/>
  <c r="U15" i="78" s="1"/>
  <c r="W47" i="113"/>
  <c r="W39" i="60"/>
  <c r="W14" i="78" s="1"/>
  <c r="X73" i="113"/>
  <c r="W84" i="113"/>
  <c r="W19" i="113"/>
  <c r="V30" i="113"/>
  <c r="W12" i="60" s="1"/>
  <c r="W11" i="78" s="1"/>
  <c r="W20" i="113"/>
  <c r="R78" i="65" l="1"/>
  <c r="AM119" i="44"/>
  <c r="AR119" i="44"/>
  <c r="AT119" i="44" s="1"/>
  <c r="U38" i="80"/>
  <c r="S36" i="80"/>
  <c r="M16" i="80"/>
  <c r="M59" i="80" s="1"/>
  <c r="J101" i="113"/>
  <c r="K10" i="113"/>
  <c r="K8" i="60"/>
  <c r="J9" i="20"/>
  <c r="J9" i="56"/>
  <c r="J9" i="55"/>
  <c r="Z9" i="20"/>
  <c r="L6" i="117"/>
  <c r="G16" i="80"/>
  <c r="L52" i="82"/>
  <c r="M52" i="82"/>
  <c r="B84" i="82"/>
  <c r="J83" i="82"/>
  <c r="CE77" i="60"/>
  <c r="CE73" i="60"/>
  <c r="CB54" i="64"/>
  <c r="CB98" i="60" s="1"/>
  <c r="CC54" i="64"/>
  <c r="CC98" i="60" s="1"/>
  <c r="CF54" i="64"/>
  <c r="CF98" i="60" s="1"/>
  <c r="CI54" i="64"/>
  <c r="CI98" i="60" s="1"/>
  <c r="CG54" i="64"/>
  <c r="CG98" i="60" s="1"/>
  <c r="BY54" i="64"/>
  <c r="BY98" i="60" s="1"/>
  <c r="E45" i="44"/>
  <c r="CA54" i="64"/>
  <c r="CA98" i="60" s="1"/>
  <c r="BZ54" i="64"/>
  <c r="BZ98" i="60" s="1"/>
  <c r="CG77" i="60"/>
  <c r="CG73" i="60"/>
  <c r="CI77" i="60"/>
  <c r="CI73" i="60"/>
  <c r="CF77" i="60"/>
  <c r="CF73" i="60"/>
  <c r="CH86" i="60"/>
  <c r="CG71" i="60"/>
  <c r="CE71" i="60"/>
  <c r="CA86" i="60"/>
  <c r="CB86" i="60"/>
  <c r="BY71" i="60"/>
  <c r="CB71" i="60"/>
  <c r="BZ77" i="60"/>
  <c r="BZ73" i="60"/>
  <c r="CA77" i="60"/>
  <c r="CA73" i="60"/>
  <c r="BZ86" i="60"/>
  <c r="BX77" i="60"/>
  <c r="BX73" i="60"/>
  <c r="AN38" i="78"/>
  <c r="BX71" i="60"/>
  <c r="AR37" i="78"/>
  <c r="I54" i="44"/>
  <c r="BX86" i="60"/>
  <c r="AN36" i="78"/>
  <c r="N16" i="80"/>
  <c r="N59" i="80" s="1"/>
  <c r="L16" i="80"/>
  <c r="L59" i="80" s="1"/>
  <c r="Z13" i="80"/>
  <c r="AI13" i="80"/>
  <c r="AA13" i="80"/>
  <c r="O16" i="80"/>
  <c r="O59" i="80" s="1"/>
  <c r="Y13" i="80"/>
  <c r="X13" i="80"/>
  <c r="W15" i="80"/>
  <c r="W16" i="80" s="1"/>
  <c r="W59" i="80" s="1"/>
  <c r="W46" i="80"/>
  <c r="H16" i="80"/>
  <c r="T15" i="80"/>
  <c r="S13" i="80"/>
  <c r="U13" i="80"/>
  <c r="T13" i="80"/>
  <c r="J41" i="80"/>
  <c r="K41" i="80" s="1"/>
  <c r="L41" i="80" s="1"/>
  <c r="M41" i="80" s="1"/>
  <c r="N41" i="80" s="1"/>
  <c r="O41" i="80" s="1"/>
  <c r="P41" i="80" s="1"/>
  <c r="Q41" i="80" s="1"/>
  <c r="S15" i="80"/>
  <c r="J16" i="80"/>
  <c r="J59" i="80" s="1"/>
  <c r="I15" i="80"/>
  <c r="I16" i="80" s="1"/>
  <c r="I59" i="80" s="1"/>
  <c r="V13" i="80"/>
  <c r="V15" i="80"/>
  <c r="R15" i="80"/>
  <c r="R16" i="80" s="1"/>
  <c r="R59" i="80" s="1"/>
  <c r="AD13" i="80"/>
  <c r="P66" i="80"/>
  <c r="Q24" i="80"/>
  <c r="P58" i="80"/>
  <c r="X84" i="113"/>
  <c r="Y73" i="113"/>
  <c r="V12" i="78"/>
  <c r="V15" i="78" s="1"/>
  <c r="X74" i="113"/>
  <c r="W57" i="113"/>
  <c r="X46" i="113"/>
  <c r="X39" i="60"/>
  <c r="W21" i="60"/>
  <c r="W12" i="78" s="1"/>
  <c r="W15" i="78" s="1"/>
  <c r="X47" i="113"/>
  <c r="W30" i="113"/>
  <c r="X12" i="60" s="1"/>
  <c r="X11" i="78" s="1"/>
  <c r="X19" i="113"/>
  <c r="X20" i="113"/>
  <c r="T36" i="80" l="1"/>
  <c r="V38" i="80"/>
  <c r="X16" i="80"/>
  <c r="X59" i="80" s="1"/>
  <c r="M6" i="117"/>
  <c r="AA9" i="20"/>
  <c r="C4" i="80"/>
  <c r="K8" i="64"/>
  <c r="K101" i="113"/>
  <c r="K9" i="55"/>
  <c r="K9" i="20"/>
  <c r="L10" i="113"/>
  <c r="K9" i="56"/>
  <c r="L8" i="60"/>
  <c r="B17" i="82"/>
  <c r="K53" i="82"/>
  <c r="N52" i="82"/>
  <c r="J84" i="82"/>
  <c r="B85" i="82"/>
  <c r="AO36" i="78"/>
  <c r="AO38" i="78"/>
  <c r="T16" i="80"/>
  <c r="T59" i="80" s="1"/>
  <c r="Y16" i="80"/>
  <c r="Y59" i="80" s="1"/>
  <c r="AI15" i="80"/>
  <c r="AI16" i="80" s="1"/>
  <c r="AI59" i="80" s="1"/>
  <c r="AM15" i="80"/>
  <c r="AK13" i="80"/>
  <c r="AK15" i="80"/>
  <c r="AM13" i="80"/>
  <c r="AU13" i="80"/>
  <c r="Z16" i="80"/>
  <c r="Z59" i="80" s="1"/>
  <c r="AJ13" i="80"/>
  <c r="AA16" i="80"/>
  <c r="AA59" i="80" s="1"/>
  <c r="AL13" i="80"/>
  <c r="AL15" i="80"/>
  <c r="AJ15" i="80"/>
  <c r="R41" i="80"/>
  <c r="S41" i="80" s="1"/>
  <c r="T41" i="80" s="1"/>
  <c r="AH15" i="80"/>
  <c r="AH13" i="80"/>
  <c r="W18" i="80"/>
  <c r="AF13" i="80"/>
  <c r="AE13" i="80"/>
  <c r="V16" i="80"/>
  <c r="V59" i="80" s="1"/>
  <c r="W20" i="80"/>
  <c r="S16" i="80"/>
  <c r="S59" i="80" s="1"/>
  <c r="AE15" i="80"/>
  <c r="AG13" i="80"/>
  <c r="AD15" i="80"/>
  <c r="AD16" i="80" s="1"/>
  <c r="AD59" i="80" s="1"/>
  <c r="U15" i="80"/>
  <c r="U16" i="80" s="1"/>
  <c r="U59" i="80" s="1"/>
  <c r="I43" i="80"/>
  <c r="I70" i="80"/>
  <c r="AP13" i="80"/>
  <c r="X46" i="80"/>
  <c r="AF15" i="80"/>
  <c r="Q58" i="80"/>
  <c r="R24" i="80"/>
  <c r="Q66" i="80"/>
  <c r="Y74" i="113"/>
  <c r="X14" i="78"/>
  <c r="Y39" i="60"/>
  <c r="X57" i="113"/>
  <c r="Y46" i="113"/>
  <c r="X21" i="60"/>
  <c r="Y47" i="113"/>
  <c r="Z73" i="113"/>
  <c r="Y84" i="113"/>
  <c r="X30" i="113"/>
  <c r="Y12" i="60" s="1"/>
  <c r="D13" i="115" s="1"/>
  <c r="Y19" i="113"/>
  <c r="Y20" i="113"/>
  <c r="C44" i="80" l="1"/>
  <c r="C49" i="80"/>
  <c r="C2" i="80"/>
  <c r="W38" i="80"/>
  <c r="X38" i="80" s="1"/>
  <c r="Y38" i="80" s="1"/>
  <c r="Z38" i="80" s="1"/>
  <c r="U36" i="80"/>
  <c r="C119" i="80"/>
  <c r="C118" i="80"/>
  <c r="L101" i="113"/>
  <c r="L9" i="55"/>
  <c r="L9" i="20"/>
  <c r="L9" i="56"/>
  <c r="M8" i="60"/>
  <c r="M10" i="113"/>
  <c r="L8" i="64"/>
  <c r="D4" i="80"/>
  <c r="N6" i="117"/>
  <c r="AB9" i="20"/>
  <c r="B86" i="82"/>
  <c r="J85" i="82"/>
  <c r="M53" i="82"/>
  <c r="L53" i="82"/>
  <c r="AP38" i="78"/>
  <c r="AP36" i="78"/>
  <c r="AX15" i="80"/>
  <c r="AW13" i="80"/>
  <c r="AY15" i="80"/>
  <c r="AU15" i="80"/>
  <c r="AU16" i="80" s="1"/>
  <c r="AU59" i="80" s="1"/>
  <c r="AW15" i="80"/>
  <c r="BG13" i="80"/>
  <c r="AX13" i="80"/>
  <c r="AJ16" i="80"/>
  <c r="AJ59" i="80" s="1"/>
  <c r="AM16" i="80"/>
  <c r="AM59" i="80" s="1"/>
  <c r="AL16" i="80"/>
  <c r="AL59" i="80" s="1"/>
  <c r="AV15" i="80"/>
  <c r="AV13" i="80"/>
  <c r="AY13" i="80"/>
  <c r="AK16" i="80"/>
  <c r="AK59" i="80" s="1"/>
  <c r="Y46" i="80"/>
  <c r="AH16" i="80"/>
  <c r="AH59" i="80" s="1"/>
  <c r="AT13" i="80"/>
  <c r="AR15" i="80"/>
  <c r="AP15" i="80"/>
  <c r="AP16" i="80" s="1"/>
  <c r="AP59" i="80" s="1"/>
  <c r="AI20" i="80"/>
  <c r="I51" i="80"/>
  <c r="AS13" i="80"/>
  <c r="AQ13" i="80"/>
  <c r="U41" i="80"/>
  <c r="V41" i="80" s="1"/>
  <c r="W41" i="80" s="1"/>
  <c r="AE16" i="80"/>
  <c r="AE59" i="80" s="1"/>
  <c r="X18" i="80"/>
  <c r="AT15" i="80"/>
  <c r="BB13" i="80"/>
  <c r="AI18" i="80"/>
  <c r="X20" i="80"/>
  <c r="AF16" i="80"/>
  <c r="AF59" i="80" s="1"/>
  <c r="W21" i="80"/>
  <c r="W60" i="80" s="1"/>
  <c r="AR13" i="80"/>
  <c r="AQ15" i="80"/>
  <c r="AG15" i="80"/>
  <c r="AG16" i="80" s="1"/>
  <c r="AG59" i="80" s="1"/>
  <c r="S24" i="80"/>
  <c r="R66" i="80"/>
  <c r="R58" i="80"/>
  <c r="Z11" i="78"/>
  <c r="D13" i="65"/>
  <c r="D7" i="81"/>
  <c r="X12" i="78"/>
  <c r="X15" i="78" s="1"/>
  <c r="Y21" i="60"/>
  <c r="Z14" i="78"/>
  <c r="D40" i="65"/>
  <c r="D40" i="115"/>
  <c r="Z39" i="60"/>
  <c r="Z46" i="113"/>
  <c r="Y57" i="113"/>
  <c r="AA73" i="113"/>
  <c r="Z84" i="113"/>
  <c r="Z47" i="113"/>
  <c r="Z74" i="113"/>
  <c r="Z19" i="113"/>
  <c r="Y30" i="113"/>
  <c r="Z12" i="60" s="1"/>
  <c r="E13" i="65" s="1"/>
  <c r="Z20" i="113"/>
  <c r="D49" i="80" l="1"/>
  <c r="D44" i="80"/>
  <c r="D2" i="80"/>
  <c r="R32" i="72"/>
  <c r="I53" i="80"/>
  <c r="V36" i="80"/>
  <c r="D119" i="80"/>
  <c r="D118" i="80"/>
  <c r="M8" i="64"/>
  <c r="E4" i="80"/>
  <c r="AC9" i="20"/>
  <c r="O6" i="117"/>
  <c r="M101" i="113"/>
  <c r="N10" i="113"/>
  <c r="M9" i="55"/>
  <c r="M9" i="56"/>
  <c r="N8" i="60"/>
  <c r="M9" i="20"/>
  <c r="N53" i="82"/>
  <c r="K54" i="82"/>
  <c r="B18" i="82"/>
  <c r="B87" i="82"/>
  <c r="J86" i="82"/>
  <c r="AQ38" i="78"/>
  <c r="AQ36" i="78"/>
  <c r="AA38" i="80"/>
  <c r="AV16" i="80"/>
  <c r="AV59" i="80" s="1"/>
  <c r="BI13" i="80"/>
  <c r="BI15" i="80"/>
  <c r="BK13" i="80"/>
  <c r="BJ13" i="80"/>
  <c r="BG15" i="80"/>
  <c r="BG16" i="80" s="1"/>
  <c r="BG59" i="80" s="1"/>
  <c r="BK15" i="80"/>
  <c r="BJ15" i="80"/>
  <c r="AX16" i="80"/>
  <c r="AX59" i="80" s="1"/>
  <c r="BH13" i="80"/>
  <c r="BS13" i="80"/>
  <c r="BH15" i="80"/>
  <c r="AW16" i="80"/>
  <c r="AW59" i="80" s="1"/>
  <c r="AY16" i="80"/>
  <c r="AY59" i="80" s="1"/>
  <c r="AU18" i="80"/>
  <c r="AR16" i="80"/>
  <c r="AR59" i="80" s="1"/>
  <c r="AT16" i="80"/>
  <c r="AT59" i="80" s="1"/>
  <c r="Z46" i="80"/>
  <c r="BG18" i="80"/>
  <c r="AS15" i="80"/>
  <c r="AS16" i="80" s="1"/>
  <c r="AS59" i="80" s="1"/>
  <c r="X21" i="80"/>
  <c r="X60" i="80" s="1"/>
  <c r="BB15" i="80"/>
  <c r="BB16" i="80" s="1"/>
  <c r="BB59" i="80" s="1"/>
  <c r="AJ20" i="80"/>
  <c r="Y20" i="80"/>
  <c r="BC15" i="80"/>
  <c r="BF13" i="80"/>
  <c r="BE13" i="80"/>
  <c r="AJ18" i="80"/>
  <c r="BN13" i="80"/>
  <c r="X41" i="80"/>
  <c r="BD13" i="80"/>
  <c r="BF15" i="80"/>
  <c r="AQ16" i="80"/>
  <c r="AQ59" i="80" s="1"/>
  <c r="Y18" i="80"/>
  <c r="AI21" i="80"/>
  <c r="AI60" i="80" s="1"/>
  <c r="BC13" i="80"/>
  <c r="BD15" i="80"/>
  <c r="AV18" i="80"/>
  <c r="S66" i="80"/>
  <c r="S58" i="80"/>
  <c r="T24" i="80"/>
  <c r="E7" i="81"/>
  <c r="AA39" i="60"/>
  <c r="D11" i="81"/>
  <c r="Z12" i="78"/>
  <c r="D22" i="115"/>
  <c r="D22" i="65"/>
  <c r="Z57" i="113"/>
  <c r="AA46" i="113"/>
  <c r="AA84" i="113"/>
  <c r="AB73" i="113"/>
  <c r="Z21" i="60"/>
  <c r="AA47" i="113"/>
  <c r="AA74" i="113"/>
  <c r="AA14" i="78"/>
  <c r="E40" i="65"/>
  <c r="E40" i="115"/>
  <c r="E13" i="115"/>
  <c r="AA19" i="113"/>
  <c r="Z30" i="113"/>
  <c r="AA12" i="60" s="1"/>
  <c r="F7" i="81" s="1"/>
  <c r="AA11" i="78"/>
  <c r="AA20" i="113"/>
  <c r="E44" i="80" l="1"/>
  <c r="E49" i="80"/>
  <c r="E2" i="80"/>
  <c r="W36" i="80"/>
  <c r="E119" i="80"/>
  <c r="E118" i="80"/>
  <c r="N101" i="113"/>
  <c r="O8" i="60"/>
  <c r="N9" i="20"/>
  <c r="O10" i="113"/>
  <c r="N9" i="55"/>
  <c r="N9" i="56"/>
  <c r="P6" i="117"/>
  <c r="AD9" i="20"/>
  <c r="N8" i="64"/>
  <c r="F4" i="80"/>
  <c r="BK16" i="80"/>
  <c r="BK59" i="80" s="1"/>
  <c r="L54" i="82"/>
  <c r="M54" i="82"/>
  <c r="J87" i="82"/>
  <c r="B88" i="82"/>
  <c r="AR36" i="78"/>
  <c r="AR38" i="78"/>
  <c r="AB38" i="80"/>
  <c r="AC38" i="80" s="1"/>
  <c r="AD38" i="80" s="1"/>
  <c r="BH16" i="80"/>
  <c r="BH59" i="80" s="1"/>
  <c r="BT13" i="80"/>
  <c r="BI16" i="80"/>
  <c r="BI59" i="80" s="1"/>
  <c r="BW15" i="80"/>
  <c r="BV15" i="80"/>
  <c r="BU13" i="80"/>
  <c r="BW13" i="80"/>
  <c r="BU15" i="80"/>
  <c r="BS15" i="80"/>
  <c r="BS16" i="80" s="1"/>
  <c r="BS59" i="80" s="1"/>
  <c r="BT15" i="80"/>
  <c r="BJ16" i="80"/>
  <c r="BJ59" i="80" s="1"/>
  <c r="BV13" i="80"/>
  <c r="AJ21" i="80"/>
  <c r="AJ60" i="80" s="1"/>
  <c r="BS18" i="80"/>
  <c r="BQ13" i="80"/>
  <c r="BO15" i="80"/>
  <c r="AU20" i="80"/>
  <c r="AU21" i="80" s="1"/>
  <c r="AU60" i="80" s="1"/>
  <c r="BZ13" i="80"/>
  <c r="Z20" i="80"/>
  <c r="Z18" i="80"/>
  <c r="BN15" i="80"/>
  <c r="BN16" i="80" s="1"/>
  <c r="BN59" i="80" s="1"/>
  <c r="BC16" i="80"/>
  <c r="BC59" i="80" s="1"/>
  <c r="BG20" i="80"/>
  <c r="BG21" i="80" s="1"/>
  <c r="BG60" i="80" s="1"/>
  <c r="BP15" i="80"/>
  <c r="AA46" i="80"/>
  <c r="BO13" i="80"/>
  <c r="BD16" i="80"/>
  <c r="BD59" i="80" s="1"/>
  <c r="AK18" i="80"/>
  <c r="BR13" i="80"/>
  <c r="Y21" i="80"/>
  <c r="Y60" i="80" s="1"/>
  <c r="BP13" i="80"/>
  <c r="BH18" i="80"/>
  <c r="BF16" i="80"/>
  <c r="BF59" i="80" s="1"/>
  <c r="AK20" i="80"/>
  <c r="BR15" i="80"/>
  <c r="AW18" i="80"/>
  <c r="Y41" i="80"/>
  <c r="BE15" i="80"/>
  <c r="BE16" i="80" s="1"/>
  <c r="BE59" i="80" s="1"/>
  <c r="U24" i="80"/>
  <c r="T66" i="80"/>
  <c r="T58" i="80"/>
  <c r="AB11" i="78"/>
  <c r="E11" i="81"/>
  <c r="E22" i="65"/>
  <c r="AA12" i="78"/>
  <c r="AA15" i="78" s="1"/>
  <c r="E22" i="115"/>
  <c r="AB84" i="113"/>
  <c r="AC73" i="113"/>
  <c r="AB39" i="60"/>
  <c r="AB46" i="113"/>
  <c r="AA57" i="113"/>
  <c r="AA21" i="60"/>
  <c r="AB74" i="113"/>
  <c r="AB47" i="113"/>
  <c r="Z15" i="78"/>
  <c r="AB14" i="78"/>
  <c r="F40" i="65"/>
  <c r="F40" i="115"/>
  <c r="AB19" i="113"/>
  <c r="AA30" i="113"/>
  <c r="AB12" i="60" s="1"/>
  <c r="AC11" i="78" s="1"/>
  <c r="F13" i="115"/>
  <c r="F13" i="65"/>
  <c r="AB20" i="113"/>
  <c r="F49" i="80" l="1"/>
  <c r="F44" i="80"/>
  <c r="F2" i="80"/>
  <c r="AE38" i="80"/>
  <c r="X36" i="80"/>
  <c r="Y36" i="80" s="1"/>
  <c r="Z36" i="80" s="1"/>
  <c r="AA36" i="80" s="1"/>
  <c r="AB36" i="80" s="1"/>
  <c r="AC36" i="80" s="1"/>
  <c r="AD36" i="80" s="1"/>
  <c r="F119" i="80"/>
  <c r="F118" i="80"/>
  <c r="Q6" i="117"/>
  <c r="AE9" i="20"/>
  <c r="G4" i="80"/>
  <c r="O8" i="64"/>
  <c r="P10" i="113"/>
  <c r="P8" i="60"/>
  <c r="AB46" i="80"/>
  <c r="N54" i="82"/>
  <c r="B89" i="82"/>
  <c r="J88" i="82"/>
  <c r="K55" i="82"/>
  <c r="B19" i="82"/>
  <c r="BV16" i="80"/>
  <c r="BV59" i="80" s="1"/>
  <c r="BU16" i="80"/>
  <c r="BU59" i="80" s="1"/>
  <c r="BW16" i="80"/>
  <c r="BW59" i="80" s="1"/>
  <c r="BT16" i="80"/>
  <c r="BT59" i="80" s="1"/>
  <c r="BO16" i="80"/>
  <c r="BO59" i="80" s="1"/>
  <c r="Z41" i="80"/>
  <c r="BP16" i="80"/>
  <c r="BP59" i="80" s="1"/>
  <c r="AK21" i="80"/>
  <c r="AK60" i="80" s="1"/>
  <c r="CD15" i="80"/>
  <c r="CD13" i="80"/>
  <c r="BZ15" i="80"/>
  <c r="BZ16" i="80" s="1"/>
  <c r="BZ59" i="80" s="1"/>
  <c r="CB15" i="80"/>
  <c r="AA20" i="80"/>
  <c r="AL18" i="80"/>
  <c r="AL20" i="80"/>
  <c r="CB13" i="80"/>
  <c r="CC13" i="80"/>
  <c r="AV20" i="80"/>
  <c r="AV21" i="80" s="1"/>
  <c r="AV60" i="80" s="1"/>
  <c r="Z21" i="80"/>
  <c r="Z60" i="80" s="1"/>
  <c r="BI18" i="80"/>
  <c r="CA13" i="80"/>
  <c r="BH20" i="80"/>
  <c r="BH21" i="80" s="1"/>
  <c r="BH60" i="80" s="1"/>
  <c r="AA18" i="80"/>
  <c r="BQ15" i="80"/>
  <c r="BQ16" i="80" s="1"/>
  <c r="BQ59" i="80" s="1"/>
  <c r="AX18" i="80"/>
  <c r="CA15" i="80"/>
  <c r="BS20" i="80"/>
  <c r="BS21" i="80" s="1"/>
  <c r="BS60" i="80" s="1"/>
  <c r="BR16" i="80"/>
  <c r="BR59" i="80" s="1"/>
  <c r="BT18" i="80"/>
  <c r="U66" i="80"/>
  <c r="U58" i="80"/>
  <c r="V24" i="80"/>
  <c r="G40" i="115"/>
  <c r="G40" i="65"/>
  <c r="AC14" i="78"/>
  <c r="AD73" i="113"/>
  <c r="AC84" i="113"/>
  <c r="AC74" i="113"/>
  <c r="AC39" i="60"/>
  <c r="G13" i="65"/>
  <c r="G7" i="81"/>
  <c r="AC47" i="113"/>
  <c r="F11" i="81"/>
  <c r="F22" i="115"/>
  <c r="F22" i="65"/>
  <c r="AB12" i="78"/>
  <c r="G13" i="115"/>
  <c r="AB21" i="60"/>
  <c r="AC46" i="113"/>
  <c r="AB57" i="113"/>
  <c r="AC19" i="113"/>
  <c r="AB30" i="113"/>
  <c r="AC12" i="60" s="1"/>
  <c r="H13" i="115" s="1"/>
  <c r="AC20" i="113"/>
  <c r="G44" i="80" l="1"/>
  <c r="G49" i="80"/>
  <c r="G2" i="80"/>
  <c r="AE36" i="80"/>
  <c r="AF38" i="80"/>
  <c r="G119" i="80"/>
  <c r="G118" i="80"/>
  <c r="P8" i="64"/>
  <c r="H4" i="80"/>
  <c r="Q8" i="60"/>
  <c r="Q10" i="113"/>
  <c r="AC46" i="80"/>
  <c r="AD46" i="80" s="1"/>
  <c r="AE46" i="80" s="1"/>
  <c r="AF46" i="80" s="1"/>
  <c r="AG46" i="80" s="1"/>
  <c r="AH46" i="80" s="1"/>
  <c r="AI46" i="80" s="1"/>
  <c r="AJ46" i="80" s="1"/>
  <c r="AK46" i="80" s="1"/>
  <c r="AL46" i="80" s="1"/>
  <c r="AM46" i="80" s="1"/>
  <c r="AN46" i="80" s="1"/>
  <c r="L55" i="82"/>
  <c r="J89" i="82"/>
  <c r="B90" i="82"/>
  <c r="M55" i="82"/>
  <c r="AD11" i="78"/>
  <c r="H7" i="81"/>
  <c r="CB16" i="80"/>
  <c r="CB59" i="80" s="1"/>
  <c r="CD16" i="80"/>
  <c r="CD59" i="80" s="1"/>
  <c r="AA41" i="80"/>
  <c r="CA16" i="80"/>
  <c r="CA59" i="80" s="1"/>
  <c r="AB20" i="80"/>
  <c r="CC15" i="80"/>
  <c r="CC16" i="80" s="1"/>
  <c r="CC59" i="80" s="1"/>
  <c r="AY18" i="80"/>
  <c r="BT20" i="80"/>
  <c r="BT21" i="80" s="1"/>
  <c r="BT60" i="80" s="1"/>
  <c r="AW20" i="80"/>
  <c r="AW21" i="80" s="1"/>
  <c r="AW60" i="80" s="1"/>
  <c r="BU18" i="80"/>
  <c r="BJ18" i="80"/>
  <c r="AM20" i="80"/>
  <c r="AM18" i="80"/>
  <c r="BI20" i="80"/>
  <c r="BI21" i="80" s="1"/>
  <c r="BI60" i="80" s="1"/>
  <c r="AA21" i="80"/>
  <c r="AA60" i="80" s="1"/>
  <c r="AB18" i="80"/>
  <c r="AL21" i="80"/>
  <c r="AL60" i="80" s="1"/>
  <c r="W24" i="80"/>
  <c r="V58" i="80"/>
  <c r="V66" i="80"/>
  <c r="H13" i="65"/>
  <c r="AD47" i="113"/>
  <c r="AC21" i="60"/>
  <c r="G11" i="81"/>
  <c r="AC12" i="78"/>
  <c r="AC15" i="78" s="1"/>
  <c r="G22" i="115"/>
  <c r="G22" i="65"/>
  <c r="AD46" i="113"/>
  <c r="AC57" i="113"/>
  <c r="AE73" i="113"/>
  <c r="AD84" i="113"/>
  <c r="AD39" i="60"/>
  <c r="H40" i="115"/>
  <c r="H40" i="65"/>
  <c r="AD14" i="78"/>
  <c r="AB15" i="78"/>
  <c r="AD74" i="113"/>
  <c r="AD19" i="113"/>
  <c r="AC30" i="113"/>
  <c r="AD12" i="60" s="1"/>
  <c r="AE11" i="78" s="1"/>
  <c r="AD20" i="113"/>
  <c r="H49" i="80" l="1"/>
  <c r="H44" i="80"/>
  <c r="H2" i="80"/>
  <c r="AG38" i="80"/>
  <c r="AF36" i="80"/>
  <c r="H119" i="80"/>
  <c r="H118" i="80"/>
  <c r="AB41" i="80"/>
  <c r="R10" i="113"/>
  <c r="R8" i="60"/>
  <c r="Q8" i="64"/>
  <c r="I4" i="80"/>
  <c r="AO46" i="80"/>
  <c r="AP46" i="80" s="1"/>
  <c r="AQ46" i="80" s="1"/>
  <c r="AR46" i="80" s="1"/>
  <c r="AS46" i="80" s="1"/>
  <c r="AT46" i="80" s="1"/>
  <c r="AU46" i="80" s="1"/>
  <c r="AV46" i="80" s="1"/>
  <c r="AW46" i="80" s="1"/>
  <c r="AX46" i="80" s="1"/>
  <c r="AY46" i="80" s="1"/>
  <c r="AZ46" i="80" s="1"/>
  <c r="J90" i="82"/>
  <c r="B91" i="82"/>
  <c r="N55" i="82"/>
  <c r="B20" i="82"/>
  <c r="K56" i="82"/>
  <c r="AM21" i="80"/>
  <c r="AM60" i="80" s="1"/>
  <c r="BU20" i="80"/>
  <c r="BU21" i="80" s="1"/>
  <c r="BU60" i="80" s="1"/>
  <c r="AX20" i="80"/>
  <c r="AX21" i="80" s="1"/>
  <c r="AX60" i="80" s="1"/>
  <c r="AC20" i="80"/>
  <c r="BK18" i="80"/>
  <c r="AZ18" i="80"/>
  <c r="BJ20" i="80"/>
  <c r="BJ21" i="80" s="1"/>
  <c r="BJ60" i="80" s="1"/>
  <c r="AN20" i="80"/>
  <c r="AB21" i="80"/>
  <c r="AB60" i="80" s="1"/>
  <c r="BV18" i="80"/>
  <c r="AC18" i="80"/>
  <c r="AN18" i="80"/>
  <c r="W66" i="80"/>
  <c r="W58" i="80"/>
  <c r="X24" i="80"/>
  <c r="I13" i="65"/>
  <c r="AE74" i="113"/>
  <c r="I40" i="65"/>
  <c r="AE14" i="78"/>
  <c r="I40" i="115"/>
  <c r="AE39" i="60"/>
  <c r="H22" i="65"/>
  <c r="AD12" i="78"/>
  <c r="AD15" i="78" s="1"/>
  <c r="H22" i="115"/>
  <c r="H11" i="81"/>
  <c r="AF73" i="113"/>
  <c r="AE84" i="113"/>
  <c r="AD21" i="60"/>
  <c r="AE47" i="113"/>
  <c r="AE46" i="113"/>
  <c r="AD57" i="113"/>
  <c r="AD30" i="113"/>
  <c r="AE12" i="60" s="1"/>
  <c r="J7" i="81" s="1"/>
  <c r="AE19" i="113"/>
  <c r="I7" i="81"/>
  <c r="I13" i="115"/>
  <c r="AE20" i="113"/>
  <c r="I118" i="80" l="1"/>
  <c r="I49" i="80"/>
  <c r="I44" i="80"/>
  <c r="I2" i="80"/>
  <c r="I119" i="80"/>
  <c r="AG36" i="80"/>
  <c r="AH38" i="80"/>
  <c r="AC41" i="80"/>
  <c r="AD41" i="80" s="1"/>
  <c r="AE41" i="80" s="1"/>
  <c r="AF41" i="80" s="1"/>
  <c r="AG41" i="80" s="1"/>
  <c r="AH41" i="80" s="1"/>
  <c r="AI41" i="80" s="1"/>
  <c r="AJ41" i="80" s="1"/>
  <c r="AK41" i="80" s="1"/>
  <c r="AL41" i="80" s="1"/>
  <c r="AM41" i="80" s="1"/>
  <c r="AN41" i="80" s="1"/>
  <c r="J4" i="80"/>
  <c r="R8" i="64"/>
  <c r="S8" i="60"/>
  <c r="S10" i="113"/>
  <c r="BA46" i="80"/>
  <c r="BB46" i="80" s="1"/>
  <c r="BC46" i="80" s="1"/>
  <c r="BD46" i="80" s="1"/>
  <c r="BE46" i="80" s="1"/>
  <c r="BF46" i="80" s="1"/>
  <c r="BG46" i="80" s="1"/>
  <c r="BH46" i="80" s="1"/>
  <c r="BI46" i="80" s="1"/>
  <c r="BJ46" i="80" s="1"/>
  <c r="BK46" i="80" s="1"/>
  <c r="BL46" i="80" s="1"/>
  <c r="J91" i="82"/>
  <c r="B92" i="82"/>
  <c r="L56" i="82"/>
  <c r="M56" i="82"/>
  <c r="AC21" i="80"/>
  <c r="AC60" i="80" s="1"/>
  <c r="AY20" i="80"/>
  <c r="AY21" i="80" s="1"/>
  <c r="AY60" i="80" s="1"/>
  <c r="BK20" i="80"/>
  <c r="BK21" i="80" s="1"/>
  <c r="BK60" i="80" s="1"/>
  <c r="BW18" i="80"/>
  <c r="AN21" i="80"/>
  <c r="AN60" i="80" s="1"/>
  <c r="BA18" i="80"/>
  <c r="AO20" i="80"/>
  <c r="BV20" i="80"/>
  <c r="BV21" i="80" s="1"/>
  <c r="BV60" i="80" s="1"/>
  <c r="BL18" i="80"/>
  <c r="AO18" i="80"/>
  <c r="X58" i="80"/>
  <c r="Y24" i="80"/>
  <c r="X66" i="80"/>
  <c r="AF11" i="78"/>
  <c r="AG73" i="113"/>
  <c r="AF84" i="113"/>
  <c r="AE21" i="60"/>
  <c r="AF74" i="113"/>
  <c r="AF39" i="60"/>
  <c r="AF46" i="113"/>
  <c r="AE57" i="113"/>
  <c r="J40" i="65"/>
  <c r="AF14" i="78"/>
  <c r="J40" i="115"/>
  <c r="AF47" i="113"/>
  <c r="I22" i="115"/>
  <c r="I11" i="81"/>
  <c r="AE12" i="78"/>
  <c r="I22" i="65"/>
  <c r="J13" i="115"/>
  <c r="J13" i="65"/>
  <c r="AF19" i="113"/>
  <c r="AE30" i="113"/>
  <c r="AF12" i="60" s="1"/>
  <c r="K13" i="65" s="1"/>
  <c r="AF20" i="113"/>
  <c r="J118" i="80" l="1"/>
  <c r="J49" i="80"/>
  <c r="J44" i="80"/>
  <c r="J2" i="80"/>
  <c r="J119" i="80"/>
  <c r="J42" i="80"/>
  <c r="J43" i="80" s="1"/>
  <c r="J47" i="80"/>
  <c r="AI38" i="80"/>
  <c r="AH36" i="80"/>
  <c r="AO41" i="80"/>
  <c r="AP41" i="80" s="1"/>
  <c r="AQ41" i="80" s="1"/>
  <c r="AR41" i="80" s="1"/>
  <c r="AS41" i="80" s="1"/>
  <c r="AT41" i="80" s="1"/>
  <c r="AU41" i="80" s="1"/>
  <c r="AV41" i="80" s="1"/>
  <c r="AW41" i="80" s="1"/>
  <c r="AX41" i="80" s="1"/>
  <c r="AY41" i="80" s="1"/>
  <c r="T10" i="113"/>
  <c r="T8" i="60"/>
  <c r="K4" i="80"/>
  <c r="S8" i="64"/>
  <c r="BM46" i="80"/>
  <c r="BN46" i="80" s="1"/>
  <c r="BO46" i="80" s="1"/>
  <c r="BP46" i="80" s="1"/>
  <c r="BQ46" i="80" s="1"/>
  <c r="BR46" i="80" s="1"/>
  <c r="BS46" i="80" s="1"/>
  <c r="BT46" i="80" s="1"/>
  <c r="BU46" i="80" s="1"/>
  <c r="BV46" i="80" s="1"/>
  <c r="BW46" i="80" s="1"/>
  <c r="BX46" i="80" s="1"/>
  <c r="K57" i="82"/>
  <c r="B21" i="82"/>
  <c r="N56" i="82"/>
  <c r="B93" i="82"/>
  <c r="J92" i="82"/>
  <c r="K13" i="115"/>
  <c r="AO21" i="80"/>
  <c r="AO60" i="80" s="1"/>
  <c r="BM18" i="80"/>
  <c r="BW20" i="80"/>
  <c r="BW21" i="80" s="1"/>
  <c r="BW60" i="80" s="1"/>
  <c r="BX18" i="80"/>
  <c r="AZ20" i="80"/>
  <c r="AZ21" i="80" s="1"/>
  <c r="AZ60" i="80" s="1"/>
  <c r="BL20" i="80"/>
  <c r="BL21" i="80" s="1"/>
  <c r="BL60" i="80" s="1"/>
  <c r="Z24" i="80"/>
  <c r="Y58" i="80"/>
  <c r="Y66" i="80"/>
  <c r="K7" i="81"/>
  <c r="AG11" i="78"/>
  <c r="AE15" i="78"/>
  <c r="AG46" i="113"/>
  <c r="AF57" i="113"/>
  <c r="AG74" i="113"/>
  <c r="AG47" i="113"/>
  <c r="J22" i="115"/>
  <c r="J22" i="65"/>
  <c r="AF12" i="78"/>
  <c r="AF15" i="78" s="1"/>
  <c r="J11" i="81"/>
  <c r="AG39" i="60"/>
  <c r="AH73" i="113"/>
  <c r="AG84" i="113"/>
  <c r="K40" i="115"/>
  <c r="AG14" i="78"/>
  <c r="K40" i="65"/>
  <c r="AF21" i="60"/>
  <c r="AG19" i="113"/>
  <c r="AF30" i="113"/>
  <c r="AG12" i="60" s="1"/>
  <c r="L13" i="115" s="1"/>
  <c r="AG20" i="113"/>
  <c r="K118" i="80" l="1"/>
  <c r="K2" i="80"/>
  <c r="K119" i="80"/>
  <c r="K47" i="80"/>
  <c r="K42" i="80"/>
  <c r="AI36" i="80"/>
  <c r="AJ38" i="80"/>
  <c r="AK38" i="80" s="1"/>
  <c r="AL38" i="80" s="1"/>
  <c r="AM38" i="80" s="1"/>
  <c r="T8" i="64"/>
  <c r="L4" i="80"/>
  <c r="U8" i="60"/>
  <c r="U10" i="113"/>
  <c r="AZ41" i="80"/>
  <c r="BY46" i="80"/>
  <c r="BZ46" i="80" s="1"/>
  <c r="CA46" i="80" s="1"/>
  <c r="CB46" i="80" s="1"/>
  <c r="CC46" i="80" s="1"/>
  <c r="CD46" i="80" s="1"/>
  <c r="CE46" i="80" s="1"/>
  <c r="CF46" i="80" s="1"/>
  <c r="CG46" i="80" s="1"/>
  <c r="CH46" i="80" s="1"/>
  <c r="CI46" i="80" s="1"/>
  <c r="J93" i="82"/>
  <c r="B94" i="82"/>
  <c r="M57" i="82"/>
  <c r="L57" i="82"/>
  <c r="BY18" i="80"/>
  <c r="BM20" i="80"/>
  <c r="BM21" i="80" s="1"/>
  <c r="BM60" i="80" s="1"/>
  <c r="BA20" i="80"/>
  <c r="BX20" i="80"/>
  <c r="BX21" i="80" s="1"/>
  <c r="BX60" i="80" s="1"/>
  <c r="Z58" i="80"/>
  <c r="Z66" i="80"/>
  <c r="AA24" i="80"/>
  <c r="L13" i="65"/>
  <c r="AH11" i="78"/>
  <c r="AH39" i="60"/>
  <c r="AH74" i="113"/>
  <c r="AI73" i="113"/>
  <c r="AH84" i="113"/>
  <c r="L40" i="65"/>
  <c r="L40" i="115"/>
  <c r="AH14" i="78"/>
  <c r="AG21" i="60"/>
  <c r="AH47" i="113"/>
  <c r="AH46" i="113"/>
  <c r="AG57" i="113"/>
  <c r="L7" i="81"/>
  <c r="K22" i="65"/>
  <c r="K22" i="115"/>
  <c r="AG12" i="78"/>
  <c r="AG15" i="78" s="1"/>
  <c r="K11" i="81"/>
  <c r="AH19" i="113"/>
  <c r="AG30" i="113"/>
  <c r="AH12" i="60" s="1"/>
  <c r="M13" i="65" s="1"/>
  <c r="AH20" i="113"/>
  <c r="K70" i="80" l="1"/>
  <c r="L118" i="80"/>
  <c r="L49" i="80"/>
  <c r="L44" i="80"/>
  <c r="L2" i="80"/>
  <c r="L119" i="80"/>
  <c r="K43" i="80"/>
  <c r="K44" i="80" s="1"/>
  <c r="L42" i="80" s="1"/>
  <c r="L43" i="80" s="1"/>
  <c r="AJ36" i="80"/>
  <c r="AK36" i="80" s="1"/>
  <c r="AL36" i="80" s="1"/>
  <c r="AM36" i="80" s="1"/>
  <c r="AN36" i="80" s="1"/>
  <c r="AO36" i="80" s="1"/>
  <c r="BA21" i="80"/>
  <c r="BA60" i="80" s="1"/>
  <c r="V10" i="113"/>
  <c r="V8" i="60"/>
  <c r="U8" i="64"/>
  <c r="M4" i="80"/>
  <c r="BA41" i="80"/>
  <c r="BB41" i="80" s="1"/>
  <c r="BC41" i="80" s="1"/>
  <c r="BD41" i="80" s="1"/>
  <c r="BE41" i="80" s="1"/>
  <c r="BF41" i="80" s="1"/>
  <c r="BG41" i="80" s="1"/>
  <c r="BH41" i="80" s="1"/>
  <c r="BI41" i="80" s="1"/>
  <c r="BJ41" i="80" s="1"/>
  <c r="BK41" i="80" s="1"/>
  <c r="BL41" i="80" s="1"/>
  <c r="BM41" i="80" s="1"/>
  <c r="BN41" i="80" s="1"/>
  <c r="BO41" i="80" s="1"/>
  <c r="BP41" i="80" s="1"/>
  <c r="BQ41" i="80" s="1"/>
  <c r="BR41" i="80" s="1"/>
  <c r="BS41" i="80" s="1"/>
  <c r="BT41" i="80" s="1"/>
  <c r="BU41" i="80" s="1"/>
  <c r="BV41" i="80" s="1"/>
  <c r="BW41" i="80" s="1"/>
  <c r="BX41" i="80" s="1"/>
  <c r="B95" i="82"/>
  <c r="J94" i="82"/>
  <c r="N57" i="82"/>
  <c r="B22" i="82"/>
  <c r="K58" i="82"/>
  <c r="AN38" i="80"/>
  <c r="AO38" i="80" s="1"/>
  <c r="BY20" i="80"/>
  <c r="BY21" i="80" s="1"/>
  <c r="BY60" i="80" s="1"/>
  <c r="AA66" i="80"/>
  <c r="AB24" i="80"/>
  <c r="AA58" i="80"/>
  <c r="AI11" i="78"/>
  <c r="M13" i="115"/>
  <c r="M7" i="81"/>
  <c r="AI39" i="60"/>
  <c r="AJ73" i="113"/>
  <c r="AI84" i="113"/>
  <c r="AH21" i="60"/>
  <c r="AI74" i="113"/>
  <c r="AI46" i="113"/>
  <c r="AH57" i="113"/>
  <c r="M40" i="65"/>
  <c r="AI14" i="78"/>
  <c r="M40" i="115"/>
  <c r="AI47" i="113"/>
  <c r="L22" i="115"/>
  <c r="AH12" i="78"/>
  <c r="AH15" i="78" s="1"/>
  <c r="L22" i="65"/>
  <c r="L11" i="81"/>
  <c r="AI19" i="113"/>
  <c r="AH30" i="113"/>
  <c r="AI12" i="60" s="1"/>
  <c r="N7" i="81" s="1"/>
  <c r="AI20" i="113"/>
  <c r="M118" i="80" l="1"/>
  <c r="M49" i="80"/>
  <c r="M44" i="80"/>
  <c r="M2" i="80"/>
  <c r="M119" i="80"/>
  <c r="M42" i="80"/>
  <c r="M43" i="80" s="1"/>
  <c r="AP36" i="80"/>
  <c r="AP38" i="80"/>
  <c r="BY41" i="80"/>
  <c r="BZ41" i="80" s="1"/>
  <c r="CA41" i="80" s="1"/>
  <c r="CB41" i="80" s="1"/>
  <c r="CC41" i="80" s="1"/>
  <c r="CD41" i="80" s="1"/>
  <c r="CE41" i="80" s="1"/>
  <c r="CF41" i="80" s="1"/>
  <c r="CG41" i="80" s="1"/>
  <c r="CH41" i="80" s="1"/>
  <c r="CI41" i="80" s="1"/>
  <c r="V8" i="64"/>
  <c r="N4" i="80"/>
  <c r="W10" i="113"/>
  <c r="W8" i="60"/>
  <c r="M58" i="82"/>
  <c r="L58" i="82"/>
  <c r="B96" i="82"/>
  <c r="J95" i="82"/>
  <c r="AB58" i="80"/>
  <c r="AC24" i="80"/>
  <c r="AB66" i="80"/>
  <c r="N13" i="65"/>
  <c r="AJ46" i="113"/>
  <c r="AI57" i="113"/>
  <c r="AJ47" i="113"/>
  <c r="AJ74" i="113"/>
  <c r="M22" i="65"/>
  <c r="M11" i="81"/>
  <c r="AI12" i="78"/>
  <c r="AI15" i="78" s="1"/>
  <c r="M22" i="115"/>
  <c r="AJ39" i="60"/>
  <c r="AK73" i="113"/>
  <c r="AJ84" i="113"/>
  <c r="N13" i="115"/>
  <c r="AJ11" i="78"/>
  <c r="AI21" i="60"/>
  <c r="AJ14" i="78"/>
  <c r="N40" i="115"/>
  <c r="N40" i="65"/>
  <c r="AJ19" i="113"/>
  <c r="AI30" i="113"/>
  <c r="AJ12" i="60" s="1"/>
  <c r="O13" i="115" s="1"/>
  <c r="AJ20" i="113"/>
  <c r="N118" i="80" l="1"/>
  <c r="N49" i="80"/>
  <c r="N44" i="80"/>
  <c r="N2" i="80"/>
  <c r="N119" i="80"/>
  <c r="N42" i="80"/>
  <c r="N43" i="80" s="1"/>
  <c r="AQ38" i="80"/>
  <c r="AQ36" i="80"/>
  <c r="O4" i="80"/>
  <c r="W8" i="64"/>
  <c r="X10" i="113"/>
  <c r="X8" i="60"/>
  <c r="B97" i="82"/>
  <c r="J96" i="82"/>
  <c r="K59" i="82"/>
  <c r="B23" i="82"/>
  <c r="N58" i="82"/>
  <c r="AC58" i="80"/>
  <c r="AC66" i="80"/>
  <c r="AD24" i="80"/>
  <c r="N22" i="65"/>
  <c r="N22" i="115"/>
  <c r="N11" i="81"/>
  <c r="AJ12" i="78"/>
  <c r="AJ15" i="78" s="1"/>
  <c r="P13" i="115"/>
  <c r="AL73" i="113"/>
  <c r="AK84" i="113"/>
  <c r="AK74" i="113"/>
  <c r="AK39" i="60"/>
  <c r="O40" i="115"/>
  <c r="P40" i="115" s="1"/>
  <c r="AK14" i="78"/>
  <c r="AL14" i="78" s="1"/>
  <c r="O40" i="65"/>
  <c r="P40" i="65" s="1"/>
  <c r="AM32" i="44" s="1"/>
  <c r="AK47" i="113"/>
  <c r="O7" i="81"/>
  <c r="P7" i="81" s="1"/>
  <c r="AJ21" i="60"/>
  <c r="AK46" i="113"/>
  <c r="AJ57" i="113"/>
  <c r="AK11" i="78"/>
  <c r="AJ30" i="113"/>
  <c r="AK12" i="60" s="1"/>
  <c r="AK19" i="113"/>
  <c r="O13" i="65"/>
  <c r="P13" i="65" s="1"/>
  <c r="AK20" i="113"/>
  <c r="R107" i="44" l="1"/>
  <c r="AM5" i="44"/>
  <c r="AO106" i="44" s="1"/>
  <c r="Q40" i="115"/>
  <c r="D46" i="44" s="1"/>
  <c r="AO32" i="44"/>
  <c r="Q13" i="115"/>
  <c r="D43" i="44" s="1"/>
  <c r="AO5" i="44"/>
  <c r="O118" i="80"/>
  <c r="O44" i="80"/>
  <c r="O49" i="80"/>
  <c r="O2" i="80"/>
  <c r="O119" i="80"/>
  <c r="O42" i="80"/>
  <c r="O43" i="80" s="1"/>
  <c r="AR36" i="80"/>
  <c r="AR38" i="80"/>
  <c r="P4" i="80"/>
  <c r="X8" i="64"/>
  <c r="Y8" i="60"/>
  <c r="Y10" i="113"/>
  <c r="B98" i="82"/>
  <c r="J97" i="82"/>
  <c r="N59" i="82"/>
  <c r="L59" i="82"/>
  <c r="M59" i="82"/>
  <c r="D9" i="115"/>
  <c r="D9" i="65"/>
  <c r="AD58" i="80"/>
  <c r="AD66" i="80"/>
  <c r="AE24" i="80"/>
  <c r="AM73" i="113"/>
  <c r="AL84" i="113"/>
  <c r="AL47" i="113"/>
  <c r="AL39" i="60"/>
  <c r="AK21" i="60"/>
  <c r="Q40" i="65"/>
  <c r="G74" i="44"/>
  <c r="L70" i="44" s="1"/>
  <c r="AL46" i="113"/>
  <c r="AK57" i="113"/>
  <c r="J13" i="61"/>
  <c r="O22" i="115"/>
  <c r="P22" i="115" s="1"/>
  <c r="O11" i="81"/>
  <c r="P11" i="81" s="1"/>
  <c r="O22" i="65"/>
  <c r="AK12" i="78"/>
  <c r="AL12" i="78" s="1"/>
  <c r="AL11" i="78"/>
  <c r="AL74" i="113"/>
  <c r="AL19" i="113"/>
  <c r="AK30" i="113"/>
  <c r="AL12" i="60" s="1"/>
  <c r="G67" i="44"/>
  <c r="G81" i="44" s="1"/>
  <c r="D13" i="61"/>
  <c r="F13" i="61" s="1"/>
  <c r="J15" i="76"/>
  <c r="Q13" i="65"/>
  <c r="AL20" i="113"/>
  <c r="AP32" i="44" l="1"/>
  <c r="AP5" i="44"/>
  <c r="AS106" i="44" s="1"/>
  <c r="Q22" i="115"/>
  <c r="D44" i="44" s="1"/>
  <c r="AO14" i="44"/>
  <c r="C43" i="44"/>
  <c r="AN5" i="44"/>
  <c r="AR106" i="44" s="1"/>
  <c r="C46" i="44"/>
  <c r="E46" i="44" s="1"/>
  <c r="AN32" i="44"/>
  <c r="P118" i="80"/>
  <c r="P49" i="80"/>
  <c r="P44" i="80"/>
  <c r="P2" i="80"/>
  <c r="P119" i="80"/>
  <c r="P42" i="80"/>
  <c r="AS38" i="80"/>
  <c r="AS36" i="80"/>
  <c r="Y8" i="64"/>
  <c r="D3" i="81"/>
  <c r="D39" i="81" s="1"/>
  <c r="Q4" i="80"/>
  <c r="Z8" i="60"/>
  <c r="Z10" i="113"/>
  <c r="B99" i="82"/>
  <c r="J98" i="82"/>
  <c r="E9" i="65"/>
  <c r="E9" i="115"/>
  <c r="AE58" i="80"/>
  <c r="AF24" i="80"/>
  <c r="AE66" i="80"/>
  <c r="AK15" i="78"/>
  <c r="AL15" i="78" s="1"/>
  <c r="AM47" i="113"/>
  <c r="J21" i="61"/>
  <c r="P22" i="65"/>
  <c r="R108" i="44" s="1"/>
  <c r="AN73" i="113"/>
  <c r="AM84" i="113"/>
  <c r="AL21" i="60"/>
  <c r="AM46" i="113"/>
  <c r="AL57" i="113"/>
  <c r="AM39" i="60"/>
  <c r="AM74" i="113"/>
  <c r="AL30" i="113"/>
  <c r="AM12" i="60" s="1"/>
  <c r="AM19" i="113"/>
  <c r="L67" i="44"/>
  <c r="AM20" i="113"/>
  <c r="J15" i="91"/>
  <c r="P15" i="76"/>
  <c r="AP14" i="44" l="1"/>
  <c r="AS107" i="44" s="1"/>
  <c r="AM14" i="44"/>
  <c r="AO107" i="44" s="1"/>
  <c r="AT106" i="44"/>
  <c r="E43" i="44"/>
  <c r="Q118" i="80"/>
  <c r="Q44" i="80"/>
  <c r="Q49" i="80"/>
  <c r="Q2" i="80"/>
  <c r="Q119" i="80"/>
  <c r="Q47" i="80"/>
  <c r="Q42" i="80"/>
  <c r="P43" i="80"/>
  <c r="AT36" i="80"/>
  <c r="AT38" i="80"/>
  <c r="AA8" i="60"/>
  <c r="AA10" i="113"/>
  <c r="E3" i="81"/>
  <c r="E39" i="81" s="1"/>
  <c r="Z8" i="64"/>
  <c r="R4" i="80"/>
  <c r="J99" i="82"/>
  <c r="B100" i="82"/>
  <c r="F9" i="65"/>
  <c r="F9" i="115"/>
  <c r="I131" i="44"/>
  <c r="J131" i="44" s="1"/>
  <c r="I129" i="44"/>
  <c r="J129" i="44" s="1"/>
  <c r="I130" i="44"/>
  <c r="J130" i="44" s="1"/>
  <c r="J16" i="76"/>
  <c r="P16" i="76" s="1"/>
  <c r="J16" i="91"/>
  <c r="AG24" i="80"/>
  <c r="AF58" i="80"/>
  <c r="AF66" i="80"/>
  <c r="AO73" i="113"/>
  <c r="AN84" i="113"/>
  <c r="Q22" i="65"/>
  <c r="G68" i="44"/>
  <c r="D21" i="61"/>
  <c r="F21" i="61" s="1"/>
  <c r="AN39" i="60"/>
  <c r="AN74" i="113"/>
  <c r="AM21" i="60"/>
  <c r="AN47" i="113"/>
  <c r="AN46" i="113"/>
  <c r="AM57" i="113"/>
  <c r="AN19" i="113"/>
  <c r="AM30" i="113"/>
  <c r="AN12" i="60" s="1"/>
  <c r="Q15" i="91"/>
  <c r="P15" i="91"/>
  <c r="AN20" i="113"/>
  <c r="Q43" i="80" l="1"/>
  <c r="C44" i="44"/>
  <c r="E44" i="44" s="1"/>
  <c r="AN14" i="44"/>
  <c r="AR107" i="44" s="1"/>
  <c r="R118" i="80"/>
  <c r="R49" i="80"/>
  <c r="R44" i="80"/>
  <c r="R2" i="80"/>
  <c r="R119" i="80"/>
  <c r="R42" i="80"/>
  <c r="R47" i="80"/>
  <c r="Q70" i="80"/>
  <c r="AU38" i="80"/>
  <c r="AU36" i="80"/>
  <c r="AB10" i="113"/>
  <c r="AB8" i="60"/>
  <c r="AA8" i="64"/>
  <c r="S4" i="80"/>
  <c r="F3" i="81"/>
  <c r="F39" i="81" s="1"/>
  <c r="J100" i="82"/>
  <c r="B101" i="82"/>
  <c r="G9" i="65"/>
  <c r="G9" i="115"/>
  <c r="Q16" i="91"/>
  <c r="P16" i="91"/>
  <c r="AH24" i="80"/>
  <c r="AG58" i="80"/>
  <c r="AG66" i="80"/>
  <c r="AO74" i="113"/>
  <c r="AN21" i="60"/>
  <c r="AO46" i="113"/>
  <c r="AN57" i="113"/>
  <c r="AO47" i="113"/>
  <c r="AO39" i="60"/>
  <c r="G70" i="44"/>
  <c r="G83" i="44" s="1"/>
  <c r="L68" i="44"/>
  <c r="AP73" i="113"/>
  <c r="AO84" i="113"/>
  <c r="AO19" i="113"/>
  <c r="AN30" i="113"/>
  <c r="AO12" i="60" s="1"/>
  <c r="AO20" i="113"/>
  <c r="R43" i="80" l="1"/>
  <c r="AT107" i="44"/>
  <c r="R70" i="80"/>
  <c r="S118" i="80"/>
  <c r="S44" i="80"/>
  <c r="S49" i="80"/>
  <c r="S2" i="80"/>
  <c r="S119" i="80"/>
  <c r="S47" i="80"/>
  <c r="S42" i="80"/>
  <c r="AV36" i="80"/>
  <c r="AW36" i="80" s="1"/>
  <c r="AX36" i="80" s="1"/>
  <c r="AY36" i="80" s="1"/>
  <c r="AZ36" i="80" s="1"/>
  <c r="BA36" i="80" s="1"/>
  <c r="AV38" i="80"/>
  <c r="AW38" i="80" s="1"/>
  <c r="AX38" i="80" s="1"/>
  <c r="AY38" i="80" s="1"/>
  <c r="AZ38" i="80" s="1"/>
  <c r="BA38" i="80" s="1"/>
  <c r="AB8" i="64"/>
  <c r="G3" i="81"/>
  <c r="G39" i="81" s="1"/>
  <c r="T4" i="80"/>
  <c r="AC10" i="113"/>
  <c r="AC8" i="60"/>
  <c r="B102" i="82"/>
  <c r="J101" i="82"/>
  <c r="H9" i="65"/>
  <c r="H9" i="115"/>
  <c r="AH58" i="80"/>
  <c r="AI24" i="80"/>
  <c r="AH66" i="80"/>
  <c r="AO21" i="60"/>
  <c r="AQ73" i="113"/>
  <c r="AP84" i="113"/>
  <c r="AP46" i="113"/>
  <c r="AO57" i="113"/>
  <c r="AP74" i="113"/>
  <c r="AP39" i="60"/>
  <c r="AP47" i="113"/>
  <c r="AP19" i="113"/>
  <c r="AO30" i="113"/>
  <c r="AP12" i="60" s="1"/>
  <c r="AP20" i="113"/>
  <c r="T118" i="80" l="1"/>
  <c r="T44" i="80"/>
  <c r="T49" i="80"/>
  <c r="T2" i="80"/>
  <c r="T119" i="80"/>
  <c r="T47" i="80"/>
  <c r="T42" i="80"/>
  <c r="S70" i="80"/>
  <c r="S43" i="80"/>
  <c r="BB36" i="80"/>
  <c r="BB38" i="80"/>
  <c r="AC8" i="64"/>
  <c r="U4" i="80"/>
  <c r="H3" i="81"/>
  <c r="H39" i="81" s="1"/>
  <c r="AD10" i="113"/>
  <c r="AD8" i="60"/>
  <c r="J102" i="82"/>
  <c r="B103" i="82"/>
  <c r="I9" i="65"/>
  <c r="I9" i="115"/>
  <c r="AI58" i="80"/>
  <c r="AI66" i="80"/>
  <c r="AJ24" i="80"/>
  <c r="AP21" i="60"/>
  <c r="AQ47" i="113"/>
  <c r="AQ46" i="113"/>
  <c r="AP57" i="113"/>
  <c r="AQ39" i="60"/>
  <c r="AR73" i="113"/>
  <c r="AQ84" i="113"/>
  <c r="AQ74" i="113"/>
  <c r="AQ19" i="113"/>
  <c r="AP30" i="113"/>
  <c r="AQ12" i="60" s="1"/>
  <c r="AQ20" i="113"/>
  <c r="T70" i="80" l="1"/>
  <c r="T43" i="80"/>
  <c r="U118" i="80"/>
  <c r="U44" i="80"/>
  <c r="U49" i="80"/>
  <c r="U2" i="80"/>
  <c r="U119" i="80"/>
  <c r="U47" i="80"/>
  <c r="U42" i="80"/>
  <c r="BC38" i="80"/>
  <c r="BC36" i="80"/>
  <c r="I3" i="81"/>
  <c r="I39" i="81" s="1"/>
  <c r="AD8" i="64"/>
  <c r="V4" i="80"/>
  <c r="AE10" i="113"/>
  <c r="AE8" i="60"/>
  <c r="B104" i="82"/>
  <c r="J103" i="82"/>
  <c r="J9" i="65"/>
  <c r="J9" i="115"/>
  <c r="AK24" i="80"/>
  <c r="AJ58" i="80"/>
  <c r="AJ66" i="80"/>
  <c r="AR39" i="60"/>
  <c r="AR46" i="113"/>
  <c r="AQ57" i="113"/>
  <c r="AQ21" i="60"/>
  <c r="AS73" i="113"/>
  <c r="AR84" i="113"/>
  <c r="AR74" i="113"/>
  <c r="AR47" i="113"/>
  <c r="AQ30" i="113"/>
  <c r="AR12" i="60" s="1"/>
  <c r="AR19" i="113"/>
  <c r="AR20" i="113"/>
  <c r="U70" i="80" l="1"/>
  <c r="V118" i="80"/>
  <c r="V44" i="80"/>
  <c r="V49" i="80"/>
  <c r="V2" i="80"/>
  <c r="V119" i="80"/>
  <c r="V47" i="80"/>
  <c r="V42" i="80"/>
  <c r="U43" i="80"/>
  <c r="BD36" i="80"/>
  <c r="BD38" i="80"/>
  <c r="AF8" i="60"/>
  <c r="AF10" i="113"/>
  <c r="W4" i="80"/>
  <c r="J3" i="81"/>
  <c r="J39" i="81" s="1"/>
  <c r="AE8" i="64"/>
  <c r="J104" i="82"/>
  <c r="B105" i="82"/>
  <c r="K9" i="115"/>
  <c r="K9" i="65"/>
  <c r="AK58" i="80"/>
  <c r="AK66" i="80"/>
  <c r="AL24" i="80"/>
  <c r="AS39" i="60"/>
  <c r="AR21" i="60"/>
  <c r="AT73" i="113"/>
  <c r="AS84" i="113"/>
  <c r="AS47" i="113"/>
  <c r="AS46" i="113"/>
  <c r="AR57" i="113"/>
  <c r="AS74" i="113"/>
  <c r="AS19" i="113"/>
  <c r="AR30" i="113"/>
  <c r="AS12" i="60" s="1"/>
  <c r="AS20" i="113"/>
  <c r="V70" i="80" l="1"/>
  <c r="V43" i="80"/>
  <c r="W118" i="80"/>
  <c r="W2" i="80"/>
  <c r="W119" i="80"/>
  <c r="W47" i="80"/>
  <c r="K49" i="80" s="1"/>
  <c r="W42" i="80"/>
  <c r="BE38" i="80"/>
  <c r="BE36" i="80"/>
  <c r="AG10" i="113"/>
  <c r="AG8" i="60"/>
  <c r="X4" i="80"/>
  <c r="AF8" i="64"/>
  <c r="K3" i="81"/>
  <c r="K39" i="81" s="1"/>
  <c r="J105" i="82"/>
  <c r="B106" i="82"/>
  <c r="L9" i="65"/>
  <c r="L9" i="115"/>
  <c r="AL66" i="80"/>
  <c r="AL58" i="80"/>
  <c r="AM24" i="80"/>
  <c r="AT46" i="113"/>
  <c r="AS57" i="113"/>
  <c r="AS21" i="60"/>
  <c r="AT39" i="60"/>
  <c r="AT47" i="113"/>
  <c r="AU73" i="113"/>
  <c r="AT84" i="113"/>
  <c r="AT74" i="113"/>
  <c r="AS30" i="113"/>
  <c r="AT12" i="60" s="1"/>
  <c r="AT19" i="113"/>
  <c r="AT20" i="113"/>
  <c r="L47" i="80" l="1"/>
  <c r="L70" i="80" s="1"/>
  <c r="M47" i="80"/>
  <c r="M70" i="80" s="1"/>
  <c r="N47" i="80"/>
  <c r="N70" i="80" s="1"/>
  <c r="O47" i="80"/>
  <c r="O70" i="80" s="1"/>
  <c r="P47" i="80"/>
  <c r="P70" i="80" s="1"/>
  <c r="W70" i="80"/>
  <c r="X118" i="80"/>
  <c r="X49" i="80"/>
  <c r="X44" i="80"/>
  <c r="X2" i="80"/>
  <c r="X119" i="80"/>
  <c r="W43" i="80"/>
  <c r="BF36" i="80"/>
  <c r="BF38" i="80"/>
  <c r="Y4" i="80"/>
  <c r="L3" i="81"/>
  <c r="L39" i="81" s="1"/>
  <c r="AG8" i="64"/>
  <c r="AH8" i="60"/>
  <c r="AH10" i="113"/>
  <c r="B107" i="82"/>
  <c r="J106" i="82"/>
  <c r="M9" i="65"/>
  <c r="M9" i="115"/>
  <c r="AM66" i="80"/>
  <c r="AN24" i="80"/>
  <c r="AM58" i="80"/>
  <c r="AV73" i="113"/>
  <c r="AU84" i="113"/>
  <c r="AU47" i="113"/>
  <c r="AU39" i="60"/>
  <c r="AT21" i="60"/>
  <c r="AU74" i="113"/>
  <c r="AU46" i="113"/>
  <c r="AT57" i="113"/>
  <c r="AT30" i="113"/>
  <c r="AU12" i="60" s="1"/>
  <c r="AU19" i="113"/>
  <c r="AU20" i="113"/>
  <c r="Y118" i="80" l="1"/>
  <c r="Y44" i="80"/>
  <c r="Y49" i="80"/>
  <c r="Y2" i="80"/>
  <c r="Y119" i="80"/>
  <c r="W44" i="80"/>
  <c r="X42" i="80" s="1"/>
  <c r="BG38" i="80"/>
  <c r="BG36" i="80"/>
  <c r="AI10" i="113"/>
  <c r="AI8" i="60"/>
  <c r="M3" i="81"/>
  <c r="M39" i="81" s="1"/>
  <c r="AH8" i="64"/>
  <c r="Z4" i="80"/>
  <c r="B108" i="82"/>
  <c r="J107" i="82"/>
  <c r="N9" i="115"/>
  <c r="N9" i="65"/>
  <c r="AN58" i="80"/>
  <c r="AN66" i="80"/>
  <c r="AO24" i="80"/>
  <c r="AU21" i="60"/>
  <c r="AV46" i="113"/>
  <c r="AU57" i="113"/>
  <c r="AV47" i="113"/>
  <c r="AV74" i="113"/>
  <c r="AV39" i="60"/>
  <c r="AW73" i="113"/>
  <c r="AV84" i="113"/>
  <c r="AV19" i="113"/>
  <c r="AU30" i="113"/>
  <c r="AV12" i="60" s="1"/>
  <c r="AV20" i="113"/>
  <c r="Z118" i="80" l="1"/>
  <c r="Z44" i="80"/>
  <c r="Z49" i="80"/>
  <c r="Z2" i="80"/>
  <c r="Z119" i="80"/>
  <c r="Z42" i="80"/>
  <c r="X43" i="80"/>
  <c r="Y42" i="80"/>
  <c r="BH36" i="80"/>
  <c r="BI36" i="80" s="1"/>
  <c r="BJ36" i="80" s="1"/>
  <c r="BK36" i="80" s="1"/>
  <c r="BL36" i="80" s="1"/>
  <c r="BM36" i="80" s="1"/>
  <c r="BH38" i="80"/>
  <c r="BI38" i="80" s="1"/>
  <c r="BJ38" i="80" s="1"/>
  <c r="BK38" i="80" s="1"/>
  <c r="BL38" i="80" s="1"/>
  <c r="BM38" i="80" s="1"/>
  <c r="N3" i="81"/>
  <c r="N39" i="81" s="1"/>
  <c r="AA4" i="80"/>
  <c r="AI8" i="64"/>
  <c r="AJ10" i="113"/>
  <c r="AJ8" i="60"/>
  <c r="B109" i="82"/>
  <c r="J108" i="82"/>
  <c r="O9" i="65"/>
  <c r="O9" i="115"/>
  <c r="A6" i="65"/>
  <c r="A6" i="115"/>
  <c r="A3" i="108"/>
  <c r="A6" i="91"/>
  <c r="G5" i="60"/>
  <c r="B4" i="44" s="1"/>
  <c r="AO66" i="80"/>
  <c r="AP24" i="80"/>
  <c r="AO58" i="80"/>
  <c r="AW74" i="113"/>
  <c r="AW39" i="60"/>
  <c r="AX73" i="113"/>
  <c r="AW84" i="113"/>
  <c r="AW47" i="113"/>
  <c r="AV21" i="60"/>
  <c r="AW46" i="113"/>
  <c r="AV57" i="113"/>
  <c r="AW19" i="113"/>
  <c r="AV30" i="113"/>
  <c r="AW12" i="60" s="1"/>
  <c r="AW20" i="113"/>
  <c r="Y43" i="80" l="1"/>
  <c r="Z43" i="80" s="1"/>
  <c r="AA118" i="80"/>
  <c r="AA49" i="80"/>
  <c r="AA44" i="80"/>
  <c r="AA2" i="80"/>
  <c r="AA119" i="80"/>
  <c r="AA42" i="80"/>
  <c r="BN36" i="80"/>
  <c r="BN38" i="80"/>
  <c r="AB4" i="80"/>
  <c r="O3" i="81"/>
  <c r="O39" i="81" s="1"/>
  <c r="AJ8" i="64"/>
  <c r="AK10" i="113"/>
  <c r="AK8" i="60"/>
  <c r="B110" i="82"/>
  <c r="J109" i="82"/>
  <c r="AP66" i="80"/>
  <c r="AQ24" i="80"/>
  <c r="AP58" i="80"/>
  <c r="AX47" i="113"/>
  <c r="AX39" i="60"/>
  <c r="AY73" i="113"/>
  <c r="AX84" i="113"/>
  <c r="AW21" i="60"/>
  <c r="AX46" i="113"/>
  <c r="AW57" i="113"/>
  <c r="AX74" i="113"/>
  <c r="AW30" i="113"/>
  <c r="AX12" i="60" s="1"/>
  <c r="AX19" i="113"/>
  <c r="AX20" i="113"/>
  <c r="AB118" i="80" l="1"/>
  <c r="AB44" i="80"/>
  <c r="AB49" i="80"/>
  <c r="AB2" i="80"/>
  <c r="AB119" i="80"/>
  <c r="AB42" i="80"/>
  <c r="AA43" i="80"/>
  <c r="BO38" i="80"/>
  <c r="BO36" i="80"/>
  <c r="AC4" i="80"/>
  <c r="AK8" i="64"/>
  <c r="AL8" i="60"/>
  <c r="AL10" i="113"/>
  <c r="B111" i="82"/>
  <c r="J110" i="82"/>
  <c r="AQ66" i="80"/>
  <c r="AR24" i="80"/>
  <c r="AQ58" i="80"/>
  <c r="AY39" i="60"/>
  <c r="AZ73" i="113"/>
  <c r="AY84" i="113"/>
  <c r="AY74" i="113"/>
  <c r="AY47" i="113"/>
  <c r="AX21" i="60"/>
  <c r="AY46" i="113"/>
  <c r="AX57" i="113"/>
  <c r="AY19" i="113"/>
  <c r="AX30" i="113"/>
  <c r="AY12" i="60" s="1"/>
  <c r="AY20" i="113"/>
  <c r="AB43" i="80" l="1"/>
  <c r="AC118" i="80"/>
  <c r="AC49" i="80"/>
  <c r="AC44" i="80"/>
  <c r="AC2" i="80"/>
  <c r="AC119" i="80"/>
  <c r="AC47" i="80"/>
  <c r="AC42" i="80"/>
  <c r="BP36" i="80"/>
  <c r="BP38" i="80"/>
  <c r="AM8" i="60"/>
  <c r="AM10" i="113"/>
  <c r="AD4" i="80"/>
  <c r="AL8" i="64"/>
  <c r="J111" i="82"/>
  <c r="B112" i="82"/>
  <c r="AR58" i="80"/>
  <c r="AR66" i="80"/>
  <c r="AS24" i="80"/>
  <c r="AZ74" i="113"/>
  <c r="AZ39" i="60"/>
  <c r="AZ46" i="113"/>
  <c r="AY57" i="113"/>
  <c r="AZ47" i="113"/>
  <c r="BA73" i="113"/>
  <c r="AZ84" i="113"/>
  <c r="AY21" i="60"/>
  <c r="AZ19" i="113"/>
  <c r="AY30" i="113"/>
  <c r="AZ12" i="60" s="1"/>
  <c r="AZ20" i="113"/>
  <c r="AC70" i="80" l="1"/>
  <c r="AD118" i="80"/>
  <c r="AD49" i="80"/>
  <c r="AD44" i="80"/>
  <c r="AD2" i="80"/>
  <c r="AD119" i="80"/>
  <c r="AD47" i="80"/>
  <c r="AD42" i="80"/>
  <c r="AC43" i="80"/>
  <c r="BQ38" i="80"/>
  <c r="BQ36" i="80"/>
  <c r="AN10" i="113"/>
  <c r="AN8" i="60"/>
  <c r="AE4" i="80"/>
  <c r="AM8" i="64"/>
  <c r="J112" i="82"/>
  <c r="B113" i="82"/>
  <c r="AS58" i="80"/>
  <c r="AS66" i="80"/>
  <c r="AT24" i="80"/>
  <c r="BA46" i="113"/>
  <c r="AZ57" i="113"/>
  <c r="AZ21" i="60"/>
  <c r="BA47" i="113"/>
  <c r="BA74" i="113"/>
  <c r="BA39" i="60"/>
  <c r="BB73" i="113"/>
  <c r="BA84" i="113"/>
  <c r="BA19" i="113"/>
  <c r="AZ30" i="113"/>
  <c r="BA12" i="60" s="1"/>
  <c r="BA20" i="113"/>
  <c r="AD70" i="80" l="1"/>
  <c r="AD43" i="80"/>
  <c r="AE118" i="80"/>
  <c r="AE49" i="80"/>
  <c r="AE44" i="80"/>
  <c r="AE2" i="80"/>
  <c r="AE119" i="80"/>
  <c r="AE42" i="80"/>
  <c r="AE47" i="80"/>
  <c r="BR36" i="80"/>
  <c r="BR38" i="80"/>
  <c r="AF4" i="80"/>
  <c r="AN8" i="64"/>
  <c r="AO8" i="60"/>
  <c r="AO10" i="113"/>
  <c r="B114" i="82"/>
  <c r="J113" i="82"/>
  <c r="AU24" i="80"/>
  <c r="AT58" i="80"/>
  <c r="AT66" i="80"/>
  <c r="BB47" i="113"/>
  <c r="BC73" i="113"/>
  <c r="BB84" i="113"/>
  <c r="BA21" i="60"/>
  <c r="BB74" i="113"/>
  <c r="BB46" i="113"/>
  <c r="BA57" i="113"/>
  <c r="BB39" i="60"/>
  <c r="BB19" i="113"/>
  <c r="BA30" i="113"/>
  <c r="BB12" i="60" s="1"/>
  <c r="BB20" i="113"/>
  <c r="AF118" i="80" l="1"/>
  <c r="AF49" i="80"/>
  <c r="AF44" i="80"/>
  <c r="AF2" i="80"/>
  <c r="AF119" i="80"/>
  <c r="AF47" i="80"/>
  <c r="AF42" i="80"/>
  <c r="AE70" i="80"/>
  <c r="AE43" i="80"/>
  <c r="BS38" i="80"/>
  <c r="BS36" i="80"/>
  <c r="AP8" i="60"/>
  <c r="AP10" i="113"/>
  <c r="AG4" i="80"/>
  <c r="AO8" i="64"/>
  <c r="B115" i="82"/>
  <c r="J114" i="82"/>
  <c r="AU58" i="80"/>
  <c r="AV24" i="80"/>
  <c r="AU66" i="80"/>
  <c r="BC39" i="60"/>
  <c r="BD73" i="113"/>
  <c r="BC84" i="113"/>
  <c r="BC74" i="113"/>
  <c r="BC47" i="113"/>
  <c r="BB21" i="60"/>
  <c r="BC46" i="113"/>
  <c r="BB57" i="113"/>
  <c r="BB30" i="113"/>
  <c r="BC12" i="60" s="1"/>
  <c r="BC19" i="113"/>
  <c r="BC20" i="113"/>
  <c r="AF43" i="80" l="1"/>
  <c r="AF70" i="80"/>
  <c r="AG118" i="80"/>
  <c r="AG44" i="80"/>
  <c r="AG49" i="80"/>
  <c r="AG2" i="80"/>
  <c r="AG119" i="80"/>
  <c r="AG42" i="80"/>
  <c r="AG47" i="80"/>
  <c r="BT36" i="80"/>
  <c r="BU36" i="80" s="1"/>
  <c r="BV36" i="80" s="1"/>
  <c r="BW36" i="80" s="1"/>
  <c r="BX36" i="80" s="1"/>
  <c r="BY36" i="80" s="1"/>
  <c r="BT38" i="80"/>
  <c r="BU38" i="80" s="1"/>
  <c r="BV38" i="80" s="1"/>
  <c r="BW38" i="80" s="1"/>
  <c r="BX38" i="80" s="1"/>
  <c r="BY38" i="80" s="1"/>
  <c r="AQ10" i="113"/>
  <c r="AQ8" i="60"/>
  <c r="AH4" i="80"/>
  <c r="AP8" i="64"/>
  <c r="J115" i="82"/>
  <c r="B116" i="82"/>
  <c r="AV66" i="80"/>
  <c r="AV58" i="80"/>
  <c r="AW24" i="80"/>
  <c r="BD74" i="113"/>
  <c r="BC21" i="60"/>
  <c r="BD39" i="60"/>
  <c r="BD46" i="113"/>
  <c r="BC57" i="113"/>
  <c r="BE73" i="113"/>
  <c r="BD84" i="113"/>
  <c r="BD47" i="113"/>
  <c r="BD19" i="113"/>
  <c r="BC30" i="113"/>
  <c r="BD12" i="60" s="1"/>
  <c r="BD20" i="113"/>
  <c r="AG70" i="80" l="1"/>
  <c r="AH118" i="80"/>
  <c r="AH44" i="80"/>
  <c r="AH49" i="80"/>
  <c r="AH2" i="80"/>
  <c r="AH119" i="80"/>
  <c r="AH47" i="80"/>
  <c r="AH42" i="80"/>
  <c r="AG43" i="80"/>
  <c r="BZ36" i="80"/>
  <c r="BZ38" i="80"/>
  <c r="AI4" i="80"/>
  <c r="AQ8" i="64"/>
  <c r="AR8" i="60"/>
  <c r="AR10" i="113"/>
  <c r="B117" i="82"/>
  <c r="J116" i="82"/>
  <c r="AX24" i="80"/>
  <c r="AW66" i="80"/>
  <c r="AW58" i="80"/>
  <c r="BE39" i="60"/>
  <c r="BD21" i="60"/>
  <c r="BE46" i="113"/>
  <c r="BD57" i="113"/>
  <c r="BF73" i="113"/>
  <c r="BE84" i="113"/>
  <c r="BE47" i="113"/>
  <c r="BE74" i="113"/>
  <c r="BD30" i="113"/>
  <c r="BE12" i="60" s="1"/>
  <c r="BE19" i="113"/>
  <c r="BE20" i="113"/>
  <c r="AH70" i="80" l="1"/>
  <c r="AH43" i="80"/>
  <c r="AI118" i="80"/>
  <c r="AI2" i="80"/>
  <c r="AI119" i="80"/>
  <c r="AI42" i="80"/>
  <c r="AI47" i="80"/>
  <c r="CA38" i="80"/>
  <c r="CA36" i="80"/>
  <c r="AS10" i="113"/>
  <c r="AS8" i="60"/>
  <c r="AR8" i="64"/>
  <c r="AJ4" i="80"/>
  <c r="J117" i="82"/>
  <c r="B118" i="82"/>
  <c r="AY24" i="80"/>
  <c r="AX66" i="80"/>
  <c r="AX58" i="80"/>
  <c r="BF39" i="60"/>
  <c r="BG73" i="113"/>
  <c r="BF84" i="113"/>
  <c r="BE21" i="60"/>
  <c r="BF46" i="113"/>
  <c r="BE57" i="113"/>
  <c r="BF74" i="113"/>
  <c r="BF47" i="113"/>
  <c r="BE30" i="113"/>
  <c r="BF12" i="60" s="1"/>
  <c r="BF19" i="113"/>
  <c r="BF20" i="113"/>
  <c r="AI70" i="80" l="1"/>
  <c r="W49" i="80"/>
  <c r="AJ118" i="80"/>
  <c r="AJ44" i="80"/>
  <c r="AJ49" i="80"/>
  <c r="AJ2" i="80"/>
  <c r="AJ119" i="80"/>
  <c r="AI43" i="80"/>
  <c r="CB36" i="80"/>
  <c r="CB38" i="80"/>
  <c r="AK4" i="80"/>
  <c r="AS8" i="64"/>
  <c r="AT10" i="113"/>
  <c r="AT8" i="60"/>
  <c r="B119" i="82"/>
  <c r="J118" i="82"/>
  <c r="AZ24" i="80"/>
  <c r="AY58" i="80"/>
  <c r="AY66" i="80"/>
  <c r="BF21" i="60"/>
  <c r="BG46" i="113"/>
  <c r="BF57" i="113"/>
  <c r="BG74" i="113"/>
  <c r="BG39" i="60"/>
  <c r="BG47" i="113"/>
  <c r="BH73" i="113"/>
  <c r="BG84" i="113"/>
  <c r="BG19" i="113"/>
  <c r="BF30" i="113"/>
  <c r="BG12" i="60" s="1"/>
  <c r="BG20" i="113"/>
  <c r="AI44" i="80" l="1"/>
  <c r="AJ42" i="80" s="1"/>
  <c r="AK118" i="80"/>
  <c r="AK44" i="80"/>
  <c r="AK49" i="80"/>
  <c r="AK2" i="80"/>
  <c r="AK119" i="80"/>
  <c r="AK42" i="80"/>
  <c r="X47" i="80"/>
  <c r="X70" i="80" s="1"/>
  <c r="Y47" i="80"/>
  <c r="Y70" i="80" s="1"/>
  <c r="Z47" i="80"/>
  <c r="Z70" i="80" s="1"/>
  <c r="AA47" i="80"/>
  <c r="AA70" i="80" s="1"/>
  <c r="AB47" i="80"/>
  <c r="AB70" i="80" s="1"/>
  <c r="CC38" i="80"/>
  <c r="CC36" i="80"/>
  <c r="AL4" i="80"/>
  <c r="AT8" i="64"/>
  <c r="AU10" i="113"/>
  <c r="AU8" i="60"/>
  <c r="B120" i="82"/>
  <c r="J119" i="82"/>
  <c r="AZ58" i="80"/>
  <c r="BA24" i="80"/>
  <c r="AZ66" i="80"/>
  <c r="BH74" i="113"/>
  <c r="BG21" i="60"/>
  <c r="BH46" i="113"/>
  <c r="BG57" i="113"/>
  <c r="BH39" i="60"/>
  <c r="BI73" i="113"/>
  <c r="BH84" i="113"/>
  <c r="BH47" i="113"/>
  <c r="BH19" i="113"/>
  <c r="BG30" i="113"/>
  <c r="BH12" i="60" s="1"/>
  <c r="BH20" i="113"/>
  <c r="AL118" i="80" l="1"/>
  <c r="AL44" i="80"/>
  <c r="AL49" i="80"/>
  <c r="AL2" i="80"/>
  <c r="AL119" i="80"/>
  <c r="AL42" i="80"/>
  <c r="AJ43" i="80"/>
  <c r="AK43" i="80" s="1"/>
  <c r="CD36" i="80"/>
  <c r="CD38" i="80"/>
  <c r="AM4" i="80"/>
  <c r="AU8" i="64"/>
  <c r="AV10" i="113"/>
  <c r="AV8" i="60"/>
  <c r="J120" i="82"/>
  <c r="B121" i="82"/>
  <c r="BA66" i="80"/>
  <c r="BA58" i="80"/>
  <c r="BB24" i="80"/>
  <c r="BH21" i="60"/>
  <c r="BI46" i="113"/>
  <c r="BH57" i="113"/>
  <c r="BI47" i="113"/>
  <c r="BI74" i="113"/>
  <c r="BI39" i="60"/>
  <c r="BJ73" i="113"/>
  <c r="BI84" i="113"/>
  <c r="BI19" i="113"/>
  <c r="BH30" i="113"/>
  <c r="BI12" i="60" s="1"/>
  <c r="BI20" i="113"/>
  <c r="AL43" i="80" l="1"/>
  <c r="AM118" i="80"/>
  <c r="AM49" i="80"/>
  <c r="AM44" i="80"/>
  <c r="AM2" i="80"/>
  <c r="AM119" i="80"/>
  <c r="AM42" i="80"/>
  <c r="AV8" i="64"/>
  <c r="AN4" i="80"/>
  <c r="AW8" i="60"/>
  <c r="AW10" i="113"/>
  <c r="J121" i="82"/>
  <c r="B122" i="82"/>
  <c r="BB58" i="80"/>
  <c r="BC24" i="80"/>
  <c r="BB66" i="80"/>
  <c r="BJ47" i="113"/>
  <c r="BJ39" i="60"/>
  <c r="BK73" i="113"/>
  <c r="BJ84" i="113"/>
  <c r="BI21" i="60"/>
  <c r="BJ46" i="113"/>
  <c r="BI57" i="113"/>
  <c r="BJ74" i="113"/>
  <c r="BI30" i="113"/>
  <c r="BJ12" i="60" s="1"/>
  <c r="BJ19" i="113"/>
  <c r="BJ20" i="113"/>
  <c r="AN118" i="80" l="1"/>
  <c r="AN44" i="80"/>
  <c r="AN49" i="80"/>
  <c r="AN2" i="80"/>
  <c r="AN119" i="80"/>
  <c r="AN42" i="80"/>
  <c r="AM43" i="80"/>
  <c r="AX8" i="60"/>
  <c r="AX10" i="113"/>
  <c r="AW8" i="64"/>
  <c r="AO4" i="80"/>
  <c r="B123" i="82"/>
  <c r="J122" i="82"/>
  <c r="BC58" i="80"/>
  <c r="BD24" i="80"/>
  <c r="BC66" i="80"/>
  <c r="BJ21" i="60"/>
  <c r="BK46" i="113"/>
  <c r="BJ57" i="113"/>
  <c r="BK39" i="60"/>
  <c r="BL73" i="113"/>
  <c r="BK84" i="113"/>
  <c r="BK74" i="113"/>
  <c r="BK47" i="113"/>
  <c r="BK19" i="113"/>
  <c r="BJ30" i="113"/>
  <c r="BK12" i="60" s="1"/>
  <c r="BK20" i="113"/>
  <c r="AN43" i="80" l="1"/>
  <c r="AO118" i="80"/>
  <c r="AO44" i="80"/>
  <c r="AO49" i="80"/>
  <c r="AO2" i="80"/>
  <c r="AO119" i="80"/>
  <c r="AO42" i="80"/>
  <c r="AO47" i="80"/>
  <c r="AY8" i="60"/>
  <c r="AY10" i="113"/>
  <c r="AX8" i="64"/>
  <c r="AP4" i="80"/>
  <c r="J123" i="82"/>
  <c r="B124" i="82"/>
  <c r="BD58" i="80"/>
  <c r="BE24" i="80"/>
  <c r="BD66" i="80"/>
  <c r="BL74" i="113"/>
  <c r="BL39" i="60"/>
  <c r="BM73" i="113"/>
  <c r="BL84" i="113"/>
  <c r="BL47" i="113"/>
  <c r="BK21" i="60"/>
  <c r="BL46" i="113"/>
  <c r="BK57" i="113"/>
  <c r="BK30" i="113"/>
  <c r="BL12" i="60" s="1"/>
  <c r="BL19" i="113"/>
  <c r="BL20" i="113"/>
  <c r="AO70" i="80" l="1"/>
  <c r="AP118" i="80"/>
  <c r="AP49" i="80"/>
  <c r="AP44" i="80"/>
  <c r="AP2" i="80"/>
  <c r="AP119" i="80"/>
  <c r="AP42" i="80"/>
  <c r="AP47" i="80"/>
  <c r="AO43" i="80"/>
  <c r="AZ10" i="113"/>
  <c r="AZ8" i="60"/>
  <c r="AY8" i="64"/>
  <c r="AQ4" i="80"/>
  <c r="B125" i="82"/>
  <c r="J124" i="82"/>
  <c r="BE58" i="80"/>
  <c r="BE66" i="80"/>
  <c r="BF24" i="80"/>
  <c r="BM47" i="113"/>
  <c r="BM39" i="60"/>
  <c r="BN73" i="113"/>
  <c r="BM84" i="113"/>
  <c r="BL21" i="60"/>
  <c r="BM46" i="113"/>
  <c r="BL57" i="113"/>
  <c r="BM74" i="113"/>
  <c r="BM19" i="113"/>
  <c r="BL30" i="113"/>
  <c r="BM12" i="60" s="1"/>
  <c r="BM20" i="113"/>
  <c r="AP43" i="80" l="1"/>
  <c r="AP70" i="80"/>
  <c r="AQ118" i="80"/>
  <c r="AQ44" i="80"/>
  <c r="AQ49" i="80"/>
  <c r="AQ2" i="80"/>
  <c r="AQ119" i="80"/>
  <c r="AQ47" i="80"/>
  <c r="AQ42" i="80"/>
  <c r="AR4" i="80"/>
  <c r="AZ8" i="64"/>
  <c r="BA8" i="60"/>
  <c r="BA10" i="113"/>
  <c r="B126" i="82"/>
  <c r="J125" i="82"/>
  <c r="BG24" i="80"/>
  <c r="BF58" i="80"/>
  <c r="BF66" i="80"/>
  <c r="BN39" i="60"/>
  <c r="BN74" i="113"/>
  <c r="BO73" i="113"/>
  <c r="BN84" i="113"/>
  <c r="BM21" i="60"/>
  <c r="BN46" i="113"/>
  <c r="BM57" i="113"/>
  <c r="BN47" i="113"/>
  <c r="BN19" i="113"/>
  <c r="BM30" i="113"/>
  <c r="BN12" i="60" s="1"/>
  <c r="BN20" i="113"/>
  <c r="AQ70" i="80" l="1"/>
  <c r="AR118" i="80"/>
  <c r="AR49" i="80"/>
  <c r="AR44" i="80"/>
  <c r="AR2" i="80"/>
  <c r="AR119" i="80"/>
  <c r="AR42" i="80"/>
  <c r="AR47" i="80"/>
  <c r="AQ43" i="80"/>
  <c r="BB8" i="60"/>
  <c r="BB10" i="113"/>
  <c r="AS4" i="80"/>
  <c r="BA8" i="64"/>
  <c r="B127" i="82"/>
  <c r="J126" i="82"/>
  <c r="BH24" i="80"/>
  <c r="BG66" i="80"/>
  <c r="BG58" i="80"/>
  <c r="BO39" i="60"/>
  <c r="BP73" i="113"/>
  <c r="BO84" i="113"/>
  <c r="BO74" i="113"/>
  <c r="BN21" i="60"/>
  <c r="BO47" i="113"/>
  <c r="BO46" i="113"/>
  <c r="BN57" i="113"/>
  <c r="BO19" i="113"/>
  <c r="BN30" i="113"/>
  <c r="BO12" i="60" s="1"/>
  <c r="BO20" i="113"/>
  <c r="AR43" i="80" l="1"/>
  <c r="AS118" i="80"/>
  <c r="AS44" i="80"/>
  <c r="AS49" i="80"/>
  <c r="AS2" i="80"/>
  <c r="AS119" i="80"/>
  <c r="AS42" i="80"/>
  <c r="AS47" i="80"/>
  <c r="AR70" i="80"/>
  <c r="BC10" i="113"/>
  <c r="BC8" i="60"/>
  <c r="AT4" i="80"/>
  <c r="BB8" i="64"/>
  <c r="J127" i="82"/>
  <c r="B128" i="82"/>
  <c r="BH58" i="80"/>
  <c r="BH66" i="80"/>
  <c r="BI24" i="80"/>
  <c r="BO21" i="60"/>
  <c r="BP46" i="113"/>
  <c r="BO57" i="113"/>
  <c r="BP39" i="60"/>
  <c r="BP74" i="113"/>
  <c r="BQ73" i="113"/>
  <c r="BP84" i="113"/>
  <c r="BP47" i="113"/>
  <c r="BP19" i="113"/>
  <c r="BO30" i="113"/>
  <c r="BP12" i="60" s="1"/>
  <c r="BP20" i="113"/>
  <c r="AS43" i="80" l="1"/>
  <c r="AT118" i="80"/>
  <c r="AT44" i="80"/>
  <c r="AT49" i="80"/>
  <c r="AT2" i="80"/>
  <c r="AT119" i="80"/>
  <c r="AT42" i="80"/>
  <c r="AT47" i="80"/>
  <c r="AS70" i="80"/>
  <c r="AU4" i="80"/>
  <c r="BC8" i="64"/>
  <c r="BD10" i="113"/>
  <c r="BD8" i="60"/>
  <c r="B129" i="82"/>
  <c r="J128" i="82"/>
  <c r="BJ24" i="80"/>
  <c r="BI58" i="80"/>
  <c r="BI66" i="80"/>
  <c r="BQ46" i="113"/>
  <c r="BP57" i="113"/>
  <c r="BP21" i="60"/>
  <c r="BQ47" i="113"/>
  <c r="BQ39" i="60"/>
  <c r="BQ74" i="113"/>
  <c r="BR73" i="113"/>
  <c r="BQ84" i="113"/>
  <c r="BQ19" i="113"/>
  <c r="BP30" i="113"/>
  <c r="BQ12" i="60" s="1"/>
  <c r="BQ20" i="113"/>
  <c r="AT70" i="80" l="1"/>
  <c r="AU118" i="80"/>
  <c r="AU2" i="80"/>
  <c r="AU119" i="80"/>
  <c r="AU47" i="80"/>
  <c r="AI49" i="80" s="1"/>
  <c r="AU42" i="80"/>
  <c r="AT43" i="80"/>
  <c r="BD8" i="64"/>
  <c r="AV4" i="80"/>
  <c r="BE8" i="60"/>
  <c r="BE10" i="113"/>
  <c r="J129" i="82"/>
  <c r="B130" i="82"/>
  <c r="BJ66" i="80"/>
  <c r="BJ58" i="80"/>
  <c r="BK24" i="80"/>
  <c r="BR39" i="60"/>
  <c r="BQ21" i="60"/>
  <c r="BS73" i="113"/>
  <c r="BR84" i="113"/>
  <c r="BR46" i="113"/>
  <c r="BQ57" i="113"/>
  <c r="BR47" i="113"/>
  <c r="BR74" i="113"/>
  <c r="BQ30" i="113"/>
  <c r="BR12" i="60" s="1"/>
  <c r="BR19" i="113"/>
  <c r="BR20" i="113"/>
  <c r="AU43" i="80" l="1"/>
  <c r="AU44" i="80" s="1"/>
  <c r="AV42" i="80" s="1"/>
  <c r="AU70" i="80"/>
  <c r="AV118" i="80"/>
  <c r="AV44" i="80"/>
  <c r="AV49" i="80"/>
  <c r="AV2" i="80"/>
  <c r="AV119" i="80"/>
  <c r="AJ47" i="80"/>
  <c r="AJ70" i="80" s="1"/>
  <c r="AK47" i="80"/>
  <c r="AK70" i="80" s="1"/>
  <c r="AL47" i="80"/>
  <c r="AL70" i="80" s="1"/>
  <c r="AM47" i="80"/>
  <c r="AM70" i="80" s="1"/>
  <c r="AN47" i="80"/>
  <c r="AN70" i="80" s="1"/>
  <c r="BF10" i="113"/>
  <c r="BF8" i="60"/>
  <c r="BE8" i="64"/>
  <c r="AW4" i="80"/>
  <c r="B131" i="82"/>
  <c r="J130" i="82"/>
  <c r="BL24" i="80"/>
  <c r="BK58" i="80"/>
  <c r="BK66" i="80"/>
  <c r="BS47" i="113"/>
  <c r="BR21" i="60"/>
  <c r="BS46" i="113"/>
  <c r="BR57" i="113"/>
  <c r="BS39" i="60"/>
  <c r="BT73" i="113"/>
  <c r="BS84" i="113"/>
  <c r="BS74" i="113"/>
  <c r="BR30" i="113"/>
  <c r="BS12" i="60" s="1"/>
  <c r="BS19" i="113"/>
  <c r="BS20" i="113"/>
  <c r="AV43" i="80" l="1"/>
  <c r="AW118" i="80"/>
  <c r="AW44" i="80"/>
  <c r="AW49" i="80"/>
  <c r="AW2" i="80"/>
  <c r="AW119" i="80"/>
  <c r="AW42" i="80"/>
  <c r="AX4" i="80"/>
  <c r="BF8" i="64"/>
  <c r="BG8" i="60"/>
  <c r="BG10" i="113"/>
  <c r="B132" i="82"/>
  <c r="J131" i="82"/>
  <c r="BL66" i="80"/>
  <c r="BL58" i="80"/>
  <c r="BM24" i="80"/>
  <c r="BT39" i="60"/>
  <c r="BU73" i="113"/>
  <c r="BT84" i="113"/>
  <c r="BS21" i="60"/>
  <c r="BT46" i="113"/>
  <c r="BS57" i="113"/>
  <c r="BT74" i="113"/>
  <c r="BT47" i="113"/>
  <c r="BT19" i="113"/>
  <c r="BS30" i="113"/>
  <c r="BT12" i="60" s="1"/>
  <c r="BT20" i="113"/>
  <c r="AX118" i="80" l="1"/>
  <c r="AX44" i="80"/>
  <c r="AX49" i="80"/>
  <c r="AX2" i="80"/>
  <c r="AX119" i="80"/>
  <c r="AX42" i="80"/>
  <c r="AW43" i="80"/>
  <c r="BH10" i="113"/>
  <c r="BH8" i="60"/>
  <c r="AY4" i="80"/>
  <c r="BG8" i="64"/>
  <c r="B133" i="82"/>
  <c r="J132" i="82"/>
  <c r="BN24" i="80"/>
  <c r="BM58" i="80"/>
  <c r="BM66" i="80"/>
  <c r="BT21" i="60"/>
  <c r="BU46" i="113"/>
  <c r="BT57" i="113"/>
  <c r="BU47" i="113"/>
  <c r="BU39" i="60"/>
  <c r="BV73" i="113"/>
  <c r="BU84" i="113"/>
  <c r="BU74" i="113"/>
  <c r="BU19" i="113"/>
  <c r="BT30" i="113"/>
  <c r="BU12" i="60" s="1"/>
  <c r="BU20" i="113"/>
  <c r="AX43" i="80" l="1"/>
  <c r="AY118" i="80"/>
  <c r="AY44" i="80"/>
  <c r="AY49" i="80"/>
  <c r="AY2" i="80"/>
  <c r="AY119" i="80"/>
  <c r="AY42" i="80"/>
  <c r="AY43" i="80" s="1"/>
  <c r="BH8" i="64"/>
  <c r="AZ4" i="80"/>
  <c r="BI8" i="60"/>
  <c r="BI10" i="113"/>
  <c r="J133" i="82"/>
  <c r="B134" i="82"/>
  <c r="BO24" i="80"/>
  <c r="BN66" i="80"/>
  <c r="BN58" i="80"/>
  <c r="BV39" i="60"/>
  <c r="BW73" i="113"/>
  <c r="BV84" i="113"/>
  <c r="BV47" i="113"/>
  <c r="BU21" i="60"/>
  <c r="BV74" i="113"/>
  <c r="BV46" i="113"/>
  <c r="BU57" i="113"/>
  <c r="BV19" i="113"/>
  <c r="BU30" i="113"/>
  <c r="BV12" i="60" s="1"/>
  <c r="BV20" i="113"/>
  <c r="AZ118" i="80" l="1"/>
  <c r="AZ44" i="80"/>
  <c r="AZ49" i="80"/>
  <c r="AZ2" i="80"/>
  <c r="AZ119" i="80"/>
  <c r="AZ42" i="80"/>
  <c r="AZ43" i="80" s="1"/>
  <c r="BJ8" i="60"/>
  <c r="BJ10" i="113"/>
  <c r="BA4" i="80"/>
  <c r="BI8" i="64"/>
  <c r="B135" i="82"/>
  <c r="J134" i="82"/>
  <c r="BO66" i="80"/>
  <c r="BO58" i="80"/>
  <c r="BP24" i="80"/>
  <c r="BW47" i="113"/>
  <c r="BV21" i="60"/>
  <c r="BW39" i="60"/>
  <c r="BW46" i="113"/>
  <c r="BV57" i="113"/>
  <c r="BX73" i="113"/>
  <c r="BW84" i="113"/>
  <c r="BX39" i="60" s="1"/>
  <c r="BW74" i="113"/>
  <c r="BW19" i="113"/>
  <c r="BV30" i="113"/>
  <c r="BW12" i="60" s="1"/>
  <c r="BW20" i="113"/>
  <c r="BA118" i="80" l="1"/>
  <c r="BA44" i="80"/>
  <c r="BA49" i="80"/>
  <c r="BA2" i="80"/>
  <c r="BA119" i="80"/>
  <c r="BA47" i="80"/>
  <c r="BA42" i="80"/>
  <c r="BK8" i="60"/>
  <c r="BK10" i="113"/>
  <c r="BJ8" i="64"/>
  <c r="BB4" i="80"/>
  <c r="J135" i="82"/>
  <c r="B136" i="82"/>
  <c r="BP66" i="80"/>
  <c r="BP58" i="80"/>
  <c r="BQ24" i="80"/>
  <c r="BY73" i="113"/>
  <c r="BX84" i="113"/>
  <c r="BY39" i="60" s="1"/>
  <c r="BW21" i="60"/>
  <c r="BX46" i="113"/>
  <c r="BW57" i="113"/>
  <c r="BX21" i="60" s="1"/>
  <c r="BX74" i="113"/>
  <c r="BX47" i="113"/>
  <c r="BW30" i="113"/>
  <c r="BX12" i="60" s="1"/>
  <c r="BX19" i="113"/>
  <c r="BX20" i="113"/>
  <c r="BA70" i="80" l="1"/>
  <c r="BA43" i="80"/>
  <c r="BB118" i="80"/>
  <c r="BB44" i="80"/>
  <c r="BB49" i="80"/>
  <c r="BB2" i="80"/>
  <c r="BB119" i="80"/>
  <c r="BB47" i="80"/>
  <c r="BB42" i="80"/>
  <c r="BL10" i="113"/>
  <c r="BL8" i="60"/>
  <c r="BK8" i="64"/>
  <c r="BC4" i="80"/>
  <c r="B137" i="82"/>
  <c r="J136" i="82"/>
  <c r="BR24" i="80"/>
  <c r="BQ58" i="80"/>
  <c r="BQ66" i="80"/>
  <c r="BY46" i="113"/>
  <c r="BX57" i="113"/>
  <c r="BY21" i="60" s="1"/>
  <c r="BY47" i="113"/>
  <c r="BY74" i="113"/>
  <c r="BZ73" i="113"/>
  <c r="BY84" i="113"/>
  <c r="BZ39" i="60" s="1"/>
  <c r="BY19" i="113"/>
  <c r="BX30" i="113"/>
  <c r="BY12" i="60" s="1"/>
  <c r="BY20" i="113"/>
  <c r="BC118" i="80" l="1"/>
  <c r="BC49" i="80"/>
  <c r="BC44" i="80"/>
  <c r="BC2" i="80"/>
  <c r="BC119" i="80"/>
  <c r="BC47" i="80"/>
  <c r="BC42" i="80"/>
  <c r="BB43" i="80"/>
  <c r="BD4" i="80"/>
  <c r="BL8" i="64"/>
  <c r="BM10" i="113"/>
  <c r="BM8" i="60"/>
  <c r="J137" i="82"/>
  <c r="B138" i="82"/>
  <c r="BB70" i="80"/>
  <c r="BR58" i="80"/>
  <c r="BS24" i="80"/>
  <c r="BR66" i="80"/>
  <c r="CA73" i="113"/>
  <c r="BZ84" i="113"/>
  <c r="CA39" i="60" s="1"/>
  <c r="BZ74" i="113"/>
  <c r="BZ47" i="113"/>
  <c r="BZ46" i="113"/>
  <c r="BY57" i="113"/>
  <c r="BZ21" i="60" s="1"/>
  <c r="BZ19" i="113"/>
  <c r="BY30" i="113"/>
  <c r="BZ12" i="60" s="1"/>
  <c r="BZ20" i="113"/>
  <c r="BC70" i="80" l="1"/>
  <c r="BD118" i="80"/>
  <c r="BD49" i="80"/>
  <c r="BD44" i="80"/>
  <c r="BD2" i="80"/>
  <c r="BD119" i="80"/>
  <c r="BD42" i="80"/>
  <c r="BD47" i="80"/>
  <c r="BC43" i="80"/>
  <c r="BM8" i="64"/>
  <c r="BE4" i="80"/>
  <c r="BN10" i="113"/>
  <c r="BN8" i="60"/>
  <c r="J138" i="82"/>
  <c r="B139" i="82"/>
  <c r="BS58" i="80"/>
  <c r="BT24" i="80"/>
  <c r="BS66" i="80"/>
  <c r="CA46" i="113"/>
  <c r="BZ57" i="113"/>
  <c r="CA21" i="60" s="1"/>
  <c r="CA47" i="113"/>
  <c r="CA74" i="113"/>
  <c r="CB73" i="113"/>
  <c r="CA84" i="113"/>
  <c r="CB39" i="60" s="1"/>
  <c r="BZ30" i="113"/>
  <c r="CA12" i="60" s="1"/>
  <c r="CA19" i="113"/>
  <c r="CA20" i="113"/>
  <c r="BD43" i="80" l="1"/>
  <c r="BE118" i="80"/>
  <c r="BE49" i="80"/>
  <c r="BE44" i="80"/>
  <c r="BE2" i="80"/>
  <c r="BE119" i="80"/>
  <c r="BE47" i="80"/>
  <c r="BE42" i="80"/>
  <c r="BD70" i="80"/>
  <c r="BF4" i="80"/>
  <c r="BN8" i="64"/>
  <c r="BO10" i="113"/>
  <c r="BO8" i="60"/>
  <c r="B140" i="82"/>
  <c r="J139" i="82"/>
  <c r="BU24" i="80"/>
  <c r="BT58" i="80"/>
  <c r="BT66" i="80"/>
  <c r="CB74" i="113"/>
  <c r="CB47" i="113"/>
  <c r="CC73" i="113"/>
  <c r="CB84" i="113"/>
  <c r="CC39" i="60" s="1"/>
  <c r="CB46" i="113"/>
  <c r="CA57" i="113"/>
  <c r="CB21" i="60" s="1"/>
  <c r="CB19" i="113"/>
  <c r="CA30" i="113"/>
  <c r="CB12" i="60" s="1"/>
  <c r="CB20" i="113"/>
  <c r="BF118" i="80" l="1"/>
  <c r="BF44" i="80"/>
  <c r="BF49" i="80"/>
  <c r="BF2" i="80"/>
  <c r="BF119" i="80"/>
  <c r="BF42" i="80"/>
  <c r="BF47" i="80"/>
  <c r="BE70" i="80"/>
  <c r="BE43" i="80"/>
  <c r="BO8" i="64"/>
  <c r="BG4" i="80"/>
  <c r="BP8" i="60"/>
  <c r="BP10" i="113"/>
  <c r="B141" i="82"/>
  <c r="J140" i="82"/>
  <c r="BU66" i="80"/>
  <c r="BV24" i="80"/>
  <c r="BU58" i="80"/>
  <c r="CC46" i="113"/>
  <c r="CB57" i="113"/>
  <c r="CC21" i="60" s="1"/>
  <c r="CD73" i="113"/>
  <c r="CC84" i="113"/>
  <c r="CD39" i="60" s="1"/>
  <c r="CC47" i="113"/>
  <c r="CC74" i="113"/>
  <c r="CC19" i="113"/>
  <c r="CB30" i="113"/>
  <c r="CC12" i="60" s="1"/>
  <c r="CC20" i="113"/>
  <c r="BF43" i="80" l="1"/>
  <c r="BG118" i="80"/>
  <c r="BG2" i="80"/>
  <c r="BG119" i="80"/>
  <c r="BG42" i="80"/>
  <c r="BG47" i="80"/>
  <c r="AU49" i="80" s="1"/>
  <c r="BF70" i="80"/>
  <c r="BQ8" i="60"/>
  <c r="BQ10" i="113"/>
  <c r="BP8" i="64"/>
  <c r="BH4" i="80"/>
  <c r="J141" i="82"/>
  <c r="B142" i="82"/>
  <c r="BW24" i="80"/>
  <c r="BV66" i="80"/>
  <c r="BV58" i="80"/>
  <c r="CD47" i="113"/>
  <c r="CD74" i="113"/>
  <c r="CE73" i="113"/>
  <c r="CD84" i="113"/>
  <c r="CE39" i="60" s="1"/>
  <c r="CD46" i="113"/>
  <c r="CC57" i="113"/>
  <c r="CD21" i="60" s="1"/>
  <c r="CC30" i="113"/>
  <c r="CD12" i="60" s="1"/>
  <c r="CD19" i="113"/>
  <c r="CD20" i="113"/>
  <c r="AV47" i="80" l="1"/>
  <c r="AV70" i="80" s="1"/>
  <c r="AW47" i="80"/>
  <c r="AW70" i="80" s="1"/>
  <c r="AX47" i="80"/>
  <c r="AX70" i="80" s="1"/>
  <c r="AY47" i="80"/>
  <c r="AY70" i="80" s="1"/>
  <c r="AZ47" i="80"/>
  <c r="AZ70" i="80" s="1"/>
  <c r="BG70" i="80"/>
  <c r="BH118" i="80"/>
  <c r="BH44" i="80"/>
  <c r="BH49" i="80"/>
  <c r="BH2" i="80"/>
  <c r="BH119" i="80"/>
  <c r="BG43" i="80"/>
  <c r="BR10" i="113"/>
  <c r="BR8" i="60"/>
  <c r="BQ8" i="64"/>
  <c r="BI4" i="80"/>
  <c r="B143" i="82"/>
  <c r="J142" i="82"/>
  <c r="BW58" i="80"/>
  <c r="BW66" i="80"/>
  <c r="BX24" i="80"/>
  <c r="CE46" i="113"/>
  <c r="CD57" i="113"/>
  <c r="CE21" i="60" s="1"/>
  <c r="CF73" i="113"/>
  <c r="CE84" i="113"/>
  <c r="CF39" i="60" s="1"/>
  <c r="CE74" i="113"/>
  <c r="CE47" i="113"/>
  <c r="CE19" i="113"/>
  <c r="CD30" i="113"/>
  <c r="CE12" i="60" s="1"/>
  <c r="CE20" i="113"/>
  <c r="BI118" i="80" l="1"/>
  <c r="BI44" i="80"/>
  <c r="BI49" i="80"/>
  <c r="BI2" i="80"/>
  <c r="BI119" i="80"/>
  <c r="BG44" i="80"/>
  <c r="BH42" i="80" s="1"/>
  <c r="BH43" i="80" s="1"/>
  <c r="BJ4" i="80"/>
  <c r="BR8" i="64"/>
  <c r="BS8" i="60"/>
  <c r="BS10" i="113"/>
  <c r="B144" i="82"/>
  <c r="J143" i="82"/>
  <c r="BY24" i="80"/>
  <c r="BX66" i="80"/>
  <c r="BX58" i="80"/>
  <c r="CF47" i="113"/>
  <c r="CF74" i="113"/>
  <c r="CG73" i="113"/>
  <c r="CF84" i="113"/>
  <c r="CG39" i="60" s="1"/>
  <c r="CF46" i="113"/>
  <c r="CE57" i="113"/>
  <c r="CF21" i="60" s="1"/>
  <c r="CE30" i="113"/>
  <c r="CF12" i="60" s="1"/>
  <c r="CF19" i="113"/>
  <c r="CF20" i="113"/>
  <c r="BI42" i="80" l="1"/>
  <c r="BI43" i="80" s="1"/>
  <c r="BJ118" i="80"/>
  <c r="BJ44" i="80"/>
  <c r="BJ49" i="80"/>
  <c r="BJ2" i="80"/>
  <c r="BJ119" i="80"/>
  <c r="BJ42" i="80"/>
  <c r="BT10" i="113"/>
  <c r="BT8" i="60"/>
  <c r="BS8" i="64"/>
  <c r="BK4" i="80"/>
  <c r="B145" i="82"/>
  <c r="J144" i="82"/>
  <c r="BZ24" i="80"/>
  <c r="BY58" i="80"/>
  <c r="BY66" i="80"/>
  <c r="CG46" i="113"/>
  <c r="CF57" i="113"/>
  <c r="CG21" i="60" s="1"/>
  <c r="CH73" i="113"/>
  <c r="CH84" i="113" s="1"/>
  <c r="CI39" i="60" s="1"/>
  <c r="CG84" i="113"/>
  <c r="CH39" i="60" s="1"/>
  <c r="CG74" i="113"/>
  <c r="CG47" i="113"/>
  <c r="CG19" i="113"/>
  <c r="CF30" i="113"/>
  <c r="CG12" i="60" s="1"/>
  <c r="CG20" i="113"/>
  <c r="BJ43" i="80" l="1"/>
  <c r="BK118" i="80"/>
  <c r="BK49" i="80"/>
  <c r="BK44" i="80"/>
  <c r="BK2" i="80"/>
  <c r="BK119" i="80"/>
  <c r="BK42" i="80"/>
  <c r="BT8" i="64"/>
  <c r="BL4" i="80"/>
  <c r="BU8" i="60"/>
  <c r="BU10" i="113"/>
  <c r="B146" i="82"/>
  <c r="J145" i="82"/>
  <c r="BZ58" i="80"/>
  <c r="CA24" i="80"/>
  <c r="BZ66" i="80"/>
  <c r="CH47" i="113"/>
  <c r="CH74" i="113"/>
  <c r="CH46" i="113"/>
  <c r="CH57" i="113" s="1"/>
  <c r="CI21" i="60" s="1"/>
  <c r="CG57" i="113"/>
  <c r="CH21" i="60" s="1"/>
  <c r="CH19" i="113"/>
  <c r="CH30" i="113" s="1"/>
  <c r="CI12" i="60" s="1"/>
  <c r="CG30" i="113"/>
  <c r="CH12" i="60" s="1"/>
  <c r="CH20" i="113"/>
  <c r="BK43" i="80" l="1"/>
  <c r="BL118" i="80"/>
  <c r="BL44" i="80"/>
  <c r="BL49" i="80"/>
  <c r="BL2" i="80"/>
  <c r="BL119" i="80"/>
  <c r="BL42" i="80"/>
  <c r="BV10" i="113"/>
  <c r="BV8" i="60"/>
  <c r="BU8" i="64"/>
  <c r="BM4" i="80"/>
  <c r="B147" i="82"/>
  <c r="J146" i="82"/>
  <c r="CB24" i="80"/>
  <c r="CA66" i="80"/>
  <c r="CA58" i="80"/>
  <c r="BL43" i="80" l="1"/>
  <c r="BM118" i="80"/>
  <c r="BM49" i="80"/>
  <c r="BM44" i="80"/>
  <c r="BM2" i="80"/>
  <c r="BM119" i="80"/>
  <c r="BM47" i="80"/>
  <c r="BM42" i="80"/>
  <c r="BN4" i="80"/>
  <c r="BV8" i="64"/>
  <c r="BW8" i="60"/>
  <c r="BW10" i="113"/>
  <c r="J147" i="82"/>
  <c r="B148" i="82"/>
  <c r="CB66" i="80"/>
  <c r="CB58" i="80"/>
  <c r="CC24" i="80"/>
  <c r="BM70" i="80" l="1"/>
  <c r="BN118" i="80"/>
  <c r="BN49" i="80"/>
  <c r="BN44" i="80"/>
  <c r="BN2" i="80"/>
  <c r="BN119" i="80"/>
  <c r="BN47" i="80"/>
  <c r="BN42" i="80"/>
  <c r="BM43" i="80"/>
  <c r="BX8" i="60"/>
  <c r="BX10" i="113"/>
  <c r="BO4" i="80"/>
  <c r="BW8" i="64"/>
  <c r="B149" i="82"/>
  <c r="J148" i="82"/>
  <c r="CC58" i="80"/>
  <c r="CD24" i="80"/>
  <c r="CC66" i="80"/>
  <c r="BN43" i="80" l="1"/>
  <c r="BO118" i="80"/>
  <c r="BO44" i="80"/>
  <c r="BO49" i="80"/>
  <c r="BO2" i="80"/>
  <c r="BO119" i="80"/>
  <c r="BO42" i="80"/>
  <c r="BO43" i="80" s="1"/>
  <c r="BO47" i="80"/>
  <c r="BY8" i="60"/>
  <c r="BY10" i="113"/>
  <c r="BP4" i="80"/>
  <c r="BX8" i="64"/>
  <c r="J149" i="82"/>
  <c r="B150" i="82"/>
  <c r="CD58" i="80"/>
  <c r="CD66" i="80"/>
  <c r="BP118" i="80" l="1"/>
  <c r="BP49" i="80"/>
  <c r="BP44" i="80"/>
  <c r="BP2" i="80"/>
  <c r="BP119" i="80"/>
  <c r="BP47" i="80"/>
  <c r="BP42" i="80"/>
  <c r="BZ10" i="113"/>
  <c r="BZ8" i="60"/>
  <c r="BY8" i="64"/>
  <c r="BQ4" i="80"/>
  <c r="J150" i="82"/>
  <c r="B151" i="82"/>
  <c r="BO70" i="80"/>
  <c r="BP70" i="80" l="1"/>
  <c r="BP43" i="80"/>
  <c r="BQ118" i="80"/>
  <c r="BQ49" i="80"/>
  <c r="BQ44" i="80"/>
  <c r="BQ2" i="80"/>
  <c r="BQ119" i="80"/>
  <c r="BQ42" i="80"/>
  <c r="BQ47" i="80"/>
  <c r="BR4" i="80"/>
  <c r="BZ8" i="64"/>
  <c r="CA10" i="113"/>
  <c r="CA8" i="60"/>
  <c r="B152" i="82"/>
  <c r="J151" i="82"/>
  <c r="BN70" i="80"/>
  <c r="BQ43" i="80" l="1"/>
  <c r="BR118" i="80"/>
  <c r="BR49" i="80"/>
  <c r="BR44" i="80"/>
  <c r="BR2" i="80"/>
  <c r="BR119" i="80"/>
  <c r="BR47" i="80"/>
  <c r="BR42" i="80"/>
  <c r="BQ70" i="80"/>
  <c r="BS4" i="80"/>
  <c r="CA8" i="64"/>
  <c r="CB10" i="113"/>
  <c r="CB8" i="60"/>
  <c r="B153" i="82"/>
  <c r="J152" i="82"/>
  <c r="BR43" i="80" l="1"/>
  <c r="BS118" i="80"/>
  <c r="CE118" i="80" s="1"/>
  <c r="BS2" i="80"/>
  <c r="BS119" i="80"/>
  <c r="BS47" i="80"/>
  <c r="BG49" i="80" s="1"/>
  <c r="BS42" i="80"/>
  <c r="BR70" i="80"/>
  <c r="BT4" i="80"/>
  <c r="CB8" i="64"/>
  <c r="CC10" i="113"/>
  <c r="CC8" i="60"/>
  <c r="J153" i="82"/>
  <c r="B154" i="82"/>
  <c r="BS70" i="80" l="1"/>
  <c r="BH47" i="80"/>
  <c r="BH70" i="80" s="1"/>
  <c r="BI47" i="80"/>
  <c r="BI70" i="80" s="1"/>
  <c r="BJ47" i="80"/>
  <c r="BJ70" i="80" s="1"/>
  <c r="BK47" i="80"/>
  <c r="BK70" i="80" s="1"/>
  <c r="BL47" i="80"/>
  <c r="BL70" i="80" s="1"/>
  <c r="BT118" i="80"/>
  <c r="CF118" i="80" s="1"/>
  <c r="BT49" i="80"/>
  <c r="BT44" i="80"/>
  <c r="BT2" i="80"/>
  <c r="BT119" i="80"/>
  <c r="BS43" i="80"/>
  <c r="BS44" i="80" s="1"/>
  <c r="BT42" i="80" s="1"/>
  <c r="BT43" i="80" s="1"/>
  <c r="BU4" i="80"/>
  <c r="CC8" i="64"/>
  <c r="CD10" i="113"/>
  <c r="CD8" i="60"/>
  <c r="B155" i="82"/>
  <c r="J154" i="82"/>
  <c r="BU118" i="80" l="1"/>
  <c r="CG118" i="80" s="1"/>
  <c r="BU44" i="80"/>
  <c r="BU49" i="80"/>
  <c r="BU2" i="80"/>
  <c r="BU119" i="80"/>
  <c r="BU42" i="80"/>
  <c r="BU43" i="80" s="1"/>
  <c r="BV4" i="80"/>
  <c r="CD8" i="64"/>
  <c r="CE10" i="113"/>
  <c r="CE8" i="60"/>
  <c r="J155" i="82"/>
  <c r="B156" i="82"/>
  <c r="BV118" i="80" l="1"/>
  <c r="CH118" i="80" s="1"/>
  <c r="BV44" i="80"/>
  <c r="BV49" i="80"/>
  <c r="BV2" i="80"/>
  <c r="BV119" i="80"/>
  <c r="BV42" i="80"/>
  <c r="BV43" i="80" s="1"/>
  <c r="CE8" i="64"/>
  <c r="BW4" i="80"/>
  <c r="CF10" i="113"/>
  <c r="CF8" i="60"/>
  <c r="J156" i="82"/>
  <c r="B157" i="82"/>
  <c r="BW118" i="80" l="1"/>
  <c r="CI118" i="80" s="1"/>
  <c r="BW44" i="80"/>
  <c r="BW49" i="80"/>
  <c r="BW2" i="80"/>
  <c r="BW119" i="80"/>
  <c r="BW42" i="80"/>
  <c r="BW43" i="80" s="1"/>
  <c r="BX4" i="80"/>
  <c r="CF8" i="64"/>
  <c r="CG8" i="60"/>
  <c r="CG10" i="113"/>
  <c r="B158" i="82"/>
  <c r="J157" i="82"/>
  <c r="BX118" i="80" l="1"/>
  <c r="CJ118" i="80" s="1"/>
  <c r="BX44" i="80"/>
  <c r="BX49" i="80"/>
  <c r="BX2" i="80"/>
  <c r="BX119" i="80"/>
  <c r="BX42" i="80"/>
  <c r="BX43" i="80" s="1"/>
  <c r="CG8" i="64"/>
  <c r="BY4" i="80"/>
  <c r="CH8" i="60"/>
  <c r="CH10" i="113"/>
  <c r="CI8" i="60" s="1"/>
  <c r="M26" i="83" s="1"/>
  <c r="N26" i="83" s="1"/>
  <c r="B159" i="82"/>
  <c r="J158" i="82"/>
  <c r="BY118" i="80" l="1"/>
  <c r="CK118" i="80" s="1"/>
  <c r="BY44" i="80"/>
  <c r="BY49" i="80"/>
  <c r="BY2" i="80"/>
  <c r="BY119" i="80"/>
  <c r="BY42" i="80"/>
  <c r="BY47" i="80"/>
  <c r="CI8" i="64"/>
  <c r="CA4" i="80"/>
  <c r="F23" i="83"/>
  <c r="G24" i="83"/>
  <c r="AO12" i="78"/>
  <c r="D25" i="83"/>
  <c r="D22" i="83"/>
  <c r="D23" i="83"/>
  <c r="E22" i="83"/>
  <c r="AR14" i="78"/>
  <c r="G22" i="83"/>
  <c r="G21" i="83"/>
  <c r="F24" i="83"/>
  <c r="AP11" i="78"/>
  <c r="AN11" i="78"/>
  <c r="G23" i="83"/>
  <c r="AO11" i="78"/>
  <c r="E24" i="83"/>
  <c r="G26" i="83"/>
  <c r="E25" i="83"/>
  <c r="F26" i="83"/>
  <c r="AQ12" i="78"/>
  <c r="AN12" i="78"/>
  <c r="AO14" i="78"/>
  <c r="F25" i="83"/>
  <c r="F22" i="83"/>
  <c r="BZ4" i="80"/>
  <c r="AQ14" i="78"/>
  <c r="CH8" i="64"/>
  <c r="AQ11" i="78"/>
  <c r="AP13" i="78"/>
  <c r="AM12" i="78"/>
  <c r="D24" i="83"/>
  <c r="F21" i="83"/>
  <c r="AQ13" i="78"/>
  <c r="E26" i="83"/>
  <c r="G25" i="83"/>
  <c r="AM14" i="78"/>
  <c r="E21" i="83"/>
  <c r="D21" i="83"/>
  <c r="AM13" i="78"/>
  <c r="AO13" i="78"/>
  <c r="AP14" i="78"/>
  <c r="AR11" i="78"/>
  <c r="AR13" i="78"/>
  <c r="AM11" i="78"/>
  <c r="AN13" i="78"/>
  <c r="AP12" i="78"/>
  <c r="E23" i="83"/>
  <c r="AN14" i="78"/>
  <c r="D26" i="83"/>
  <c r="AR12" i="78"/>
  <c r="J159" i="82"/>
  <c r="B160" i="82"/>
  <c r="BY70" i="80" l="1"/>
  <c r="CA49" i="80"/>
  <c r="CA44" i="80"/>
  <c r="CA2" i="80"/>
  <c r="CA119" i="80"/>
  <c r="CA47" i="80"/>
  <c r="CA42" i="80"/>
  <c r="BZ118" i="80"/>
  <c r="CL118" i="80" s="1"/>
  <c r="BZ49" i="80"/>
  <c r="BZ44" i="80"/>
  <c r="BZ2" i="80"/>
  <c r="BZ119" i="80"/>
  <c r="BZ42" i="80"/>
  <c r="BZ47" i="80"/>
  <c r="BY43" i="80"/>
  <c r="CB4" i="80"/>
  <c r="CA118" i="80"/>
  <c r="CM118" i="80" s="1"/>
  <c r="AN15" i="78"/>
  <c r="AO15" i="78"/>
  <c r="AP15" i="78"/>
  <c r="AQ15" i="78"/>
  <c r="AM15" i="78"/>
  <c r="AR15" i="78"/>
  <c r="B161" i="82"/>
  <c r="J160" i="82"/>
  <c r="BZ43" i="80" l="1"/>
  <c r="CA43" i="80" s="1"/>
  <c r="CB44" i="80"/>
  <c r="CB49" i="80"/>
  <c r="CB2" i="80"/>
  <c r="CB119" i="80"/>
  <c r="CB42" i="80"/>
  <c r="CB47" i="80"/>
  <c r="CC4" i="80"/>
  <c r="CB118" i="80"/>
  <c r="CN118" i="80" s="1"/>
  <c r="J161" i="82"/>
  <c r="B162" i="82"/>
  <c r="CB43" i="80" l="1"/>
  <c r="CC49" i="80"/>
  <c r="CC44" i="80"/>
  <c r="CC2" i="80"/>
  <c r="CC119" i="80"/>
  <c r="CC42" i="80"/>
  <c r="CC43" i="80" s="1"/>
  <c r="CC47" i="80"/>
  <c r="CD4" i="80"/>
  <c r="CC118" i="80"/>
  <c r="B163" i="82"/>
  <c r="J162" i="82"/>
  <c r="CD118" i="80" l="1"/>
  <c r="CD44" i="80"/>
  <c r="CI42" i="80" s="1"/>
  <c r="CD49" i="80"/>
  <c r="CI47" i="80" s="1"/>
  <c r="CD2" i="80"/>
  <c r="CD119" i="80"/>
  <c r="CD47" i="80"/>
  <c r="CD42" i="80"/>
  <c r="CD43" i="80" s="1"/>
  <c r="CE42" i="80"/>
  <c r="B164" i="82"/>
  <c r="J163" i="82"/>
  <c r="CE47" i="80" l="1"/>
  <c r="CE43" i="80"/>
  <c r="CF42" i="80"/>
  <c r="CH42" i="80"/>
  <c r="BS49" i="80"/>
  <c r="CF47" i="80"/>
  <c r="CH47" i="80"/>
  <c r="CG47" i="80"/>
  <c r="CG42" i="80"/>
  <c r="B165" i="82"/>
  <c r="J164" i="82"/>
  <c r="CC70" i="80"/>
  <c r="CD70" i="80"/>
  <c r="CA70" i="80"/>
  <c r="CB70" i="80"/>
  <c r="CF43" i="80" l="1"/>
  <c r="CG43" i="80" s="1"/>
  <c r="CH43" i="80" s="1"/>
  <c r="CI43" i="80" s="1"/>
  <c r="BT47" i="80"/>
  <c r="BT70" i="80" s="1"/>
  <c r="BU47" i="80"/>
  <c r="BU70" i="80" s="1"/>
  <c r="BV47" i="80"/>
  <c r="BV70" i="80" s="1"/>
  <c r="BW47" i="80"/>
  <c r="BW70" i="80" s="1"/>
  <c r="BX47" i="80"/>
  <c r="BX70" i="80" s="1"/>
  <c r="J165" i="82"/>
  <c r="B166" i="82"/>
  <c r="BZ70" i="80"/>
  <c r="B167" i="82" l="1"/>
  <c r="J166" i="82"/>
  <c r="J167" i="82" l="1"/>
  <c r="B168" i="82"/>
  <c r="B169" i="82" l="1"/>
  <c r="J168" i="82"/>
  <c r="J169" i="82" l="1"/>
  <c r="B170" i="82"/>
  <c r="B171" i="82" l="1"/>
  <c r="J170" i="82"/>
  <c r="J171" i="82" l="1"/>
  <c r="B172" i="82"/>
  <c r="B173" i="82" l="1"/>
  <c r="J172" i="82"/>
  <c r="J173" i="82" l="1"/>
  <c r="B174" i="82"/>
  <c r="J174" i="82" l="1"/>
  <c r="B175" i="82"/>
  <c r="B176" i="82" l="1"/>
  <c r="J175" i="82"/>
  <c r="B177" i="82" l="1"/>
  <c r="J176" i="82"/>
  <c r="J177" i="82" l="1"/>
  <c r="B178" i="82"/>
  <c r="B179" i="82" l="1"/>
  <c r="J178" i="82"/>
  <c r="J179" i="82" l="1"/>
  <c r="B180" i="82"/>
  <c r="B181" i="82" l="1"/>
  <c r="J180" i="82"/>
  <c r="B182" i="82" l="1"/>
  <c r="J181" i="82"/>
  <c r="B183" i="82" l="1"/>
  <c r="J182" i="82"/>
  <c r="J183" i="82" l="1"/>
  <c r="B184" i="82"/>
  <c r="B185" i="82" l="1"/>
  <c r="J184" i="82"/>
  <c r="J185" i="82" l="1"/>
  <c r="B186" i="82"/>
  <c r="B187" i="82" l="1"/>
  <c r="J186" i="82"/>
  <c r="B188" i="82" l="1"/>
  <c r="J187" i="82"/>
  <c r="B189" i="82" l="1"/>
  <c r="J188" i="82"/>
  <c r="B190" i="82" l="1"/>
  <c r="J189" i="82"/>
  <c r="B191" i="82" l="1"/>
  <c r="J190" i="82"/>
  <c r="B192" i="82" l="1"/>
  <c r="J191" i="82"/>
  <c r="J192" i="82" l="1"/>
  <c r="B193" i="82"/>
  <c r="B194" i="82" l="1"/>
  <c r="J193" i="82"/>
  <c r="J48" i="80"/>
  <c r="K48" i="80" s="1"/>
  <c r="L48" i="80" s="1"/>
  <c r="J70" i="80"/>
  <c r="B195" i="82" l="1"/>
  <c r="J194" i="82"/>
  <c r="J51" i="80"/>
  <c r="S32" i="72" s="1"/>
  <c r="K51" i="80"/>
  <c r="T32" i="72" s="1"/>
  <c r="M48" i="80"/>
  <c r="M51" i="80" s="1"/>
  <c r="V32" i="72" s="1"/>
  <c r="L51" i="80"/>
  <c r="U32" i="72" s="1"/>
  <c r="B196" i="82" l="1"/>
  <c r="J195" i="82"/>
  <c r="N48" i="80"/>
  <c r="N51" i="80" s="1"/>
  <c r="W32" i="72" s="1"/>
  <c r="O48" i="80" l="1"/>
  <c r="P48" i="80" s="1"/>
  <c r="B197" i="82"/>
  <c r="J196" i="82"/>
  <c r="O51" i="80" l="1"/>
  <c r="X32" i="72" s="1"/>
  <c r="B198" i="82"/>
  <c r="J197" i="82"/>
  <c r="Q48" i="80"/>
  <c r="P51" i="80"/>
  <c r="B199" i="82" l="1"/>
  <c r="J198" i="82"/>
  <c r="Y32" i="72"/>
  <c r="Q51" i="80"/>
  <c r="R48" i="80"/>
  <c r="B200" i="82" l="1"/>
  <c r="J199" i="82"/>
  <c r="AA32" i="72"/>
  <c r="R51" i="80"/>
  <c r="S48" i="80"/>
  <c r="B201" i="82" l="1"/>
  <c r="J200" i="82"/>
  <c r="AB32" i="72"/>
  <c r="T48" i="80"/>
  <c r="S51" i="80"/>
  <c r="B202" i="82" l="1"/>
  <c r="J201" i="82"/>
  <c r="AC32" i="72"/>
  <c r="U48" i="80"/>
  <c r="T51" i="80"/>
  <c r="B203" i="82" l="1"/>
  <c r="J202" i="82"/>
  <c r="AD32" i="72"/>
  <c r="V48" i="80"/>
  <c r="U51" i="80"/>
  <c r="J203" i="82" l="1"/>
  <c r="B204" i="82"/>
  <c r="AE32" i="72"/>
  <c r="W48" i="80"/>
  <c r="V51" i="80"/>
  <c r="B205" i="82" l="1"/>
  <c r="J204" i="82"/>
  <c r="AF32" i="72"/>
  <c r="X48" i="80"/>
  <c r="W51" i="80"/>
  <c r="J205" i="82" l="1"/>
  <c r="B206" i="82"/>
  <c r="AG32" i="72"/>
  <c r="X51" i="80"/>
  <c r="Y48" i="80"/>
  <c r="B207" i="82" l="1"/>
  <c r="J206" i="82"/>
  <c r="AH32" i="72"/>
  <c r="Z48" i="80"/>
  <c r="Y51" i="80"/>
  <c r="B208" i="82" l="1"/>
  <c r="J207" i="82"/>
  <c r="AI32" i="72"/>
  <c r="Z51" i="80"/>
  <c r="AA48" i="80"/>
  <c r="B209" i="82" l="1"/>
  <c r="J208" i="82"/>
  <c r="AB48" i="80"/>
  <c r="AJ32" i="72"/>
  <c r="AA51" i="80"/>
  <c r="B210" i="82" l="1"/>
  <c r="J209" i="82"/>
  <c r="AK32" i="72"/>
  <c r="AC48" i="80"/>
  <c r="AD48" i="80" s="1"/>
  <c r="AE48" i="80" s="1"/>
  <c r="AF48" i="80" s="1"/>
  <c r="AG48" i="80" s="1"/>
  <c r="AH48" i="80" s="1"/>
  <c r="AI48" i="80" s="1"/>
  <c r="AJ48" i="80" s="1"/>
  <c r="AK48" i="80" s="1"/>
  <c r="AL48" i="80" s="1"/>
  <c r="AM48" i="80" s="1"/>
  <c r="AN48" i="80" s="1"/>
  <c r="AO48" i="80" s="1"/>
  <c r="AP48" i="80" s="1"/>
  <c r="AQ48" i="80" s="1"/>
  <c r="AR48" i="80" s="1"/>
  <c r="AS48" i="80" s="1"/>
  <c r="AT48" i="80" s="1"/>
  <c r="AU48" i="80" s="1"/>
  <c r="AV48" i="80" s="1"/>
  <c r="AW48" i="80" s="1"/>
  <c r="AX48" i="80" s="1"/>
  <c r="AY48" i="80" s="1"/>
  <c r="AZ48" i="80" s="1"/>
  <c r="BA48" i="80" s="1"/>
  <c r="BB48" i="80" s="1"/>
  <c r="BC48" i="80" s="1"/>
  <c r="BD48" i="80" s="1"/>
  <c r="BE48" i="80" s="1"/>
  <c r="BF48" i="80" s="1"/>
  <c r="BG48" i="80" s="1"/>
  <c r="BH48" i="80" s="1"/>
  <c r="BI48" i="80" s="1"/>
  <c r="BJ48" i="80" s="1"/>
  <c r="BK48" i="80" s="1"/>
  <c r="BL48" i="80" s="1"/>
  <c r="BM48" i="80" s="1"/>
  <c r="BN48" i="80" s="1"/>
  <c r="BO48" i="80" s="1"/>
  <c r="BP48" i="80" s="1"/>
  <c r="BQ48" i="80" s="1"/>
  <c r="BR48" i="80" s="1"/>
  <c r="BS48" i="80" s="1"/>
  <c r="BT48" i="80" s="1"/>
  <c r="BU48" i="80" s="1"/>
  <c r="BV48" i="80" s="1"/>
  <c r="BW48" i="80" s="1"/>
  <c r="BX48" i="80" s="1"/>
  <c r="BY48" i="80" s="1"/>
  <c r="BZ48" i="80" s="1"/>
  <c r="CA48" i="80" s="1"/>
  <c r="CB48" i="80" s="1"/>
  <c r="CC48" i="80" s="1"/>
  <c r="CD48" i="80" s="1"/>
  <c r="CE48" i="80" s="1"/>
  <c r="CF48" i="80" s="1"/>
  <c r="CG48" i="80" s="1"/>
  <c r="CH48" i="80" s="1"/>
  <c r="CI48" i="80" s="1"/>
  <c r="AB51" i="80"/>
  <c r="B211" i="82" l="1"/>
  <c r="J210" i="82"/>
  <c r="AL32" i="72"/>
  <c r="AM36" i="72" s="1"/>
  <c r="AC51" i="80"/>
  <c r="B212" i="82" l="1"/>
  <c r="J211" i="82"/>
  <c r="AD51" i="80"/>
  <c r="B213" i="82" l="1"/>
  <c r="J212" i="82"/>
  <c r="AE51" i="80"/>
  <c r="J213" i="82" l="1"/>
  <c r="B214" i="82"/>
  <c r="AF51" i="80"/>
  <c r="B215" i="82" l="1"/>
  <c r="J214" i="82"/>
  <c r="AG51" i="80"/>
  <c r="B216" i="82" l="1"/>
  <c r="J215" i="82"/>
  <c r="AH51" i="80"/>
  <c r="J216" i="82" l="1"/>
  <c r="B217" i="82"/>
  <c r="AI51" i="80"/>
  <c r="B218" i="82" l="1"/>
  <c r="J217" i="82"/>
  <c r="AJ51" i="80"/>
  <c r="B219" i="82" l="1"/>
  <c r="J218" i="82"/>
  <c r="AK51" i="80"/>
  <c r="J219" i="82" l="1"/>
  <c r="B220" i="82"/>
  <c r="AL51" i="80"/>
  <c r="B221" i="82" l="1"/>
  <c r="J220" i="82"/>
  <c r="AM51" i="80"/>
  <c r="B222" i="82" l="1"/>
  <c r="J221" i="82"/>
  <c r="AN51" i="80"/>
  <c r="J222" i="82" l="1"/>
  <c r="B223" i="82"/>
  <c r="AO51" i="80"/>
  <c r="B224" i="82" l="1"/>
  <c r="J223" i="82"/>
  <c r="AP51" i="80"/>
  <c r="B225" i="82" l="1"/>
  <c r="J224" i="82"/>
  <c r="AQ51" i="80"/>
  <c r="J225" i="82" l="1"/>
  <c r="B226" i="82"/>
  <c r="AR51" i="80"/>
  <c r="B227" i="82" l="1"/>
  <c r="J226" i="82"/>
  <c r="AS51" i="80"/>
  <c r="B228" i="82" l="1"/>
  <c r="J227" i="82"/>
  <c r="AT51" i="80"/>
  <c r="J228" i="82" l="1"/>
  <c r="B229" i="82"/>
  <c r="AU51" i="80"/>
  <c r="B230" i="82" l="1"/>
  <c r="J229" i="82"/>
  <c r="AV51" i="80"/>
  <c r="B231" i="82" l="1"/>
  <c r="J230" i="82"/>
  <c r="AW51" i="80"/>
  <c r="J231" i="82" l="1"/>
  <c r="B232" i="82"/>
  <c r="AX51" i="80"/>
  <c r="B233" i="82" l="1"/>
  <c r="J232" i="82"/>
  <c r="AY51" i="80"/>
  <c r="B234" i="82" l="1"/>
  <c r="J233" i="82"/>
  <c r="AZ51" i="80"/>
  <c r="J234" i="82" l="1"/>
  <c r="B235" i="82"/>
  <c r="BA51" i="80"/>
  <c r="B236" i="82" l="1"/>
  <c r="J235" i="82"/>
  <c r="BB51" i="80"/>
  <c r="B237" i="82" l="1"/>
  <c r="J236" i="82"/>
  <c r="BC51" i="80"/>
  <c r="J237" i="82" l="1"/>
  <c r="B238" i="82"/>
  <c r="BD51" i="80"/>
  <c r="B239" i="82" l="1"/>
  <c r="J238" i="82"/>
  <c r="BE51" i="80"/>
  <c r="B240" i="82" l="1"/>
  <c r="J239" i="82"/>
  <c r="BF51" i="80"/>
  <c r="J240" i="82" l="1"/>
  <c r="B241" i="82"/>
  <c r="BG51" i="80"/>
  <c r="B242" i="82" l="1"/>
  <c r="J241" i="82"/>
  <c r="BH51" i="80"/>
  <c r="B243" i="82" l="1"/>
  <c r="J242" i="82"/>
  <c r="BI51" i="80"/>
  <c r="J243" i="82" l="1"/>
  <c r="B244" i="82"/>
  <c r="BJ51" i="80"/>
  <c r="B245" i="82" l="1"/>
  <c r="J244" i="82"/>
  <c r="BK51" i="80"/>
  <c r="B246" i="82" l="1"/>
  <c r="J245" i="82"/>
  <c r="BL51" i="80"/>
  <c r="B247" i="82" l="1"/>
  <c r="J246" i="82"/>
  <c r="BM51" i="80"/>
  <c r="B248" i="82" l="1"/>
  <c r="J247" i="82"/>
  <c r="BN51" i="80"/>
  <c r="B249" i="82" l="1"/>
  <c r="J248" i="82"/>
  <c r="BO51" i="80"/>
  <c r="J249" i="82" l="1"/>
  <c r="B250" i="82"/>
  <c r="BP51" i="80"/>
  <c r="B251" i="82" l="1"/>
  <c r="J250" i="82"/>
  <c r="BQ51" i="80"/>
  <c r="B252" i="82" l="1"/>
  <c r="J251" i="82"/>
  <c r="BR51" i="80"/>
  <c r="J252" i="82" l="1"/>
  <c r="B253" i="82"/>
  <c r="BS51" i="80"/>
  <c r="B254" i="82" l="1"/>
  <c r="J253" i="82"/>
  <c r="BT51" i="80"/>
  <c r="B255" i="82" l="1"/>
  <c r="J254" i="82"/>
  <c r="BU51" i="80"/>
  <c r="J255" i="82" l="1"/>
  <c r="B256" i="82"/>
  <c r="BV51" i="80"/>
  <c r="B257" i="82" l="1"/>
  <c r="J256" i="82"/>
  <c r="BW51" i="80"/>
  <c r="B258" i="82" l="1"/>
  <c r="J257" i="82"/>
  <c r="BX51" i="80"/>
  <c r="B259" i="82" l="1"/>
  <c r="J258" i="82"/>
  <c r="BY51" i="80"/>
  <c r="B260" i="82" l="1"/>
  <c r="J259" i="82"/>
  <c r="BZ51" i="80"/>
  <c r="B261" i="82" l="1"/>
  <c r="J260" i="82"/>
  <c r="CA51" i="80"/>
  <c r="J261" i="82" l="1"/>
  <c r="B262" i="82"/>
  <c r="CB51" i="80"/>
  <c r="B263" i="82" l="1"/>
  <c r="J262" i="82"/>
  <c r="CC51" i="80"/>
  <c r="CD51" i="80"/>
  <c r="B264" i="82" l="1"/>
  <c r="J263" i="82"/>
  <c r="B265" i="82" l="1"/>
  <c r="J264" i="82"/>
  <c r="B266" i="82" l="1"/>
  <c r="J265" i="82"/>
  <c r="B267" i="82" l="1"/>
  <c r="J266" i="82"/>
  <c r="J267" i="82" l="1"/>
  <c r="B268" i="82"/>
  <c r="B269" i="82" l="1"/>
  <c r="J268" i="82"/>
  <c r="B270" i="82" l="1"/>
  <c r="J269" i="82"/>
  <c r="J270" i="82" l="1"/>
  <c r="B271" i="82"/>
  <c r="B272" i="82" l="1"/>
  <c r="J271" i="82"/>
  <c r="B273" i="82" l="1"/>
  <c r="J272" i="82"/>
  <c r="J273" i="82" l="1"/>
  <c r="B274" i="82"/>
  <c r="B275" i="82" l="1"/>
  <c r="J274" i="82"/>
  <c r="B276" i="82" l="1"/>
  <c r="J275" i="82"/>
  <c r="J276" i="82" l="1"/>
  <c r="B277" i="82"/>
  <c r="J277" i="82" l="1"/>
  <c r="B278" i="82"/>
  <c r="J278" i="82" l="1"/>
  <c r="B279" i="82"/>
  <c r="J279" i="82" l="1"/>
  <c r="B280" i="82"/>
  <c r="B281" i="82" l="1"/>
  <c r="J280" i="82"/>
  <c r="B282" i="82" l="1"/>
  <c r="J281" i="82"/>
  <c r="J282" i="82" l="1"/>
  <c r="B283" i="82"/>
  <c r="B284" i="82" l="1"/>
  <c r="J283" i="82"/>
  <c r="B285" i="82" l="1"/>
  <c r="J284" i="82"/>
  <c r="J285" i="82" l="1"/>
  <c r="B286" i="82"/>
  <c r="B287" i="82" l="1"/>
  <c r="J286" i="82"/>
  <c r="B288" i="82" l="1"/>
  <c r="J287" i="82"/>
  <c r="J288" i="82" l="1"/>
  <c r="B289" i="82"/>
  <c r="B290" i="82" l="1"/>
  <c r="J289" i="82"/>
  <c r="B291" i="82" l="1"/>
  <c r="J290" i="82"/>
  <c r="J291" i="82" l="1"/>
  <c r="B292" i="82"/>
  <c r="J292" i="82" l="1"/>
  <c r="B293" i="82"/>
  <c r="B294" i="82" l="1"/>
  <c r="J293" i="82"/>
  <c r="J294" i="82" l="1"/>
  <c r="B295" i="82"/>
  <c r="J295" i="82" l="1"/>
  <c r="B296" i="82"/>
  <c r="B297" i="82" l="1"/>
  <c r="J296" i="82"/>
  <c r="J297" i="82" l="1"/>
  <c r="B298" i="82"/>
  <c r="J298" i="82" l="1"/>
  <c r="B299" i="82"/>
  <c r="B300" i="82" l="1"/>
  <c r="J299" i="82"/>
  <c r="B301" i="82" l="1"/>
  <c r="J300" i="82"/>
  <c r="B302" i="82" l="1"/>
  <c r="J301" i="82"/>
  <c r="B303" i="82" l="1"/>
  <c r="J302" i="82"/>
  <c r="J303" i="82" l="1"/>
  <c r="B304" i="82"/>
  <c r="J304" i="82" l="1"/>
  <c r="B305" i="82"/>
  <c r="B306" i="82" l="1"/>
  <c r="J305" i="82"/>
  <c r="J306" i="82" l="1"/>
  <c r="B307" i="82"/>
  <c r="J307" i="82" l="1"/>
  <c r="B308" i="82"/>
  <c r="B309" i="82" l="1"/>
  <c r="J308" i="82"/>
  <c r="J309" i="82" l="1"/>
  <c r="B310" i="82"/>
  <c r="J310" i="82" l="1"/>
  <c r="B311" i="82"/>
  <c r="B312" i="82" l="1"/>
  <c r="J311" i="82"/>
  <c r="B313" i="82" l="1"/>
  <c r="J312" i="82"/>
  <c r="J313" i="82" l="1"/>
  <c r="B314" i="82"/>
  <c r="B315" i="82" l="1"/>
  <c r="J314" i="82"/>
  <c r="B316" i="82" l="1"/>
  <c r="J315" i="82"/>
  <c r="J316" i="82" l="1"/>
  <c r="B317" i="82"/>
  <c r="B318" i="82" l="1"/>
  <c r="J317" i="82"/>
  <c r="B319" i="82" l="1"/>
  <c r="J318" i="82"/>
  <c r="B320" i="82" l="1"/>
  <c r="J319" i="82"/>
  <c r="B321" i="82" l="1"/>
  <c r="J320" i="82"/>
  <c r="J321" i="82" l="1"/>
  <c r="B322" i="82"/>
  <c r="J322" i="82" l="1"/>
  <c r="B323" i="82"/>
  <c r="B324" i="82" l="1"/>
  <c r="J323" i="82"/>
  <c r="B325" i="82" l="1"/>
  <c r="J324" i="82"/>
  <c r="B326" i="82" l="1"/>
  <c r="J325" i="82"/>
  <c r="B327" i="82" l="1"/>
  <c r="J326" i="82"/>
  <c r="J327" i="82" l="1"/>
  <c r="B328" i="82"/>
  <c r="J328" i="82" l="1"/>
  <c r="B329" i="82"/>
  <c r="B330" i="82" l="1"/>
  <c r="J329" i="82"/>
  <c r="B331" i="82" l="1"/>
  <c r="J330" i="82"/>
  <c r="J331" i="82" l="1"/>
  <c r="B332" i="82"/>
  <c r="B333" i="82" l="1"/>
  <c r="J332" i="82"/>
  <c r="J333" i="82" l="1"/>
  <c r="B334" i="82"/>
  <c r="J334" i="82" l="1"/>
  <c r="B335" i="82"/>
  <c r="B336" i="82" l="1"/>
  <c r="J335" i="82"/>
  <c r="J336" i="82" l="1"/>
  <c r="B337" i="82"/>
  <c r="B338" i="82" l="1"/>
  <c r="J337" i="82"/>
  <c r="B339" i="82" l="1"/>
  <c r="J338" i="82"/>
  <c r="J339" i="82" l="1"/>
  <c r="B340" i="82"/>
  <c r="J340" i="82" l="1"/>
  <c r="B341" i="82"/>
  <c r="B342" i="82" l="1"/>
  <c r="J341" i="82"/>
  <c r="B343" i="82" l="1"/>
  <c r="J342" i="82"/>
  <c r="B344" i="82" l="1"/>
  <c r="J343" i="82"/>
  <c r="B345" i="82" l="1"/>
  <c r="J344" i="82"/>
  <c r="J345" i="82" l="1"/>
  <c r="B346" i="82"/>
  <c r="J346" i="82" l="1"/>
  <c r="B347" i="82"/>
  <c r="B348" i="82" l="1"/>
  <c r="J347" i="82"/>
  <c r="B349" i="82" l="1"/>
  <c r="J348" i="82"/>
  <c r="J349" i="82" l="1"/>
  <c r="B350" i="82"/>
  <c r="B351" i="82" l="1"/>
  <c r="J350" i="82"/>
  <c r="J351" i="82" l="1"/>
  <c r="B352" i="82"/>
  <c r="J352" i="82" l="1"/>
  <c r="B353" i="82"/>
  <c r="B354" i="82" l="1"/>
  <c r="J353" i="82"/>
  <c r="J354" i="82" l="1"/>
  <c r="B355" i="82"/>
  <c r="B356" i="82" l="1"/>
  <c r="J355" i="82"/>
  <c r="B357" i="82" l="1"/>
  <c r="J356" i="82"/>
  <c r="J357" i="82" l="1"/>
  <c r="B358" i="82"/>
  <c r="J358" i="82" l="1"/>
  <c r="B359" i="82"/>
  <c r="B360" i="82" l="1"/>
  <c r="J359" i="82"/>
  <c r="B361" i="82" l="1"/>
  <c r="J360" i="82"/>
  <c r="B362" i="82" l="1"/>
  <c r="J361" i="82"/>
  <c r="B363" i="82" l="1"/>
  <c r="J362" i="82"/>
  <c r="J363" i="82" l="1"/>
  <c r="B364" i="82"/>
  <c r="J364" i="82" l="1"/>
  <c r="B365" i="82"/>
  <c r="B366" i="82" l="1"/>
  <c r="J365" i="82"/>
  <c r="B367" i="82" l="1"/>
  <c r="J366" i="82"/>
  <c r="J367" i="82" l="1"/>
  <c r="B368" i="82"/>
  <c r="B369" i="82" l="1"/>
  <c r="J368" i="82"/>
  <c r="J369" i="82" l="1"/>
  <c r="B370" i="82"/>
  <c r="J370" i="82" l="1"/>
  <c r="B371" i="82"/>
  <c r="B372" i="82" l="1"/>
  <c r="J371" i="82"/>
  <c r="J372" i="82" l="1"/>
  <c r="B373" i="82"/>
  <c r="B374" i="82" l="1"/>
  <c r="J373" i="82"/>
  <c r="B375" i="82" l="1"/>
  <c r="J374" i="82"/>
  <c r="J375" i="82" l="1"/>
  <c r="B376" i="82"/>
  <c r="J376" i="82" l="1"/>
  <c r="B377" i="82"/>
  <c r="B378" i="82" l="1"/>
  <c r="J377" i="82"/>
  <c r="B379" i="82" l="1"/>
  <c r="J378" i="82"/>
  <c r="B380" i="82" l="1"/>
  <c r="J379" i="82"/>
  <c r="B381" i="82" l="1"/>
  <c r="J380" i="82"/>
  <c r="J381" i="82" l="1"/>
  <c r="B382" i="82"/>
  <c r="J382" i="82" l="1"/>
  <c r="B383" i="82"/>
  <c r="B384" i="82" l="1"/>
  <c r="J383" i="82"/>
  <c r="B385" i="82" l="1"/>
  <c r="J384" i="82"/>
  <c r="J385" i="82" l="1"/>
  <c r="B386" i="82"/>
  <c r="B387" i="82" l="1"/>
  <c r="J386" i="82"/>
  <c r="J387" i="82" l="1"/>
  <c r="B388" i="82"/>
  <c r="J388" i="82" l="1"/>
  <c r="B389" i="82"/>
  <c r="B390" i="82" l="1"/>
  <c r="J389" i="82"/>
  <c r="J390" i="82" l="1"/>
  <c r="B391" i="82"/>
  <c r="B392" i="82" l="1"/>
  <c r="J391" i="82"/>
  <c r="B393" i="82" l="1"/>
  <c r="J392" i="82"/>
  <c r="J393" i="82" l="1"/>
  <c r="B394" i="82"/>
  <c r="J394" i="82" l="1"/>
  <c r="B395" i="82"/>
  <c r="B396" i="82" l="1"/>
  <c r="J395" i="82"/>
  <c r="B397" i="82" l="1"/>
  <c r="J396" i="82"/>
  <c r="B398" i="82" l="1"/>
  <c r="J397" i="82"/>
  <c r="B399" i="82" l="1"/>
  <c r="J398" i="82"/>
  <c r="J399" i="82" l="1"/>
  <c r="B400" i="82"/>
  <c r="J400" i="82" l="1"/>
  <c r="B401" i="82"/>
  <c r="B402" i="82" l="1"/>
  <c r="J401" i="82"/>
  <c r="B403" i="82" l="1"/>
  <c r="J402" i="82"/>
  <c r="J403" i="82" l="1"/>
  <c r="B404" i="82"/>
  <c r="B405" i="82" l="1"/>
  <c r="J404" i="82"/>
  <c r="J405" i="82" l="1"/>
  <c r="B406" i="82"/>
  <c r="J406" i="82" l="1"/>
  <c r="B407" i="82"/>
  <c r="B408" i="82" l="1"/>
  <c r="J407" i="82"/>
  <c r="B409" i="82" l="1"/>
  <c r="J408" i="82"/>
  <c r="B410" i="82" l="1"/>
  <c r="J409" i="82"/>
  <c r="B411" i="82" l="1"/>
  <c r="J410" i="82"/>
  <c r="J411" i="82" l="1"/>
  <c r="B412" i="82"/>
  <c r="B413" i="82" l="1"/>
  <c r="J412" i="82"/>
  <c r="B414" i="82" l="1"/>
  <c r="J413" i="82"/>
  <c r="B415" i="82" l="1"/>
  <c r="J414" i="82"/>
  <c r="B416" i="82" l="1"/>
  <c r="J415" i="82"/>
  <c r="B417" i="82" l="1"/>
  <c r="J416" i="82"/>
  <c r="J417" i="82" l="1"/>
  <c r="B418" i="82"/>
  <c r="J418" i="82" l="1"/>
  <c r="B419" i="82"/>
  <c r="B420" i="82" l="1"/>
  <c r="J419" i="82"/>
  <c r="B421" i="82" l="1"/>
  <c r="J420" i="82"/>
  <c r="J421" i="82" l="1"/>
  <c r="B422" i="82"/>
  <c r="B423" i="82" l="1"/>
  <c r="J422" i="82"/>
  <c r="J423" i="82" l="1"/>
  <c r="B424" i="82"/>
  <c r="B425" i="82" l="1"/>
  <c r="J424" i="82"/>
  <c r="B426" i="82" l="1"/>
  <c r="J425" i="82"/>
  <c r="B427" i="82" l="1"/>
  <c r="J426" i="82"/>
  <c r="B428" i="82" l="1"/>
  <c r="J427" i="82"/>
  <c r="B429" i="82" l="1"/>
  <c r="J428" i="82"/>
  <c r="J429" i="82" l="1"/>
  <c r="B430" i="82"/>
  <c r="B431" i="82" l="1"/>
  <c r="J430" i="82"/>
  <c r="J431" i="82" l="1"/>
  <c r="B432" i="82"/>
  <c r="B433" i="82" l="1"/>
  <c r="J432" i="82"/>
  <c r="B434" i="82" l="1"/>
  <c r="J433" i="82"/>
  <c r="B435" i="82" l="1"/>
  <c r="J434" i="82"/>
  <c r="J435" i="82" l="1"/>
  <c r="B436" i="82"/>
  <c r="J436" i="82" l="1"/>
  <c r="B437" i="82"/>
  <c r="B438" i="82" l="1"/>
  <c r="J437" i="82"/>
  <c r="B439" i="82" l="1"/>
  <c r="J438" i="82"/>
  <c r="B440" i="82" l="1"/>
  <c r="J439" i="82"/>
  <c r="J440" i="82" l="1"/>
  <c r="B441" i="82"/>
  <c r="J441" i="82" l="1"/>
  <c r="B442" i="82"/>
  <c r="B443" i="82" l="1"/>
  <c r="B444" i="82" l="1"/>
  <c r="B445" i="82" l="1"/>
  <c r="B446" i="82" l="1"/>
  <c r="B447" i="82" l="1"/>
  <c r="B448" i="82" l="1"/>
  <c r="B449" i="82" l="1"/>
  <c r="B450" i="82" l="1"/>
  <c r="B451" i="82" l="1"/>
  <c r="B452" i="82" l="1"/>
  <c r="B453" i="82" l="1"/>
  <c r="B454" i="82" l="1"/>
  <c r="B455" i="82" l="1"/>
  <c r="B456" i="82" l="1"/>
  <c r="G48" i="82" l="1" a="1"/>
  <c r="G48" i="82" s="1"/>
  <c r="H50" i="82"/>
  <c r="E14" i="82" s="1"/>
  <c r="E13" i="113" s="1"/>
  <c r="H49" i="82"/>
  <c r="E13" i="82" s="1"/>
  <c r="D13" i="113" s="1"/>
  <c r="G50" i="82"/>
  <c r="C14" i="82" s="1"/>
  <c r="G51" i="82"/>
  <c r="C15" i="82" s="1"/>
  <c r="H51" i="82"/>
  <c r="E15" i="82" s="1"/>
  <c r="F13" i="113" s="1"/>
  <c r="G49" i="82"/>
  <c r="C13" i="82" s="1"/>
  <c r="G52" i="82"/>
  <c r="C16" i="82" s="1"/>
  <c r="H48" i="82"/>
  <c r="G53" i="82"/>
  <c r="C17" i="82" s="1"/>
  <c r="H52" i="82"/>
  <c r="E16" i="82" s="1"/>
  <c r="G13" i="113" s="1"/>
  <c r="H53" i="82"/>
  <c r="E17" i="82" s="1"/>
  <c r="H13" i="113" s="1"/>
  <c r="H54" i="82"/>
  <c r="E18" i="82" s="1"/>
  <c r="I13" i="113" s="1"/>
  <c r="G54" i="82"/>
  <c r="C18" i="82" s="1"/>
  <c r="G55" i="82"/>
  <c r="C19" i="82" s="1"/>
  <c r="G57" i="82"/>
  <c r="C21" i="82" s="1"/>
  <c r="H55" i="82"/>
  <c r="E19" i="82" s="1"/>
  <c r="J13" i="113" s="1"/>
  <c r="G56" i="82"/>
  <c r="C20" i="82" s="1"/>
  <c r="H56" i="82"/>
  <c r="E20" i="82" s="1"/>
  <c r="K13" i="113" s="1"/>
  <c r="H57" i="82"/>
  <c r="E21" i="82" s="1"/>
  <c r="L13" i="113" s="1"/>
  <c r="G58" i="82"/>
  <c r="C22" i="82" s="1"/>
  <c r="H58" i="82"/>
  <c r="E22" i="82" s="1"/>
  <c r="M13" i="113" s="1"/>
  <c r="G59" i="82"/>
  <c r="C23" i="82" s="1"/>
  <c r="H59" i="82"/>
  <c r="E23" i="82" s="1"/>
  <c r="N13" i="113" s="1"/>
  <c r="E12" i="82" l="1"/>
  <c r="H60" i="82"/>
  <c r="C12" i="82"/>
  <c r="C25" i="82" s="1"/>
  <c r="G60" i="82"/>
  <c r="O51" i="82" a="1"/>
  <c r="O51" i="82" s="1"/>
  <c r="D15" i="82" s="1"/>
  <c r="F15" i="113" s="1"/>
  <c r="R15" i="113" s="1"/>
  <c r="AD15" i="113" s="1"/>
  <c r="AP15" i="113" s="1"/>
  <c r="BB15" i="113" s="1"/>
  <c r="BN15" i="113" s="1"/>
  <c r="BZ15" i="113" s="1"/>
  <c r="P51" i="82"/>
  <c r="F15" i="82" s="1"/>
  <c r="F14" i="113" s="1"/>
  <c r="R14" i="113" s="1"/>
  <c r="AD14" i="113" s="1"/>
  <c r="AP14" i="113" s="1"/>
  <c r="BB14" i="113" s="1"/>
  <c r="BN14" i="113" s="1"/>
  <c r="BZ14" i="113" s="1"/>
  <c r="P50" i="82"/>
  <c r="F14" i="82" s="1"/>
  <c r="E14" i="113" s="1"/>
  <c r="Q14" i="113" s="1"/>
  <c r="AC14" i="113" s="1"/>
  <c r="AO14" i="113" s="1"/>
  <c r="BA14" i="113" s="1"/>
  <c r="BM14" i="113" s="1"/>
  <c r="BY14" i="113" s="1"/>
  <c r="O53" i="82" a="1"/>
  <c r="O53" i="82" s="1"/>
  <c r="D17" i="82" s="1"/>
  <c r="H15" i="113" s="1"/>
  <c r="T15" i="113" s="1"/>
  <c r="AF15" i="113" s="1"/>
  <c r="AR15" i="113" s="1"/>
  <c r="BD15" i="113" s="1"/>
  <c r="BP15" i="113" s="1"/>
  <c r="CB15" i="113" s="1"/>
  <c r="O50" i="82" a="1"/>
  <c r="O50" i="82" s="1"/>
  <c r="D14" i="82" s="1"/>
  <c r="E15" i="113" s="1"/>
  <c r="Q15" i="113" s="1"/>
  <c r="AC15" i="113" s="1"/>
  <c r="AO15" i="113" s="1"/>
  <c r="BA15" i="113" s="1"/>
  <c r="BM15" i="113" s="1"/>
  <c r="BY15" i="113" s="1"/>
  <c r="O49" i="82" a="1"/>
  <c r="O49" i="82" s="1"/>
  <c r="D13" i="82" s="1"/>
  <c r="D15" i="113" s="1"/>
  <c r="P15" i="113" s="1"/>
  <c r="AB15" i="113" s="1"/>
  <c r="AN15" i="113" s="1"/>
  <c r="AZ15" i="113" s="1"/>
  <c r="BL15" i="113" s="1"/>
  <c r="BX15" i="113" s="1"/>
  <c r="O48" i="82" a="1"/>
  <c r="O48" i="82" s="1"/>
  <c r="P49" i="82"/>
  <c r="F13" i="82" s="1"/>
  <c r="D14" i="113" s="1"/>
  <c r="P14" i="113" s="1"/>
  <c r="AB14" i="113" s="1"/>
  <c r="AN14" i="113" s="1"/>
  <c r="AZ14" i="113" s="1"/>
  <c r="BL14" i="113" s="1"/>
  <c r="BX14" i="113" s="1"/>
  <c r="P48" i="82"/>
  <c r="O52" i="82" a="1"/>
  <c r="O52" i="82" s="1"/>
  <c r="D16" i="82" s="1"/>
  <c r="G15" i="113" s="1"/>
  <c r="S15" i="113" s="1"/>
  <c r="AE15" i="113" s="1"/>
  <c r="AQ15" i="113" s="1"/>
  <c r="BC15" i="113" s="1"/>
  <c r="BO15" i="113" s="1"/>
  <c r="CA15" i="113" s="1"/>
  <c r="O54" i="82" a="1"/>
  <c r="O54" i="82" s="1"/>
  <c r="D18" i="82" s="1"/>
  <c r="I15" i="113" s="1"/>
  <c r="U15" i="113" s="1"/>
  <c r="AG15" i="113" s="1"/>
  <c r="AS15" i="113" s="1"/>
  <c r="BE15" i="113" s="1"/>
  <c r="BQ15" i="113" s="1"/>
  <c r="CC15" i="113" s="1"/>
  <c r="P52" i="82"/>
  <c r="F16" i="82" s="1"/>
  <c r="G14" i="113" s="1"/>
  <c r="S14" i="113" s="1"/>
  <c r="AE14" i="113" s="1"/>
  <c r="AQ14" i="113" s="1"/>
  <c r="BC14" i="113" s="1"/>
  <c r="BO14" i="113" s="1"/>
  <c r="CA14" i="113" s="1"/>
  <c r="P53" i="82"/>
  <c r="F17" i="82" s="1"/>
  <c r="H14" i="113" s="1"/>
  <c r="T14" i="113" s="1"/>
  <c r="AF14" i="113" s="1"/>
  <c r="AR14" i="113" s="1"/>
  <c r="BD14" i="113" s="1"/>
  <c r="BP14" i="113" s="1"/>
  <c r="CB14" i="113" s="1"/>
  <c r="P54" i="82"/>
  <c r="F18" i="82" s="1"/>
  <c r="I14" i="113" s="1"/>
  <c r="U14" i="113" s="1"/>
  <c r="AG14" i="113" s="1"/>
  <c r="AS14" i="113" s="1"/>
  <c r="BE14" i="113" s="1"/>
  <c r="BQ14" i="113" s="1"/>
  <c r="CC14" i="113" s="1"/>
  <c r="O55" i="82" a="1"/>
  <c r="O55" i="82" s="1"/>
  <c r="D19" i="82" s="1"/>
  <c r="J15" i="113" s="1"/>
  <c r="V15" i="113" s="1"/>
  <c r="AH15" i="113" s="1"/>
  <c r="AT15" i="113" s="1"/>
  <c r="BF15" i="113" s="1"/>
  <c r="BR15" i="113" s="1"/>
  <c r="CD15" i="113" s="1"/>
  <c r="P55" i="82"/>
  <c r="F19" i="82" s="1"/>
  <c r="J14" i="113" s="1"/>
  <c r="V14" i="113" s="1"/>
  <c r="AH14" i="113" s="1"/>
  <c r="AT14" i="113" s="1"/>
  <c r="BF14" i="113" s="1"/>
  <c r="BR14" i="113" s="1"/>
  <c r="CD14" i="113" s="1"/>
  <c r="O56" i="82" a="1"/>
  <c r="O56" i="82" s="1"/>
  <c r="D20" i="82" s="1"/>
  <c r="K15" i="113" s="1"/>
  <c r="W15" i="113" s="1"/>
  <c r="AI15" i="113" s="1"/>
  <c r="AU15" i="113" s="1"/>
  <c r="BG15" i="113" s="1"/>
  <c r="BS15" i="113" s="1"/>
  <c r="CE15" i="113" s="1"/>
  <c r="P57" i="82"/>
  <c r="F21" i="82" s="1"/>
  <c r="L14" i="113" s="1"/>
  <c r="X14" i="113" s="1"/>
  <c r="AJ14" i="113" s="1"/>
  <c r="AV14" i="113" s="1"/>
  <c r="BH14" i="113" s="1"/>
  <c r="BT14" i="113" s="1"/>
  <c r="CF14" i="113" s="1"/>
  <c r="P56" i="82"/>
  <c r="F20" i="82" s="1"/>
  <c r="K14" i="113" s="1"/>
  <c r="W14" i="113" s="1"/>
  <c r="AI14" i="113" s="1"/>
  <c r="AU14" i="113" s="1"/>
  <c r="BG14" i="113" s="1"/>
  <c r="BS14" i="113" s="1"/>
  <c r="CE14" i="113" s="1"/>
  <c r="O57" i="82" a="1"/>
  <c r="O57" i="82" s="1"/>
  <c r="D21" i="82" s="1"/>
  <c r="L15" i="113" s="1"/>
  <c r="X15" i="113" s="1"/>
  <c r="AJ15" i="113" s="1"/>
  <c r="AV15" i="113" s="1"/>
  <c r="BH15" i="113" s="1"/>
  <c r="BT15" i="113" s="1"/>
  <c r="CF15" i="113" s="1"/>
  <c r="O58" i="82" a="1"/>
  <c r="O58" i="82" s="1"/>
  <c r="D22" i="82" s="1"/>
  <c r="M15" i="113" s="1"/>
  <c r="Y15" i="113" s="1"/>
  <c r="AK15" i="113" s="1"/>
  <c r="AW15" i="113" s="1"/>
  <c r="BI15" i="113" s="1"/>
  <c r="BU15" i="113" s="1"/>
  <c r="CG15" i="113" s="1"/>
  <c r="O59" i="82" a="1"/>
  <c r="O59" i="82" s="1"/>
  <c r="D23" i="82" s="1"/>
  <c r="N15" i="113" s="1"/>
  <c r="Z15" i="113" s="1"/>
  <c r="AL15" i="113" s="1"/>
  <c r="AX15" i="113" s="1"/>
  <c r="BJ15" i="113" s="1"/>
  <c r="BV15" i="113" s="1"/>
  <c r="CH15" i="113" s="1"/>
  <c r="P58" i="82"/>
  <c r="F22" i="82" s="1"/>
  <c r="M14" i="113" s="1"/>
  <c r="Y14" i="113" s="1"/>
  <c r="AK14" i="113" s="1"/>
  <c r="AW14" i="113" s="1"/>
  <c r="BI14" i="113" s="1"/>
  <c r="BU14" i="113" s="1"/>
  <c r="CG14" i="113" s="1"/>
  <c r="P59" i="82"/>
  <c r="F23" i="82" s="1"/>
  <c r="N14" i="113" s="1"/>
  <c r="Z14" i="113" s="1"/>
  <c r="AL14" i="113" s="1"/>
  <c r="AX14" i="113" s="1"/>
  <c r="BJ14" i="113" s="1"/>
  <c r="BV14" i="113" s="1"/>
  <c r="CH14" i="113" s="1"/>
  <c r="O60" i="82" l="1"/>
  <c r="D12" i="82"/>
  <c r="F12" i="82"/>
  <c r="P60" i="82"/>
  <c r="C13" i="113"/>
  <c r="E25" i="82"/>
  <c r="C14" i="113" l="1"/>
  <c r="O14" i="113" s="1"/>
  <c r="F25" i="82"/>
  <c r="C15" i="113"/>
  <c r="O15" i="113" s="1"/>
  <c r="AA15" i="113" s="1"/>
  <c r="AM15" i="113" s="1"/>
  <c r="AY15" i="113" s="1"/>
  <c r="BK15" i="113" s="1"/>
  <c r="BW15" i="113" s="1"/>
  <c r="D25" i="82"/>
  <c r="G31" i="81" s="1"/>
  <c r="H31" i="81" s="1"/>
  <c r="I31" i="81" s="1"/>
  <c r="AA14" i="113" l="1"/>
  <c r="J31" i="81"/>
  <c r="AM14" i="113" l="1"/>
  <c r="AY14" i="113" l="1"/>
  <c r="BK14" i="113" l="1"/>
  <c r="BW14" i="113" l="1"/>
  <c r="P30" i="64" l="1"/>
  <c r="D32" i="64" l="1"/>
  <c r="AB30" i="64"/>
  <c r="P32" i="64"/>
  <c r="P33" i="64"/>
  <c r="P54" i="64" s="1"/>
  <c r="D33" i="64"/>
  <c r="D54" i="64" s="1"/>
  <c r="D98" i="60" l="1"/>
  <c r="D58" i="64"/>
  <c r="P98" i="60"/>
  <c r="AB32" i="64"/>
  <c r="AN30" i="64"/>
  <c r="AB33" i="64"/>
  <c r="AB54" i="64" s="1"/>
  <c r="AB98" i="60" l="1"/>
  <c r="AN19" i="72" s="1"/>
  <c r="AN32" i="64"/>
  <c r="AN33" i="64"/>
  <c r="AN54" i="64" s="1"/>
  <c r="AZ30" i="64"/>
  <c r="Q19" i="72"/>
  <c r="D19" i="72"/>
  <c r="AN98" i="60" l="1"/>
  <c r="AO19" i="72" s="1"/>
  <c r="P19" i="72"/>
  <c r="AZ33" i="64"/>
  <c r="AZ54" i="64" s="1"/>
  <c r="AZ32" i="64"/>
  <c r="BL30" i="64"/>
  <c r="G99" i="115"/>
  <c r="AD19" i="72"/>
  <c r="G99" i="65"/>
  <c r="AZ98" i="60" l="1"/>
  <c r="P99" i="115"/>
  <c r="BL32" i="64"/>
  <c r="BL33" i="64"/>
  <c r="BL54" i="64" s="1"/>
  <c r="BX30" i="64"/>
  <c r="P99" i="65"/>
  <c r="AM19" i="72"/>
  <c r="AO91" i="44" l="1"/>
  <c r="AM91" i="44"/>
  <c r="AP19" i="72"/>
  <c r="BX33" i="64"/>
  <c r="BX54" i="64" s="1"/>
  <c r="BX32" i="64"/>
  <c r="BL98" i="60"/>
  <c r="P42" i="76"/>
  <c r="F57" i="61"/>
  <c r="P42" i="91"/>
  <c r="AQ19" i="72" l="1"/>
  <c r="BX98" i="60"/>
  <c r="AS19" i="72" s="1"/>
  <c r="AR19" i="72" l="1"/>
  <c r="M86" i="80" l="1"/>
  <c r="N86" i="80" s="1"/>
  <c r="L93" i="80"/>
  <c r="M93" i="80" l="1"/>
  <c r="N93" i="80" l="1"/>
  <c r="E82" i="60" l="1"/>
  <c r="Q82" i="60" s="1"/>
  <c r="AC82" i="60" s="1"/>
  <c r="F82" i="60"/>
  <c r="R82" i="60" s="1"/>
  <c r="AD82" i="60" s="1"/>
  <c r="G82" i="60"/>
  <c r="S82" i="60" s="1"/>
  <c r="AE82" i="60" s="1"/>
  <c r="H82" i="60"/>
  <c r="T82" i="60" s="1"/>
  <c r="AF82" i="60" s="1"/>
  <c r="I82" i="60"/>
  <c r="U82" i="60" s="1"/>
  <c r="AG82" i="60" s="1"/>
  <c r="J82" i="60"/>
  <c r="V82" i="60" s="1"/>
  <c r="AH82" i="60" s="1"/>
  <c r="K82" i="60"/>
  <c r="W82" i="60" s="1"/>
  <c r="AI82" i="60" s="1"/>
  <c r="L82" i="60"/>
  <c r="X82" i="60" s="1"/>
  <c r="AJ82" i="60" s="1"/>
  <c r="M82" i="60"/>
  <c r="Y82" i="60" s="1"/>
  <c r="N82" i="60"/>
  <c r="Z82" i="60" s="1"/>
  <c r="O82" i="60"/>
  <c r="AA82" i="60" s="1"/>
  <c r="E81" i="60"/>
  <c r="F81" i="60"/>
  <c r="G81" i="60"/>
  <c r="H81" i="60"/>
  <c r="I81" i="60"/>
  <c r="J81" i="60"/>
  <c r="K81" i="60"/>
  <c r="L81" i="60"/>
  <c r="M81" i="60"/>
  <c r="N81" i="60"/>
  <c r="O81" i="60"/>
  <c r="D81" i="60" l="1"/>
  <c r="R70" i="20"/>
  <c r="F83" i="65"/>
  <c r="F83" i="115"/>
  <c r="AM82" i="60"/>
  <c r="AY82" i="60" s="1"/>
  <c r="BK82" i="60" s="1"/>
  <c r="BW82" i="60" s="1"/>
  <c r="CI82" i="60" s="1"/>
  <c r="AA81" i="60"/>
  <c r="M83" i="65"/>
  <c r="AT82" i="60"/>
  <c r="BF82" i="60" s="1"/>
  <c r="BR82" i="60" s="1"/>
  <c r="CD82" i="60" s="1"/>
  <c r="M83" i="115"/>
  <c r="W81" i="60"/>
  <c r="L83" i="115"/>
  <c r="L83" i="65"/>
  <c r="AS82" i="60"/>
  <c r="BE82" i="60" s="1"/>
  <c r="BQ82" i="60" s="1"/>
  <c r="CC82" i="60" s="1"/>
  <c r="AL82" i="60"/>
  <c r="AX82" i="60" s="1"/>
  <c r="BJ82" i="60" s="1"/>
  <c r="BV82" i="60" s="1"/>
  <c r="CH82" i="60" s="1"/>
  <c r="E83" i="65"/>
  <c r="E83" i="115"/>
  <c r="Y81" i="60"/>
  <c r="V81" i="60"/>
  <c r="AR82" i="60"/>
  <c r="BD82" i="60" s="1"/>
  <c r="BP82" i="60" s="1"/>
  <c r="CB82" i="60" s="1"/>
  <c r="K83" i="65"/>
  <c r="K83" i="115"/>
  <c r="H83" i="115"/>
  <c r="H83" i="65"/>
  <c r="AO82" i="60"/>
  <c r="BA82" i="60" s="1"/>
  <c r="BM82" i="60" s="1"/>
  <c r="BY82" i="60" s="1"/>
  <c r="Q81" i="60"/>
  <c r="Z81" i="60"/>
  <c r="R71" i="20"/>
  <c r="D82" i="60"/>
  <c r="P82" i="60" s="1"/>
  <c r="AB82" i="60" s="1"/>
  <c r="U81" i="60"/>
  <c r="AQ82" i="60"/>
  <c r="BC82" i="60" s="1"/>
  <c r="BO82" i="60" s="1"/>
  <c r="CA82" i="60" s="1"/>
  <c r="J83" i="115"/>
  <c r="J83" i="65"/>
  <c r="S81" i="60"/>
  <c r="R81" i="60"/>
  <c r="D83" i="65"/>
  <c r="AK82" i="60"/>
  <c r="AW82" i="60" s="1"/>
  <c r="BI82" i="60" s="1"/>
  <c r="BU82" i="60" s="1"/>
  <c r="CG82" i="60" s="1"/>
  <c r="D83" i="115"/>
  <c r="AV82" i="60"/>
  <c r="BH82" i="60" s="1"/>
  <c r="BT82" i="60" s="1"/>
  <c r="CF82" i="60" s="1"/>
  <c r="O83" i="115"/>
  <c r="O83" i="65"/>
  <c r="AU82" i="60"/>
  <c r="BG82" i="60" s="1"/>
  <c r="BS82" i="60" s="1"/>
  <c r="CE82" i="60" s="1"/>
  <c r="N83" i="65"/>
  <c r="N83" i="115"/>
  <c r="X81" i="60"/>
  <c r="T81" i="60"/>
  <c r="I83" i="65"/>
  <c r="I83" i="115"/>
  <c r="AP82" i="60"/>
  <c r="BB82" i="60" s="1"/>
  <c r="BN82" i="60" s="1"/>
  <c r="BZ82" i="60" s="1"/>
  <c r="AG81" i="60" l="1"/>
  <c r="AD81" i="60"/>
  <c r="F82" i="115"/>
  <c r="AM81" i="60"/>
  <c r="F82" i="65"/>
  <c r="AJ81" i="60"/>
  <c r="AC81" i="60"/>
  <c r="AF81" i="60"/>
  <c r="E82" i="65"/>
  <c r="AL81" i="60"/>
  <c r="E82" i="115"/>
  <c r="AE81" i="60"/>
  <c r="AH81" i="60"/>
  <c r="D82" i="115"/>
  <c r="D82" i="65"/>
  <c r="AK81" i="60"/>
  <c r="AI81" i="60"/>
  <c r="AN82" i="60"/>
  <c r="AZ82" i="60" s="1"/>
  <c r="BL82" i="60" s="1"/>
  <c r="BX82" i="60" s="1"/>
  <c r="G83" i="115"/>
  <c r="P83" i="115" s="1"/>
  <c r="G83" i="65"/>
  <c r="P83" i="65" s="1"/>
  <c r="AM75" i="44" s="1"/>
  <c r="P81" i="60"/>
  <c r="Q83" i="115" l="1"/>
  <c r="AP75" i="44" s="1"/>
  <c r="AO75" i="44"/>
  <c r="J82" i="65"/>
  <c r="J82" i="115"/>
  <c r="AQ81" i="60"/>
  <c r="AT81" i="60"/>
  <c r="M82" i="65"/>
  <c r="M82" i="115"/>
  <c r="O82" i="65"/>
  <c r="O82" i="115"/>
  <c r="AV81" i="60"/>
  <c r="AB81" i="60"/>
  <c r="Q83" i="65"/>
  <c r="AY81" i="60"/>
  <c r="AO81" i="60"/>
  <c r="H82" i="115"/>
  <c r="H82" i="65"/>
  <c r="I82" i="115"/>
  <c r="I82" i="65"/>
  <c r="AP81" i="60"/>
  <c r="AW81" i="60"/>
  <c r="AX81" i="60"/>
  <c r="AU81" i="60"/>
  <c r="N82" i="115"/>
  <c r="N82" i="65"/>
  <c r="AR81" i="60"/>
  <c r="K82" i="115"/>
  <c r="K82" i="65"/>
  <c r="AS81" i="60"/>
  <c r="L82" i="115"/>
  <c r="L82" i="65"/>
  <c r="R83" i="65" l="1"/>
  <c r="AN75" i="44"/>
  <c r="BD81" i="60"/>
  <c r="BJ81" i="60"/>
  <c r="BA81" i="60"/>
  <c r="BB81" i="60"/>
  <c r="BH81" i="60"/>
  <c r="BC81" i="60"/>
  <c r="G82" i="65"/>
  <c r="G82" i="115"/>
  <c r="AN81" i="60"/>
  <c r="BF81" i="60"/>
  <c r="BE81" i="60"/>
  <c r="BI81" i="60"/>
  <c r="BG81" i="60"/>
  <c r="BK81" i="60"/>
  <c r="AZ81" i="60" l="1"/>
  <c r="BP81" i="60"/>
  <c r="BQ81" i="60"/>
  <c r="BS81" i="60"/>
  <c r="BR81" i="60"/>
  <c r="BT81" i="60"/>
  <c r="P82" i="115"/>
  <c r="BN81" i="60"/>
  <c r="BW81" i="60"/>
  <c r="BM81" i="60"/>
  <c r="BV81" i="60"/>
  <c r="BU81" i="60"/>
  <c r="P82" i="65"/>
  <c r="AM74" i="44" s="1"/>
  <c r="BO81" i="60"/>
  <c r="Q82" i="115" l="1"/>
  <c r="AP74" i="44" s="1"/>
  <c r="AO74" i="44"/>
  <c r="CA81" i="60"/>
  <c r="CB81" i="60"/>
  <c r="CF81" i="60"/>
  <c r="BY81" i="60"/>
  <c r="CD81" i="60"/>
  <c r="CI81" i="60"/>
  <c r="BZ81" i="60"/>
  <c r="CC81" i="60"/>
  <c r="CG81" i="60"/>
  <c r="Q82" i="65"/>
  <c r="AN74" i="44" s="1"/>
  <c r="BL81" i="60"/>
  <c r="CH81" i="60"/>
  <c r="CE81" i="60"/>
  <c r="G48" i="44" l="1"/>
  <c r="BX81" i="60"/>
  <c r="R82" i="65"/>
  <c r="F48" i="44"/>
  <c r="H48" i="44" l="1"/>
  <c r="E90" i="60"/>
  <c r="Q90" i="60" s="1"/>
  <c r="AC90" i="60" s="1"/>
  <c r="H90" i="60"/>
  <c r="T90" i="60" s="1"/>
  <c r="AF90" i="60" s="1"/>
  <c r="I90" i="60"/>
  <c r="U90" i="60" s="1"/>
  <c r="AG90" i="60" s="1"/>
  <c r="J90" i="60"/>
  <c r="V90" i="60" s="1"/>
  <c r="AH90" i="60" s="1"/>
  <c r="K90" i="60"/>
  <c r="W90" i="60" s="1"/>
  <c r="AI90" i="60" s="1"/>
  <c r="L90" i="60"/>
  <c r="X90" i="60" s="1"/>
  <c r="AJ90" i="60" s="1"/>
  <c r="M90" i="60"/>
  <c r="Y90" i="60" s="1"/>
  <c r="N90" i="60"/>
  <c r="Z90" i="60" s="1"/>
  <c r="O90" i="60"/>
  <c r="AA90" i="60" s="1"/>
  <c r="E91" i="60"/>
  <c r="Q91" i="60" s="1"/>
  <c r="AC91" i="60" s="1"/>
  <c r="F91" i="60"/>
  <c r="R91" i="60" s="1"/>
  <c r="AD91" i="60" s="1"/>
  <c r="H91" i="60"/>
  <c r="T91" i="60" s="1"/>
  <c r="AF91" i="60" s="1"/>
  <c r="J91" i="60"/>
  <c r="V91" i="60" s="1"/>
  <c r="AH91" i="60" s="1"/>
  <c r="K91" i="60"/>
  <c r="W91" i="60" s="1"/>
  <c r="AI91" i="60" s="1"/>
  <c r="L91" i="60"/>
  <c r="X91" i="60" s="1"/>
  <c r="AJ91" i="60" s="1"/>
  <c r="M91" i="60"/>
  <c r="Y91" i="60" s="1"/>
  <c r="N91" i="60"/>
  <c r="Z91" i="60" s="1"/>
  <c r="O91" i="60"/>
  <c r="AA91" i="60" s="1"/>
  <c r="E94" i="60"/>
  <c r="Q94" i="60" s="1"/>
  <c r="AC94" i="60" s="1"/>
  <c r="F94" i="60"/>
  <c r="R94" i="60" s="1"/>
  <c r="AD94" i="60" s="1"/>
  <c r="G94" i="60"/>
  <c r="S94" i="60" s="1"/>
  <c r="AE94" i="60" s="1"/>
  <c r="H94" i="60"/>
  <c r="T94" i="60" s="1"/>
  <c r="AF94" i="60" s="1"/>
  <c r="I94" i="60"/>
  <c r="U94" i="60" s="1"/>
  <c r="AG94" i="60" s="1"/>
  <c r="K94" i="60"/>
  <c r="W94" i="60" s="1"/>
  <c r="AI94" i="60" s="1"/>
  <c r="M94" i="60"/>
  <c r="Y94" i="60" s="1"/>
  <c r="N94" i="60"/>
  <c r="Z94" i="60" s="1"/>
  <c r="O94" i="60"/>
  <c r="AA94" i="60" s="1"/>
  <c r="L94" i="60" l="1"/>
  <c r="X94" i="60" s="1"/>
  <c r="AJ94" i="60" s="1"/>
  <c r="O95" i="65" s="1"/>
  <c r="I91" i="60"/>
  <c r="U91" i="60" s="1"/>
  <c r="AG91" i="60" s="1"/>
  <c r="L92" i="115" s="1"/>
  <c r="H91" i="65"/>
  <c r="H91" i="115"/>
  <c r="AO90" i="60"/>
  <c r="BA90" i="60" s="1"/>
  <c r="BM90" i="60" s="1"/>
  <c r="BY90" i="60" s="1"/>
  <c r="AM94" i="60"/>
  <c r="AY94" i="60" s="1"/>
  <c r="BK94" i="60" s="1"/>
  <c r="BW94" i="60" s="1"/>
  <c r="CI94" i="60" s="1"/>
  <c r="F95" i="115"/>
  <c r="F95" i="65"/>
  <c r="N95" i="65"/>
  <c r="AU94" i="60"/>
  <c r="BG94" i="60" s="1"/>
  <c r="BS94" i="60" s="1"/>
  <c r="CE94" i="60" s="1"/>
  <c r="N95" i="115"/>
  <c r="AR91" i="60"/>
  <c r="BD91" i="60" s="1"/>
  <c r="BP91" i="60" s="1"/>
  <c r="CB91" i="60" s="1"/>
  <c r="K92" i="115"/>
  <c r="K92" i="65"/>
  <c r="G90" i="60"/>
  <c r="S90" i="60" s="1"/>
  <c r="AE90" i="60" s="1"/>
  <c r="L95" i="65"/>
  <c r="L95" i="115"/>
  <c r="AS94" i="60"/>
  <c r="BE94" i="60" s="1"/>
  <c r="BQ94" i="60" s="1"/>
  <c r="CC94" i="60" s="1"/>
  <c r="I92" i="65"/>
  <c r="AP91" i="60"/>
  <c r="BB91" i="60" s="1"/>
  <c r="BN91" i="60" s="1"/>
  <c r="BZ91" i="60" s="1"/>
  <c r="I92" i="115"/>
  <c r="K95" i="115"/>
  <c r="K95" i="65"/>
  <c r="AR94" i="60"/>
  <c r="BD94" i="60" s="1"/>
  <c r="BP94" i="60" s="1"/>
  <c r="CB94" i="60" s="1"/>
  <c r="H92" i="65"/>
  <c r="H92" i="115"/>
  <c r="AO91" i="60"/>
  <c r="BA91" i="60" s="1"/>
  <c r="BM91" i="60" s="1"/>
  <c r="BY91" i="60" s="1"/>
  <c r="J95" i="65"/>
  <c r="J95" i="115"/>
  <c r="AQ94" i="60"/>
  <c r="BC94" i="60" s="1"/>
  <c r="BO94" i="60" s="1"/>
  <c r="CA94" i="60" s="1"/>
  <c r="F91" i="115"/>
  <c r="F91" i="65"/>
  <c r="AM90" i="60"/>
  <c r="AY90" i="60" s="1"/>
  <c r="BK90" i="60" s="1"/>
  <c r="BW90" i="60" s="1"/>
  <c r="CI90" i="60" s="1"/>
  <c r="I95" i="115"/>
  <c r="AP94" i="60"/>
  <c r="BB94" i="60" s="1"/>
  <c r="BN94" i="60" s="1"/>
  <c r="BZ94" i="60" s="1"/>
  <c r="I95" i="65"/>
  <c r="AM91" i="60"/>
  <c r="AY91" i="60" s="1"/>
  <c r="BK91" i="60" s="1"/>
  <c r="BW91" i="60" s="1"/>
  <c r="CI91" i="60" s="1"/>
  <c r="F92" i="115"/>
  <c r="F92" i="65"/>
  <c r="E91" i="115"/>
  <c r="E91" i="65"/>
  <c r="AL90" i="60"/>
  <c r="AX90" i="60" s="1"/>
  <c r="BJ90" i="60" s="1"/>
  <c r="BV90" i="60" s="1"/>
  <c r="CH90" i="60" s="1"/>
  <c r="H95" i="115"/>
  <c r="AO94" i="60"/>
  <c r="BA94" i="60" s="1"/>
  <c r="BM94" i="60" s="1"/>
  <c r="BY94" i="60" s="1"/>
  <c r="H95" i="65"/>
  <c r="E92" i="115"/>
  <c r="E92" i="65"/>
  <c r="AL91" i="60"/>
  <c r="AX91" i="60" s="1"/>
  <c r="BJ91" i="60" s="1"/>
  <c r="BV91" i="60" s="1"/>
  <c r="CH91" i="60" s="1"/>
  <c r="D91" i="115"/>
  <c r="D91" i="65"/>
  <c r="AK90" i="60"/>
  <c r="AW90" i="60" s="1"/>
  <c r="BI90" i="60" s="1"/>
  <c r="BU90" i="60" s="1"/>
  <c r="CG90" i="60" s="1"/>
  <c r="AK91" i="60"/>
  <c r="AW91" i="60" s="1"/>
  <c r="BI91" i="60" s="1"/>
  <c r="BU91" i="60" s="1"/>
  <c r="CG91" i="60" s="1"/>
  <c r="D92" i="115"/>
  <c r="D92" i="65"/>
  <c r="AV90" i="60"/>
  <c r="BH90" i="60" s="1"/>
  <c r="BT90" i="60" s="1"/>
  <c r="CF90" i="60" s="1"/>
  <c r="O91" i="115"/>
  <c r="O91" i="65"/>
  <c r="AV91" i="60"/>
  <c r="BH91" i="60" s="1"/>
  <c r="BT91" i="60" s="1"/>
  <c r="CF91" i="60" s="1"/>
  <c r="O92" i="115"/>
  <c r="O92" i="65"/>
  <c r="N91" i="115"/>
  <c r="N91" i="65"/>
  <c r="AU90" i="60"/>
  <c r="BG90" i="60" s="1"/>
  <c r="BS90" i="60" s="1"/>
  <c r="CE90" i="60" s="1"/>
  <c r="AL94" i="60"/>
  <c r="AX94" i="60" s="1"/>
  <c r="BJ94" i="60" s="1"/>
  <c r="BV94" i="60" s="1"/>
  <c r="CH94" i="60" s="1"/>
  <c r="E95" i="65"/>
  <c r="E95" i="115"/>
  <c r="N92" i="115"/>
  <c r="AU91" i="60"/>
  <c r="BG91" i="60" s="1"/>
  <c r="BS91" i="60" s="1"/>
  <c r="CE91" i="60" s="1"/>
  <c r="N92" i="65"/>
  <c r="AT90" i="60"/>
  <c r="BF90" i="60" s="1"/>
  <c r="BR90" i="60" s="1"/>
  <c r="CD90" i="60" s="1"/>
  <c r="M91" i="65"/>
  <c r="M91" i="115"/>
  <c r="AK94" i="60"/>
  <c r="AW94" i="60" s="1"/>
  <c r="BI94" i="60" s="1"/>
  <c r="BU94" i="60" s="1"/>
  <c r="CG94" i="60" s="1"/>
  <c r="D95" i="65"/>
  <c r="D95" i="115"/>
  <c r="M92" i="115"/>
  <c r="M92" i="65"/>
  <c r="AT91" i="60"/>
  <c r="BF91" i="60" s="1"/>
  <c r="BR91" i="60" s="1"/>
  <c r="CD91" i="60" s="1"/>
  <c r="AS90" i="60"/>
  <c r="BE90" i="60" s="1"/>
  <c r="BQ90" i="60" s="1"/>
  <c r="CC90" i="60" s="1"/>
  <c r="L91" i="65"/>
  <c r="L91" i="115"/>
  <c r="O95" i="115"/>
  <c r="K91" i="115"/>
  <c r="K91" i="65"/>
  <c r="AR90" i="60"/>
  <c r="BD90" i="60" s="1"/>
  <c r="BP90" i="60" s="1"/>
  <c r="CB90" i="60" s="1"/>
  <c r="J94" i="60"/>
  <c r="V94" i="60" s="1"/>
  <c r="AH94" i="60" s="1"/>
  <c r="G91" i="60"/>
  <c r="S91" i="60" s="1"/>
  <c r="AE91" i="60" s="1"/>
  <c r="F90" i="60"/>
  <c r="R90" i="60" s="1"/>
  <c r="AD90" i="60" s="1"/>
  <c r="L92" i="65" l="1"/>
  <c r="AV94" i="60"/>
  <c r="BH94" i="60" s="1"/>
  <c r="BT94" i="60" s="1"/>
  <c r="CF94" i="60" s="1"/>
  <c r="AS91" i="60"/>
  <c r="BE91" i="60" s="1"/>
  <c r="BQ91" i="60" s="1"/>
  <c r="CC91" i="60" s="1"/>
  <c r="R79" i="20"/>
  <c r="D28" i="76" s="1"/>
  <c r="D90" i="60"/>
  <c r="P90" i="60" s="1"/>
  <c r="AB90" i="60" s="1"/>
  <c r="AQ90" i="60"/>
  <c r="BC90" i="60" s="1"/>
  <c r="BO90" i="60" s="1"/>
  <c r="CA90" i="60" s="1"/>
  <c r="J91" i="65"/>
  <c r="J91" i="115"/>
  <c r="I91" i="65"/>
  <c r="AP90" i="60"/>
  <c r="BB90" i="60" s="1"/>
  <c r="BN90" i="60" s="1"/>
  <c r="BZ90" i="60" s="1"/>
  <c r="I91" i="115"/>
  <c r="J92" i="65"/>
  <c r="AQ91" i="60"/>
  <c r="BC91" i="60" s="1"/>
  <c r="BO91" i="60" s="1"/>
  <c r="CA91" i="60" s="1"/>
  <c r="J92" i="115"/>
  <c r="R80" i="20"/>
  <c r="D91" i="60"/>
  <c r="P91" i="60" s="1"/>
  <c r="AB91" i="60" s="1"/>
  <c r="M95" i="65"/>
  <c r="AT94" i="60"/>
  <c r="BF94" i="60" s="1"/>
  <c r="BR94" i="60" s="1"/>
  <c r="CD94" i="60" s="1"/>
  <c r="M95" i="115"/>
  <c r="D94" i="60"/>
  <c r="P94" i="60" s="1"/>
  <c r="AB94" i="60" s="1"/>
  <c r="R83" i="20"/>
  <c r="G95" i="115" l="1"/>
  <c r="P95" i="115" s="1"/>
  <c r="AO87" i="44" s="1"/>
  <c r="AN94" i="60"/>
  <c r="AZ94" i="60" s="1"/>
  <c r="BL94" i="60" s="1"/>
  <c r="BX94" i="60" s="1"/>
  <c r="G95" i="65"/>
  <c r="P95" i="65" s="1"/>
  <c r="AM87" i="44" s="1"/>
  <c r="G92" i="65"/>
  <c r="P92" i="65" s="1"/>
  <c r="AM84" i="44" s="1"/>
  <c r="AN91" i="60"/>
  <c r="AZ91" i="60" s="1"/>
  <c r="BL91" i="60" s="1"/>
  <c r="BX91" i="60" s="1"/>
  <c r="G92" i="115"/>
  <c r="P92" i="115" s="1"/>
  <c r="G91" i="65"/>
  <c r="P91" i="65" s="1"/>
  <c r="AM83" i="44" s="1"/>
  <c r="G91" i="115"/>
  <c r="P91" i="115" s="1"/>
  <c r="AN90" i="60"/>
  <c r="AZ90" i="60" s="1"/>
  <c r="BL90" i="60" s="1"/>
  <c r="BX90" i="60" s="1"/>
  <c r="D28" i="91"/>
  <c r="P28" i="91" s="1"/>
  <c r="P28" i="76"/>
  <c r="Q91" i="115" l="1"/>
  <c r="AP83" i="44" s="1"/>
  <c r="AO83" i="44"/>
  <c r="Q92" i="115"/>
  <c r="AP84" i="44" s="1"/>
  <c r="AO84" i="44"/>
  <c r="Q91" i="65"/>
  <c r="AN83" i="44" s="1"/>
  <c r="F44" i="61"/>
  <c r="G49" i="44"/>
  <c r="Q92" i="65"/>
  <c r="P30" i="91"/>
  <c r="P30" i="76"/>
  <c r="F45" i="61"/>
  <c r="P38" i="76"/>
  <c r="Q95" i="65"/>
  <c r="AN87" i="44" s="1"/>
  <c r="I49" i="44"/>
  <c r="P38" i="91"/>
  <c r="J49" i="44"/>
  <c r="Q95" i="115"/>
  <c r="AP87" i="44" s="1"/>
  <c r="R92" i="65" l="1"/>
  <c r="AN84" i="44"/>
  <c r="K49" i="44"/>
  <c r="R95" i="65"/>
  <c r="S66" i="65"/>
  <c r="G50" i="44"/>
  <c r="R91" i="65"/>
  <c r="F49" i="44"/>
  <c r="F50" i="44" s="1"/>
  <c r="S67" i="65"/>
  <c r="H50" i="44" l="1"/>
  <c r="H49" i="44"/>
  <c r="C23" i="56" l="1"/>
  <c r="C22" i="56" s="1"/>
  <c r="C24" i="56" s="1"/>
  <c r="G15" i="60"/>
  <c r="S15" i="60" s="1"/>
  <c r="AE15" i="60" s="1"/>
  <c r="K33" i="60"/>
  <c r="W33" i="60" s="1"/>
  <c r="AI33" i="60" s="1"/>
  <c r="M33" i="60"/>
  <c r="Y33" i="60" s="1"/>
  <c r="E33" i="60"/>
  <c r="Q33" i="60" s="1"/>
  <c r="AC33" i="60" s="1"/>
  <c r="N33" i="60"/>
  <c r="Z33" i="60" s="1"/>
  <c r="O15" i="60"/>
  <c r="AA15" i="60" s="1"/>
  <c r="I33" i="60"/>
  <c r="U33" i="60" s="1"/>
  <c r="AG33" i="60" s="1"/>
  <c r="K15" i="60"/>
  <c r="W15" i="60" s="1"/>
  <c r="AI15" i="60" s="1"/>
  <c r="L33" i="60"/>
  <c r="X33" i="60" s="1"/>
  <c r="AJ33" i="60" s="1"/>
  <c r="F15" i="60"/>
  <c r="R15" i="60" s="1"/>
  <c r="AD15" i="60" s="1"/>
  <c r="L15" i="60"/>
  <c r="X15" i="60" s="1"/>
  <c r="AJ15" i="60" s="1"/>
  <c r="N15" i="60"/>
  <c r="Z15" i="60" s="1"/>
  <c r="E15" i="60"/>
  <c r="Q15" i="60" s="1"/>
  <c r="AC15" i="60" s="1"/>
  <c r="M15" i="60"/>
  <c r="Y15" i="60" s="1"/>
  <c r="F33" i="60"/>
  <c r="R33" i="60" s="1"/>
  <c r="AD33" i="60" s="1"/>
  <c r="O33" i="60"/>
  <c r="AA33" i="60" s="1"/>
  <c r="J33" i="60"/>
  <c r="V33" i="60" s="1"/>
  <c r="AH33" i="60" s="1"/>
  <c r="H15" i="60"/>
  <c r="T15" i="60" s="1"/>
  <c r="AF15" i="60" s="1"/>
  <c r="J15" i="60"/>
  <c r="V15" i="60" s="1"/>
  <c r="AH15" i="60" s="1"/>
  <c r="H33" i="60"/>
  <c r="T33" i="60" s="1"/>
  <c r="AF33" i="60" s="1"/>
  <c r="G33" i="60"/>
  <c r="S33" i="60" s="1"/>
  <c r="AE33" i="60" s="1"/>
  <c r="K17" i="20" l="1"/>
  <c r="K32" i="113" s="1"/>
  <c r="K14" i="56"/>
  <c r="J50" i="60"/>
  <c r="I44" i="20"/>
  <c r="M24" i="20"/>
  <c r="E44" i="20"/>
  <c r="F50" i="60"/>
  <c r="K58" i="60"/>
  <c r="J50" i="20"/>
  <c r="AU15" i="60"/>
  <c r="BG15" i="60" s="1"/>
  <c r="BS15" i="60" s="1"/>
  <c r="CE15" i="60" s="1"/>
  <c r="N16" i="115"/>
  <c r="N16" i="65"/>
  <c r="D50" i="60"/>
  <c r="P43" i="20"/>
  <c r="C44" i="20"/>
  <c r="D16" i="115"/>
  <c r="AK15" i="60"/>
  <c r="AW15" i="60" s="1"/>
  <c r="BI15" i="60" s="1"/>
  <c r="BU15" i="60" s="1"/>
  <c r="CG15" i="60" s="1"/>
  <c r="D16" i="65"/>
  <c r="AU33" i="60"/>
  <c r="BG33" i="60" s="1"/>
  <c r="BS33" i="60" s="1"/>
  <c r="CE33" i="60" s="1"/>
  <c r="N34" i="115"/>
  <c r="N34" i="65"/>
  <c r="F24" i="20"/>
  <c r="N24" i="20"/>
  <c r="F14" i="56"/>
  <c r="F17" i="20"/>
  <c r="F32" i="113" s="1"/>
  <c r="H23" i="56"/>
  <c r="H22" i="56" s="1"/>
  <c r="H24" i="56" s="1"/>
  <c r="G24" i="20"/>
  <c r="I24" i="20"/>
  <c r="D24" i="20"/>
  <c r="O16" i="115"/>
  <c r="O16" i="65"/>
  <c r="AV15" i="60"/>
  <c r="BH15" i="60" s="1"/>
  <c r="BT15" i="60" s="1"/>
  <c r="CF15" i="60" s="1"/>
  <c r="N23" i="56"/>
  <c r="N22" i="56" s="1"/>
  <c r="N24" i="56" s="1"/>
  <c r="L31" i="20"/>
  <c r="M32" i="60"/>
  <c r="M38" i="20"/>
  <c r="M86" i="113" s="1"/>
  <c r="J58" i="60"/>
  <c r="I50" i="20"/>
  <c r="K32" i="60"/>
  <c r="J31" i="20"/>
  <c r="K23" i="56"/>
  <c r="K22" i="56" s="1"/>
  <c r="K24" i="56" s="1"/>
  <c r="K24" i="20"/>
  <c r="N58" i="60"/>
  <c r="M50" i="20"/>
  <c r="M44" i="20"/>
  <c r="N50" i="60"/>
  <c r="I23" i="56"/>
  <c r="I22" i="56" s="1"/>
  <c r="I24" i="56" s="1"/>
  <c r="N38" i="20"/>
  <c r="N86" i="113" s="1"/>
  <c r="L50" i="60"/>
  <c r="K44" i="20"/>
  <c r="E38" i="20"/>
  <c r="E86" i="113" s="1"/>
  <c r="M14" i="56"/>
  <c r="M17" i="20"/>
  <c r="M32" i="113" s="1"/>
  <c r="M34" i="115"/>
  <c r="M34" i="65"/>
  <c r="AT33" i="60"/>
  <c r="BF33" i="60" s="1"/>
  <c r="BR33" i="60" s="1"/>
  <c r="CD33" i="60" s="1"/>
  <c r="H38" i="20"/>
  <c r="H86" i="113" s="1"/>
  <c r="I38" i="20"/>
  <c r="I86" i="113" s="1"/>
  <c r="H24" i="20"/>
  <c r="H59" i="113" s="1"/>
  <c r="F50" i="20"/>
  <c r="G58" i="60"/>
  <c r="F58" i="60"/>
  <c r="E50" i="20"/>
  <c r="L34" i="115"/>
  <c r="AS33" i="60"/>
  <c r="BE33" i="60" s="1"/>
  <c r="BQ33" i="60" s="1"/>
  <c r="CC33" i="60" s="1"/>
  <c r="L34" i="65"/>
  <c r="J24" i="20"/>
  <c r="G50" i="20"/>
  <c r="H58" i="60"/>
  <c r="E23" i="56"/>
  <c r="E22" i="56" s="1"/>
  <c r="E24" i="56" s="1"/>
  <c r="D17" i="20"/>
  <c r="D32" i="113" s="1"/>
  <c r="D14" i="56"/>
  <c r="L23" i="56"/>
  <c r="L22" i="56" s="1"/>
  <c r="L24" i="56" s="1"/>
  <c r="L38" i="20"/>
  <c r="L86" i="113" s="1"/>
  <c r="L14" i="56"/>
  <c r="L17" i="20"/>
  <c r="L32" i="113" s="1"/>
  <c r="AP15" i="60"/>
  <c r="BB15" i="60" s="1"/>
  <c r="BN15" i="60" s="1"/>
  <c r="BZ15" i="60" s="1"/>
  <c r="I16" i="115"/>
  <c r="I16" i="65"/>
  <c r="AL33" i="60"/>
  <c r="AX33" i="60" s="1"/>
  <c r="BJ33" i="60" s="1"/>
  <c r="BV33" i="60" s="1"/>
  <c r="CH33" i="60" s="1"/>
  <c r="E34" i="65"/>
  <c r="E34" i="115"/>
  <c r="D15" i="60"/>
  <c r="P15" i="60" s="1"/>
  <c r="AB15" i="60" s="1"/>
  <c r="P16" i="20"/>
  <c r="AR15" i="60"/>
  <c r="BD15" i="60" s="1"/>
  <c r="BP15" i="60" s="1"/>
  <c r="CB15" i="60" s="1"/>
  <c r="K16" i="65"/>
  <c r="K16" i="115"/>
  <c r="AM33" i="60"/>
  <c r="AY33" i="60" s="1"/>
  <c r="BK33" i="60" s="1"/>
  <c r="BW33" i="60" s="1"/>
  <c r="CI33" i="60" s="1"/>
  <c r="F34" i="115"/>
  <c r="F34" i="65"/>
  <c r="E16" i="65"/>
  <c r="E16" i="115"/>
  <c r="AL15" i="60"/>
  <c r="AX15" i="60" s="1"/>
  <c r="BJ15" i="60" s="1"/>
  <c r="BV15" i="60" s="1"/>
  <c r="CH15" i="60" s="1"/>
  <c r="O32" i="60"/>
  <c r="N31" i="20"/>
  <c r="H44" i="20"/>
  <c r="I50" i="60"/>
  <c r="M31" i="20"/>
  <c r="N32" i="60"/>
  <c r="D50" i="20"/>
  <c r="E58" i="60"/>
  <c r="K38" i="20"/>
  <c r="K86" i="113" s="1"/>
  <c r="AK33" i="60"/>
  <c r="AW33" i="60" s="1"/>
  <c r="BI33" i="60" s="1"/>
  <c r="BU33" i="60" s="1"/>
  <c r="CG33" i="60" s="1"/>
  <c r="D34" i="65"/>
  <c r="D34" i="115"/>
  <c r="G38" i="20"/>
  <c r="G86" i="113" s="1"/>
  <c r="P37" i="20"/>
  <c r="I32" i="60"/>
  <c r="H31" i="20"/>
  <c r="G50" i="60"/>
  <c r="F44" i="20"/>
  <c r="D31" i="20"/>
  <c r="E32" i="60"/>
  <c r="G32" i="60"/>
  <c r="F31" i="20"/>
  <c r="G44" i="20"/>
  <c r="H50" i="60"/>
  <c r="C14" i="56"/>
  <c r="P15" i="20"/>
  <c r="C17" i="20"/>
  <c r="C32" i="113" s="1"/>
  <c r="E31" i="20"/>
  <c r="F32" i="60"/>
  <c r="J38" i="20"/>
  <c r="J86" i="113" s="1"/>
  <c r="N17" i="20"/>
  <c r="N32" i="113" s="1"/>
  <c r="N14" i="56"/>
  <c r="C50" i="20"/>
  <c r="D58" i="60"/>
  <c r="P49" i="20"/>
  <c r="AQ33" i="60"/>
  <c r="BC33" i="60" s="1"/>
  <c r="BO33" i="60" s="1"/>
  <c r="CA33" i="60" s="1"/>
  <c r="J34" i="65"/>
  <c r="J34" i="115"/>
  <c r="K34" i="65"/>
  <c r="K34" i="115"/>
  <c r="AR33" i="60"/>
  <c r="BD33" i="60" s="1"/>
  <c r="BP33" i="60" s="1"/>
  <c r="CB33" i="60" s="1"/>
  <c r="D23" i="56"/>
  <c r="D22" i="56" s="1"/>
  <c r="D24" i="56" s="1"/>
  <c r="D32" i="60"/>
  <c r="C31" i="20"/>
  <c r="P29" i="20"/>
  <c r="O34" i="115"/>
  <c r="AV33" i="60"/>
  <c r="BH33" i="60" s="1"/>
  <c r="BT33" i="60" s="1"/>
  <c r="CF33" i="60" s="1"/>
  <c r="O34" i="65"/>
  <c r="H50" i="20"/>
  <c r="I58" i="60"/>
  <c r="E24" i="20"/>
  <c r="H32" i="60"/>
  <c r="G31" i="20"/>
  <c r="J16" i="65"/>
  <c r="AQ15" i="60"/>
  <c r="BC15" i="60" s="1"/>
  <c r="BO15" i="60" s="1"/>
  <c r="CA15" i="60" s="1"/>
  <c r="J16" i="115"/>
  <c r="L24" i="20"/>
  <c r="L32" i="60"/>
  <c r="K31" i="20"/>
  <c r="F23" i="56"/>
  <c r="F22" i="56" s="1"/>
  <c r="F24" i="56" s="1"/>
  <c r="C38" i="20"/>
  <c r="C86" i="113" s="1"/>
  <c r="P36" i="20"/>
  <c r="M23" i="56"/>
  <c r="M22" i="56" s="1"/>
  <c r="M24" i="56" s="1"/>
  <c r="G23" i="56"/>
  <c r="G22" i="56" s="1"/>
  <c r="G24" i="56" s="1"/>
  <c r="H16" i="65"/>
  <c r="H16" i="115"/>
  <c r="AO15" i="60"/>
  <c r="BA15" i="60" s="1"/>
  <c r="BM15" i="60" s="1"/>
  <c r="BY15" i="60" s="1"/>
  <c r="G14" i="56"/>
  <c r="G17" i="20"/>
  <c r="G32" i="113" s="1"/>
  <c r="J23" i="56"/>
  <c r="J22" i="56" s="1"/>
  <c r="J24" i="56" s="1"/>
  <c r="K50" i="20"/>
  <c r="L58" i="60"/>
  <c r="E17" i="20"/>
  <c r="E32" i="113" s="1"/>
  <c r="E14" i="56"/>
  <c r="E15" i="56" s="1"/>
  <c r="E17" i="56" s="1"/>
  <c r="K50" i="60"/>
  <c r="J44" i="20"/>
  <c r="D33" i="60"/>
  <c r="P33" i="60" s="1"/>
  <c r="AB33" i="60" s="1"/>
  <c r="P30" i="20"/>
  <c r="I34" i="115"/>
  <c r="I34" i="65"/>
  <c r="AP33" i="60"/>
  <c r="BB33" i="60" s="1"/>
  <c r="BN33" i="60" s="1"/>
  <c r="BZ33" i="60" s="1"/>
  <c r="E50" i="60"/>
  <c r="D44" i="20"/>
  <c r="O58" i="60"/>
  <c r="N50" i="20"/>
  <c r="J32" i="60"/>
  <c r="I31" i="20"/>
  <c r="M50" i="60"/>
  <c r="L44" i="20"/>
  <c r="D38" i="20"/>
  <c r="D86" i="113" s="1"/>
  <c r="F16" i="115"/>
  <c r="AM15" i="60"/>
  <c r="AY15" i="60" s="1"/>
  <c r="BK15" i="60" s="1"/>
  <c r="BW15" i="60" s="1"/>
  <c r="CI15" i="60" s="1"/>
  <c r="F16" i="65"/>
  <c r="H34" i="65"/>
  <c r="H34" i="115"/>
  <c r="AO33" i="60"/>
  <c r="BA33" i="60" s="1"/>
  <c r="BM33" i="60" s="1"/>
  <c r="BY33" i="60" s="1"/>
  <c r="M58" i="60"/>
  <c r="L50" i="20"/>
  <c r="P23" i="20"/>
  <c r="J14" i="56"/>
  <c r="J17" i="20"/>
  <c r="J32" i="113" s="1"/>
  <c r="M16" i="115"/>
  <c r="M16" i="65"/>
  <c r="AT15" i="60"/>
  <c r="BF15" i="60" s="1"/>
  <c r="BR15" i="60" s="1"/>
  <c r="CD15" i="60" s="1"/>
  <c r="H16" i="56"/>
  <c r="P16" i="56" s="1"/>
  <c r="I17" i="20"/>
  <c r="I32" i="113" s="1"/>
  <c r="I14" i="56"/>
  <c r="N44" i="20"/>
  <c r="O50" i="60"/>
  <c r="H15" i="56"/>
  <c r="H17" i="20"/>
  <c r="H32" i="113" s="1"/>
  <c r="C24" i="20"/>
  <c r="C59" i="113" s="1"/>
  <c r="P22" i="20"/>
  <c r="F38" i="20"/>
  <c r="F86" i="113" s="1"/>
  <c r="F14" i="60" l="1"/>
  <c r="R14" i="60" s="1"/>
  <c r="AD14" i="60" s="1"/>
  <c r="E59" i="113"/>
  <c r="G59" i="113"/>
  <c r="R43" i="20"/>
  <c r="R44" i="20" s="1"/>
  <c r="E22" i="76"/>
  <c r="P44" i="20"/>
  <c r="G34" i="115"/>
  <c r="AN33" i="60"/>
  <c r="AZ33" i="60" s="1"/>
  <c r="BL33" i="60" s="1"/>
  <c r="BX33" i="60" s="1"/>
  <c r="G34" i="65"/>
  <c r="P34" i="65" s="1"/>
  <c r="AM26" i="44" s="1"/>
  <c r="D59" i="113"/>
  <c r="C55" i="113" s="1"/>
  <c r="I14" i="60"/>
  <c r="U14" i="60" s="1"/>
  <c r="AG14" i="60" s="1"/>
  <c r="H14" i="56"/>
  <c r="H17" i="56" s="1"/>
  <c r="D15" i="56"/>
  <c r="E14" i="60" s="1"/>
  <c r="Q14" i="60" s="1"/>
  <c r="AC14" i="60" s="1"/>
  <c r="J59" i="60"/>
  <c r="J61" i="60" s="1"/>
  <c r="V58" i="60"/>
  <c r="J55" i="60"/>
  <c r="K47" i="60"/>
  <c r="K51" i="60"/>
  <c r="W50" i="60"/>
  <c r="X32" i="60"/>
  <c r="L29" i="60"/>
  <c r="L34" i="60"/>
  <c r="G51" i="60"/>
  <c r="G47" i="60"/>
  <c r="S50" i="60"/>
  <c r="N51" i="60"/>
  <c r="N47" i="60"/>
  <c r="Z50" i="60"/>
  <c r="I59" i="113"/>
  <c r="L59" i="113"/>
  <c r="C28" i="113"/>
  <c r="I29" i="60"/>
  <c r="U32" i="60"/>
  <c r="I34" i="60"/>
  <c r="E59" i="60"/>
  <c r="E61" i="60" s="1"/>
  <c r="E55" i="60"/>
  <c r="Q58" i="60"/>
  <c r="G55" i="60"/>
  <c r="S58" i="60"/>
  <c r="G59" i="60"/>
  <c r="G61" i="60" s="1"/>
  <c r="M15" i="56"/>
  <c r="N14" i="60" s="1"/>
  <c r="Z14" i="60" s="1"/>
  <c r="Y32" i="60"/>
  <c r="M29" i="60"/>
  <c r="M34" i="60"/>
  <c r="F51" i="60"/>
  <c r="F47" i="60"/>
  <c r="R50" i="60"/>
  <c r="AA58" i="60"/>
  <c r="O55" i="60"/>
  <c r="O59" i="60"/>
  <c r="O61" i="60" s="1"/>
  <c r="T23" i="76"/>
  <c r="R29" i="20"/>
  <c r="P31" i="20"/>
  <c r="D55" i="60"/>
  <c r="P58" i="60"/>
  <c r="D59" i="60"/>
  <c r="D61" i="60" s="1"/>
  <c r="R15" i="20"/>
  <c r="P17" i="20"/>
  <c r="H59" i="60"/>
  <c r="H61" i="60" s="1"/>
  <c r="T58" i="60"/>
  <c r="H55" i="60"/>
  <c r="Z58" i="60"/>
  <c r="N59" i="60"/>
  <c r="N61" i="60" s="1"/>
  <c r="N55" i="60"/>
  <c r="I15" i="60"/>
  <c r="U15" i="60" s="1"/>
  <c r="AG15" i="60" s="1"/>
  <c r="C15" i="56"/>
  <c r="C17" i="56" s="1"/>
  <c r="R37" i="20"/>
  <c r="U24" i="76"/>
  <c r="N29" i="60"/>
  <c r="N34" i="60"/>
  <c r="Z32" i="60"/>
  <c r="R36" i="20"/>
  <c r="P38" i="20"/>
  <c r="U21" i="76"/>
  <c r="R16" i="20"/>
  <c r="L51" i="60"/>
  <c r="X50" i="60"/>
  <c r="L47" i="60"/>
  <c r="J47" i="60"/>
  <c r="J51" i="60"/>
  <c r="V50" i="60"/>
  <c r="J15" i="56"/>
  <c r="K14" i="60" s="1"/>
  <c r="W14" i="60" s="1"/>
  <c r="AI14" i="60" s="1"/>
  <c r="G15" i="56"/>
  <c r="H14" i="60" s="1"/>
  <c r="T14" i="60" s="1"/>
  <c r="AF14" i="60" s="1"/>
  <c r="I55" i="60"/>
  <c r="I59" i="60"/>
  <c r="I61" i="60" s="1"/>
  <c r="U58" i="60"/>
  <c r="F59" i="113"/>
  <c r="R23" i="20"/>
  <c r="E19" i="76"/>
  <c r="U22" i="76"/>
  <c r="M51" i="60"/>
  <c r="Y50" i="60"/>
  <c r="M47" i="60"/>
  <c r="R32" i="60"/>
  <c r="F34" i="60"/>
  <c r="F29" i="60"/>
  <c r="AA50" i="60"/>
  <c r="O51" i="60"/>
  <c r="O47" i="60"/>
  <c r="M55" i="60"/>
  <c r="Y58" i="60"/>
  <c r="M59" i="60"/>
  <c r="M61" i="60" s="1"/>
  <c r="V32" i="60"/>
  <c r="J34" i="60"/>
  <c r="J29" i="60"/>
  <c r="F55" i="60"/>
  <c r="R58" i="60"/>
  <c r="F59" i="60"/>
  <c r="F61" i="60" s="1"/>
  <c r="K59" i="60"/>
  <c r="K61" i="60" s="1"/>
  <c r="K55" i="60"/>
  <c r="W58" i="60"/>
  <c r="I15" i="56"/>
  <c r="J14" i="60" s="1"/>
  <c r="V14" i="60" s="1"/>
  <c r="AH14" i="60" s="1"/>
  <c r="I15" i="115"/>
  <c r="AP14" i="60"/>
  <c r="BB14" i="60" s="1"/>
  <c r="BN14" i="60" s="1"/>
  <c r="BZ14" i="60" s="1"/>
  <c r="I15" i="65"/>
  <c r="R49" i="20"/>
  <c r="R50" i="20" s="1"/>
  <c r="P50" i="20"/>
  <c r="F19" i="76"/>
  <c r="F19" i="91" s="1"/>
  <c r="R16" i="56"/>
  <c r="E47" i="60"/>
  <c r="Q50" i="60"/>
  <c r="E51" i="60"/>
  <c r="L55" i="60"/>
  <c r="L59" i="60"/>
  <c r="L61" i="60" s="1"/>
  <c r="X58" i="60"/>
  <c r="D29" i="60"/>
  <c r="P32" i="60"/>
  <c r="D34" i="60"/>
  <c r="T50" i="60"/>
  <c r="H51" i="60"/>
  <c r="H47" i="60"/>
  <c r="K59" i="113"/>
  <c r="N59" i="113"/>
  <c r="M59" i="113"/>
  <c r="N15" i="56"/>
  <c r="O14" i="60" s="1"/>
  <c r="AA14" i="60" s="1"/>
  <c r="U50" i="60"/>
  <c r="I47" i="60"/>
  <c r="I51" i="60"/>
  <c r="L15" i="56"/>
  <c r="M14" i="60" s="1"/>
  <c r="Y14" i="60" s="1"/>
  <c r="L17" i="56"/>
  <c r="J59" i="113"/>
  <c r="F15" i="56"/>
  <c r="G14" i="60" s="1"/>
  <c r="S14" i="60" s="1"/>
  <c r="AE14" i="60" s="1"/>
  <c r="H29" i="60"/>
  <c r="H34" i="60"/>
  <c r="T32" i="60"/>
  <c r="R22" i="20"/>
  <c r="E18" i="76"/>
  <c r="P24" i="20"/>
  <c r="G34" i="60"/>
  <c r="S32" i="60"/>
  <c r="G29" i="60"/>
  <c r="P34" i="115"/>
  <c r="G16" i="65"/>
  <c r="G16" i="115"/>
  <c r="AN15" i="60"/>
  <c r="AZ15" i="60" s="1"/>
  <c r="BL15" i="60" s="1"/>
  <c r="BX15" i="60" s="1"/>
  <c r="D47" i="60"/>
  <c r="D51" i="60"/>
  <c r="P50" i="60"/>
  <c r="K15" i="56"/>
  <c r="L14" i="60" s="1"/>
  <c r="X14" i="60" s="1"/>
  <c r="AJ14" i="60" s="1"/>
  <c r="C82" i="113"/>
  <c r="U23" i="76"/>
  <c r="R30" i="20"/>
  <c r="E34" i="60"/>
  <c r="Q32" i="60"/>
  <c r="E29" i="60"/>
  <c r="O29" i="60"/>
  <c r="AA32" i="60"/>
  <c r="O34" i="60"/>
  <c r="K34" i="60"/>
  <c r="K29" i="60"/>
  <c r="W32" i="60"/>
  <c r="C6" i="80" l="1"/>
  <c r="Q34" i="115"/>
  <c r="AP26" i="44" s="1"/>
  <c r="AO26" i="44"/>
  <c r="J17" i="56"/>
  <c r="D17" i="56"/>
  <c r="F17" i="56"/>
  <c r="R24" i="20"/>
  <c r="N17" i="56"/>
  <c r="I17" i="56"/>
  <c r="R31" i="20"/>
  <c r="K113" i="60"/>
  <c r="J19" i="78"/>
  <c r="K36" i="60"/>
  <c r="K13" i="72" s="1"/>
  <c r="AH50" i="60"/>
  <c r="V51" i="60"/>
  <c r="V47" i="60"/>
  <c r="O113" i="60"/>
  <c r="N19" i="78"/>
  <c r="O36" i="60"/>
  <c r="O13" i="72" s="1"/>
  <c r="E18" i="91"/>
  <c r="E40" i="76"/>
  <c r="AJ58" i="60"/>
  <c r="X55" i="60"/>
  <c r="X59" i="60"/>
  <c r="S51" i="60"/>
  <c r="S47" i="60"/>
  <c r="AE50" i="60"/>
  <c r="AA34" i="60"/>
  <c r="F33" i="115"/>
  <c r="AA29" i="60"/>
  <c r="AM32" i="60"/>
  <c r="F33" i="65"/>
  <c r="D59" i="65"/>
  <c r="Y59" i="60"/>
  <c r="Y55" i="60"/>
  <c r="D59" i="115"/>
  <c r="AK58" i="60"/>
  <c r="AO14" i="60"/>
  <c r="BA14" i="60" s="1"/>
  <c r="BM14" i="60" s="1"/>
  <c r="BY14" i="60" s="1"/>
  <c r="H15" i="65"/>
  <c r="H15" i="115"/>
  <c r="AF32" i="60"/>
  <c r="T34" i="60"/>
  <c r="T29" i="60"/>
  <c r="AT14" i="60"/>
  <c r="BF14" i="60" s="1"/>
  <c r="BR14" i="60" s="1"/>
  <c r="CD14" i="60" s="1"/>
  <c r="M15" i="115"/>
  <c r="M15" i="65"/>
  <c r="Q34" i="65"/>
  <c r="AN26" i="44" s="1"/>
  <c r="U30" i="76"/>
  <c r="U40" i="76" s="1"/>
  <c r="W55" i="60"/>
  <c r="AI58" i="60"/>
  <c r="W59" i="60"/>
  <c r="P14" i="56"/>
  <c r="F115" i="60"/>
  <c r="F53" i="60"/>
  <c r="K19" i="78"/>
  <c r="L36" i="60"/>
  <c r="L13" i="72" s="1"/>
  <c r="L113" i="60"/>
  <c r="O55" i="113"/>
  <c r="C50" i="113"/>
  <c r="C51" i="113" s="1"/>
  <c r="C52" i="113" s="1"/>
  <c r="D55" i="113"/>
  <c r="AC32" i="60"/>
  <c r="Q29" i="60"/>
  <c r="Q34" i="60"/>
  <c r="F51" i="65"/>
  <c r="AM50" i="60"/>
  <c r="AA51" i="60"/>
  <c r="F51" i="115"/>
  <c r="AA47" i="60"/>
  <c r="P15" i="56"/>
  <c r="D14" i="60"/>
  <c r="P14" i="60" s="1"/>
  <c r="AB14" i="60" s="1"/>
  <c r="AB58" i="60"/>
  <c r="P59" i="60"/>
  <c r="P61" i="60" s="1"/>
  <c r="P55" i="60"/>
  <c r="AJ32" i="60"/>
  <c r="X34" i="60"/>
  <c r="X29" i="60"/>
  <c r="J15" i="115"/>
  <c r="AQ14" i="60"/>
  <c r="BC14" i="60" s="1"/>
  <c r="BO14" i="60" s="1"/>
  <c r="CA14" i="60" s="1"/>
  <c r="J15" i="65"/>
  <c r="U25" i="76"/>
  <c r="L16" i="115"/>
  <c r="P16" i="115" s="1"/>
  <c r="L16" i="65"/>
  <c r="P16" i="65" s="1"/>
  <c r="AM8" i="44" s="1"/>
  <c r="AS15" i="60"/>
  <c r="BE15" i="60" s="1"/>
  <c r="BQ15" i="60" s="1"/>
  <c r="CC15" i="60" s="1"/>
  <c r="Y34" i="60"/>
  <c r="D33" i="65"/>
  <c r="Y29" i="60"/>
  <c r="D33" i="115"/>
  <c r="AK32" i="60"/>
  <c r="AI50" i="60"/>
  <c r="W47" i="60"/>
  <c r="W51" i="60"/>
  <c r="O15" i="115"/>
  <c r="O15" i="65"/>
  <c r="AV14" i="60"/>
  <c r="BH14" i="60" s="1"/>
  <c r="BT14" i="60" s="1"/>
  <c r="CF14" i="60" s="1"/>
  <c r="AH32" i="60"/>
  <c r="V34" i="60"/>
  <c r="V29" i="60"/>
  <c r="M53" i="60"/>
  <c r="M115" i="60"/>
  <c r="E6" i="80" s="1"/>
  <c r="N113" i="60"/>
  <c r="M19" i="78"/>
  <c r="N36" i="60"/>
  <c r="N13" i="72" s="1"/>
  <c r="T59" i="60"/>
  <c r="T55" i="60"/>
  <c r="AF58" i="60"/>
  <c r="N115" i="60"/>
  <c r="F6" i="80" s="1"/>
  <c r="N53" i="60"/>
  <c r="P47" i="60"/>
  <c r="P51" i="60"/>
  <c r="AB50" i="60"/>
  <c r="U47" i="60"/>
  <c r="U51" i="60"/>
  <c r="AG50" i="60"/>
  <c r="J115" i="60"/>
  <c r="J53" i="60"/>
  <c r="F59" i="115"/>
  <c r="AA55" i="60"/>
  <c r="AA59" i="60"/>
  <c r="F59" i="65"/>
  <c r="AM58" i="60"/>
  <c r="AC58" i="60"/>
  <c r="Q55" i="60"/>
  <c r="Q59" i="60"/>
  <c r="Q61" i="60" s="1"/>
  <c r="D53" i="60"/>
  <c r="D115" i="60"/>
  <c r="E19" i="91"/>
  <c r="H19" i="91" s="1"/>
  <c r="M19" i="91" s="1"/>
  <c r="P19" i="91" s="1"/>
  <c r="H19" i="76"/>
  <c r="M19" i="76" s="1"/>
  <c r="P19" i="76" s="1"/>
  <c r="AD50" i="60"/>
  <c r="R47" i="60"/>
  <c r="R51" i="60"/>
  <c r="AM14" i="60"/>
  <c r="AY14" i="60" s="1"/>
  <c r="BK14" i="60" s="1"/>
  <c r="BW14" i="60" s="1"/>
  <c r="CI14" i="60" s="1"/>
  <c r="F15" i="65"/>
  <c r="F15" i="115"/>
  <c r="G53" i="60"/>
  <c r="G115" i="60"/>
  <c r="H113" i="60"/>
  <c r="H36" i="60"/>
  <c r="H13" i="72" s="1"/>
  <c r="G19" i="78"/>
  <c r="E115" i="60"/>
  <c r="E53" i="60"/>
  <c r="X47" i="60"/>
  <c r="AJ50" i="60"/>
  <c r="X51" i="60"/>
  <c r="H19" i="78"/>
  <c r="I113" i="60"/>
  <c r="I36" i="60"/>
  <c r="I13" i="72" s="1"/>
  <c r="AS14" i="60"/>
  <c r="BE14" i="60" s="1"/>
  <c r="BQ14" i="60" s="1"/>
  <c r="CC14" i="60" s="1"/>
  <c r="L15" i="115"/>
  <c r="L15" i="65"/>
  <c r="Q47" i="60"/>
  <c r="AC50" i="60"/>
  <c r="Q51" i="60"/>
  <c r="O115" i="60"/>
  <c r="G6" i="80" s="1"/>
  <c r="O53" i="60"/>
  <c r="U55" i="60"/>
  <c r="AG58" i="60"/>
  <c r="U59" i="60"/>
  <c r="L53" i="60"/>
  <c r="L115" i="60"/>
  <c r="D6" i="80" s="1"/>
  <c r="M36" i="60"/>
  <c r="M13" i="72" s="1"/>
  <c r="L19" i="78"/>
  <c r="M113" i="60"/>
  <c r="U29" i="60"/>
  <c r="U34" i="60"/>
  <c r="AG32" i="60"/>
  <c r="R17" i="20"/>
  <c r="E36" i="60"/>
  <c r="E13" i="72" s="1"/>
  <c r="E113" i="60"/>
  <c r="D19" i="78"/>
  <c r="C23" i="113"/>
  <c r="C24" i="113" s="1"/>
  <c r="C25" i="113" s="1"/>
  <c r="O28" i="113"/>
  <c r="D28" i="113"/>
  <c r="H115" i="60"/>
  <c r="H53" i="60"/>
  <c r="R59" i="60"/>
  <c r="R61" i="60" s="1"/>
  <c r="R55" i="60"/>
  <c r="AD58" i="60"/>
  <c r="F36" i="60"/>
  <c r="F13" i="72" s="1"/>
  <c r="E19" i="78"/>
  <c r="F113" i="60"/>
  <c r="G17" i="56"/>
  <c r="M17" i="56"/>
  <c r="K53" i="60"/>
  <c r="K115" i="60"/>
  <c r="S29" i="60"/>
  <c r="AE32" i="60"/>
  <c r="S34" i="60"/>
  <c r="T51" i="60"/>
  <c r="T47" i="60"/>
  <c r="AF50" i="60"/>
  <c r="R34" i="60"/>
  <c r="R29" i="60"/>
  <c r="AD32" i="60"/>
  <c r="AR14" i="60"/>
  <c r="BD14" i="60" s="1"/>
  <c r="BP14" i="60" s="1"/>
  <c r="CB14" i="60" s="1"/>
  <c r="K15" i="65"/>
  <c r="K15" i="115"/>
  <c r="E15" i="65"/>
  <c r="AL14" i="60"/>
  <c r="AX14" i="60" s="1"/>
  <c r="BJ14" i="60" s="1"/>
  <c r="BV14" i="60" s="1"/>
  <c r="CH14" i="60" s="1"/>
  <c r="E15" i="115"/>
  <c r="AI32" i="60"/>
  <c r="W29" i="60"/>
  <c r="W34" i="60"/>
  <c r="O82" i="113"/>
  <c r="D82" i="113"/>
  <c r="C77" i="113"/>
  <c r="C78" i="113" s="1"/>
  <c r="C79" i="113" s="1"/>
  <c r="G113" i="60"/>
  <c r="G36" i="60"/>
  <c r="G13" i="72" s="1"/>
  <c r="F19" i="78"/>
  <c r="D15" i="65"/>
  <c r="AK14" i="60"/>
  <c r="AW14" i="60" s="1"/>
  <c r="BI14" i="60" s="1"/>
  <c r="BU14" i="60" s="1"/>
  <c r="CG14" i="60" s="1"/>
  <c r="D15" i="115"/>
  <c r="D36" i="60"/>
  <c r="D13" i="72" s="1"/>
  <c r="D113" i="60"/>
  <c r="C19" i="78"/>
  <c r="R38" i="20"/>
  <c r="Z59" i="60"/>
  <c r="E59" i="65"/>
  <c r="Z55" i="60"/>
  <c r="E59" i="115"/>
  <c r="AL58" i="60"/>
  <c r="Z47" i="60"/>
  <c r="E51" i="65"/>
  <c r="AL50" i="60"/>
  <c r="E51" i="115"/>
  <c r="Z51" i="60"/>
  <c r="H22" i="76"/>
  <c r="M22" i="76" s="1"/>
  <c r="P22" i="76" s="1"/>
  <c r="E22" i="91"/>
  <c r="H22" i="91" s="1"/>
  <c r="M22" i="91" s="1"/>
  <c r="K17" i="56"/>
  <c r="I53" i="60"/>
  <c r="I115" i="60"/>
  <c r="P34" i="60"/>
  <c r="AB32" i="60"/>
  <c r="P29" i="60"/>
  <c r="J36" i="60"/>
  <c r="J13" i="72" s="1"/>
  <c r="J113" i="60"/>
  <c r="I19" i="78"/>
  <c r="D51" i="65"/>
  <c r="D51" i="115"/>
  <c r="Y47" i="60"/>
  <c r="Y51" i="60"/>
  <c r="AK50" i="60"/>
  <c r="AU14" i="60"/>
  <c r="BG14" i="60" s="1"/>
  <c r="BS14" i="60" s="1"/>
  <c r="CE14" i="60" s="1"/>
  <c r="N15" i="115"/>
  <c r="N15" i="65"/>
  <c r="Z29" i="60"/>
  <c r="E33" i="65"/>
  <c r="E33" i="115"/>
  <c r="AL32" i="60"/>
  <c r="Z34" i="60"/>
  <c r="AE58" i="60"/>
  <c r="S55" i="60"/>
  <c r="S59" i="60"/>
  <c r="S61" i="60" s="1"/>
  <c r="V59" i="60"/>
  <c r="AH58" i="60"/>
  <c r="V55" i="60"/>
  <c r="Q16" i="115" l="1"/>
  <c r="AP8" i="44" s="1"/>
  <c r="AO8" i="44"/>
  <c r="E40" i="91"/>
  <c r="X115" i="60"/>
  <c r="P6" i="80" s="1"/>
  <c r="W115" i="60"/>
  <c r="O6" i="80" s="1"/>
  <c r="AM19" i="78"/>
  <c r="AM25" i="78" s="1"/>
  <c r="P13" i="72"/>
  <c r="N33" i="65"/>
  <c r="AU32" i="60"/>
  <c r="AI34" i="60"/>
  <c r="AI29" i="60"/>
  <c r="N33" i="115"/>
  <c r="I59" i="115"/>
  <c r="AD59" i="60"/>
  <c r="AP58" i="60"/>
  <c r="I59" i="65"/>
  <c r="AD55" i="60"/>
  <c r="AA55" i="113"/>
  <c r="O50" i="113"/>
  <c r="G33" i="65"/>
  <c r="AN32" i="60"/>
  <c r="AB29" i="60"/>
  <c r="G33" i="115"/>
  <c r="AB34" i="60"/>
  <c r="T115" i="60"/>
  <c r="L6" i="80" s="1"/>
  <c r="E60" i="115"/>
  <c r="U115" i="60"/>
  <c r="M6" i="80" s="1"/>
  <c r="AG29" i="60"/>
  <c r="AS32" i="60"/>
  <c r="L33" i="115"/>
  <c r="L33" i="65"/>
  <c r="AG34" i="60"/>
  <c r="AC59" i="60"/>
  <c r="AO58" i="60"/>
  <c r="H59" i="115"/>
  <c r="H59" i="65"/>
  <c r="AC55" i="60"/>
  <c r="F30" i="115"/>
  <c r="F35" i="115"/>
  <c r="R53" i="60"/>
  <c r="R115" i="60"/>
  <c r="J6" i="80" s="1"/>
  <c r="P17" i="56"/>
  <c r="F17" i="76"/>
  <c r="R14" i="56"/>
  <c r="AA113" i="60"/>
  <c r="F16" i="81"/>
  <c r="AB19" i="78"/>
  <c r="D52" i="115"/>
  <c r="E28" i="113"/>
  <c r="D23" i="113"/>
  <c r="D24" i="113" s="1"/>
  <c r="D25" i="113" s="1"/>
  <c r="P28" i="113"/>
  <c r="H51" i="115"/>
  <c r="AC51" i="60"/>
  <c r="AO50" i="60"/>
  <c r="H51" i="65"/>
  <c r="AC47" i="60"/>
  <c r="V113" i="60"/>
  <c r="V19" i="78"/>
  <c r="Y113" i="60"/>
  <c r="Z19" i="78"/>
  <c r="D16" i="81"/>
  <c r="Q113" i="60"/>
  <c r="Q19" i="78"/>
  <c r="Q36" i="60"/>
  <c r="R13" i="72" s="1"/>
  <c r="AE47" i="60"/>
  <c r="AE51" i="60"/>
  <c r="J51" i="115"/>
  <c r="J51" i="65"/>
  <c r="AQ50" i="60"/>
  <c r="Z113" i="60"/>
  <c r="AA19" i="78"/>
  <c r="E16" i="81"/>
  <c r="D48" i="65"/>
  <c r="D52" i="65"/>
  <c r="Z115" i="60"/>
  <c r="R6" i="80" s="1"/>
  <c r="E20" i="81"/>
  <c r="O19" i="78"/>
  <c r="E82" i="113"/>
  <c r="P82" i="113"/>
  <c r="D77" i="113"/>
  <c r="D78" i="113" s="1"/>
  <c r="D79" i="113" s="1"/>
  <c r="I33" i="65"/>
  <c r="AD34" i="60"/>
  <c r="AP32" i="60"/>
  <c r="I33" i="115"/>
  <c r="AD29" i="60"/>
  <c r="O23" i="113"/>
  <c r="AA28" i="113"/>
  <c r="AD51" i="60"/>
  <c r="AD47" i="60"/>
  <c r="I51" i="115"/>
  <c r="I51" i="65"/>
  <c r="AP50" i="60"/>
  <c r="AT32" i="60"/>
  <c r="M33" i="65"/>
  <c r="AH29" i="60"/>
  <c r="M33" i="115"/>
  <c r="AH34" i="60"/>
  <c r="N59" i="65"/>
  <c r="AI55" i="60"/>
  <c r="N59" i="115"/>
  <c r="AI59" i="60"/>
  <c r="AU58" i="60"/>
  <c r="AL29" i="60"/>
  <c r="AX32" i="60"/>
  <c r="AL34" i="60"/>
  <c r="AL113" i="60" s="1"/>
  <c r="E52" i="115"/>
  <c r="AA82" i="113"/>
  <c r="O77" i="113"/>
  <c r="F60" i="115"/>
  <c r="Q16" i="65"/>
  <c r="AN8" i="44" s="1"/>
  <c r="U28" i="76"/>
  <c r="AB59" i="60"/>
  <c r="AN58" i="60"/>
  <c r="G59" i="65"/>
  <c r="G59" i="115"/>
  <c r="AB55" i="60"/>
  <c r="H33" i="115"/>
  <c r="AC29" i="60"/>
  <c r="AO32" i="60"/>
  <c r="H33" i="65"/>
  <c r="AC34" i="60"/>
  <c r="AK59" i="60"/>
  <c r="AW58" i="60"/>
  <c r="AK55" i="60"/>
  <c r="S53" i="60"/>
  <c r="S115" i="60"/>
  <c r="K6" i="80" s="1"/>
  <c r="V115" i="60"/>
  <c r="N6" i="80" s="1"/>
  <c r="J33" i="65"/>
  <c r="AQ32" i="60"/>
  <c r="AE34" i="60"/>
  <c r="J33" i="115"/>
  <c r="AE29" i="60"/>
  <c r="AK29" i="60"/>
  <c r="AW32" i="60"/>
  <c r="AK34" i="60"/>
  <c r="AK113" i="60" s="1"/>
  <c r="AA115" i="60"/>
  <c r="S6" i="80" s="1"/>
  <c r="F20" i="81"/>
  <c r="AM34" i="60"/>
  <c r="AM113" i="60" s="1"/>
  <c r="AM29" i="60"/>
  <c r="AY32" i="60"/>
  <c r="AK47" i="60"/>
  <c r="AW50" i="60"/>
  <c r="AK51" i="60"/>
  <c r="D30" i="115"/>
  <c r="D35" i="115"/>
  <c r="AM47" i="60"/>
  <c r="AM51" i="60"/>
  <c r="AY50" i="60"/>
  <c r="T19" i="78"/>
  <c r="T113" i="60"/>
  <c r="D20" i="81"/>
  <c r="Y115" i="60"/>
  <c r="Q6" i="80" s="1"/>
  <c r="E60" i="65"/>
  <c r="E56" i="65"/>
  <c r="U113" i="60"/>
  <c r="U19" i="78"/>
  <c r="AM59" i="60"/>
  <c r="AM55" i="60"/>
  <c r="AY58" i="60"/>
  <c r="G51" i="65"/>
  <c r="AB47" i="60"/>
  <c r="AN50" i="60"/>
  <c r="G51" i="115"/>
  <c r="AB51" i="60"/>
  <c r="X19" i="78"/>
  <c r="X113" i="60"/>
  <c r="F48" i="65"/>
  <c r="F52" i="65"/>
  <c r="AR32" i="60"/>
  <c r="AF34" i="60"/>
  <c r="AF29" i="60"/>
  <c r="K33" i="65"/>
  <c r="K33" i="115"/>
  <c r="AE59" i="60"/>
  <c r="J59" i="65"/>
  <c r="AE55" i="60"/>
  <c r="AQ58" i="60"/>
  <c r="J59" i="115"/>
  <c r="J15" i="61"/>
  <c r="Q53" i="60"/>
  <c r="Q115" i="60"/>
  <c r="I6" i="80" s="1"/>
  <c r="AJ51" i="60"/>
  <c r="AJ47" i="60"/>
  <c r="AV50" i="60"/>
  <c r="O51" i="65"/>
  <c r="O51" i="115"/>
  <c r="F56" i="65"/>
  <c r="F60" i="65"/>
  <c r="P53" i="60"/>
  <c r="P115" i="60"/>
  <c r="H6" i="80" s="1"/>
  <c r="D35" i="65"/>
  <c r="D30" i="65"/>
  <c r="AV32" i="60"/>
  <c r="AJ34" i="60"/>
  <c r="AJ29" i="60"/>
  <c r="O33" i="65"/>
  <c r="O33" i="115"/>
  <c r="E35" i="115"/>
  <c r="E30" i="115"/>
  <c r="AL47" i="60"/>
  <c r="AL51" i="60"/>
  <c r="AX50" i="60"/>
  <c r="W113" i="60"/>
  <c r="W19" i="78"/>
  <c r="R36" i="60"/>
  <c r="S13" i="72" s="1"/>
  <c r="R19" i="78"/>
  <c r="R113" i="60"/>
  <c r="AR58" i="60"/>
  <c r="AF59" i="60"/>
  <c r="AF55" i="60"/>
  <c r="K59" i="115"/>
  <c r="K59" i="65"/>
  <c r="G15" i="65"/>
  <c r="P15" i="65" s="1"/>
  <c r="AM7" i="44" s="1"/>
  <c r="G15" i="115"/>
  <c r="P15" i="115" s="1"/>
  <c r="AN14" i="60"/>
  <c r="AZ14" i="60" s="1"/>
  <c r="BL14" i="60" s="1"/>
  <c r="BX14" i="60" s="1"/>
  <c r="E55" i="113"/>
  <c r="P55" i="113"/>
  <c r="D50" i="113"/>
  <c r="D51" i="113" s="1"/>
  <c r="D52" i="113" s="1"/>
  <c r="D60" i="115"/>
  <c r="AH51" i="60"/>
  <c r="M51" i="115"/>
  <c r="AH47" i="60"/>
  <c r="M51" i="65"/>
  <c r="AT50" i="60"/>
  <c r="E30" i="65"/>
  <c r="E35" i="65"/>
  <c r="E48" i="65"/>
  <c r="E52" i="65"/>
  <c r="AF51" i="60"/>
  <c r="K51" i="115"/>
  <c r="AF47" i="60"/>
  <c r="K51" i="65"/>
  <c r="AR50" i="60"/>
  <c r="F18" i="76"/>
  <c r="R15" i="56"/>
  <c r="T21" i="76"/>
  <c r="AJ59" i="60"/>
  <c r="AV58" i="60"/>
  <c r="O59" i="115"/>
  <c r="O59" i="65"/>
  <c r="AJ55" i="60"/>
  <c r="D56" i="65"/>
  <c r="D60" i="65"/>
  <c r="AH59" i="60"/>
  <c r="M59" i="65"/>
  <c r="M59" i="115"/>
  <c r="AH55" i="60"/>
  <c r="AT58" i="60"/>
  <c r="P36" i="60"/>
  <c r="AN13" i="72" s="1"/>
  <c r="P113" i="60"/>
  <c r="P19" i="78"/>
  <c r="AL55" i="60"/>
  <c r="AX58" i="60"/>
  <c r="AL59" i="60"/>
  <c r="J21" i="83"/>
  <c r="S36" i="60"/>
  <c r="T13" i="72" s="1"/>
  <c r="S113" i="60"/>
  <c r="S19" i="78"/>
  <c r="L59" i="65"/>
  <c r="L59" i="115"/>
  <c r="AG55" i="60"/>
  <c r="AG59" i="60"/>
  <c r="AS58" i="60"/>
  <c r="AG51" i="60"/>
  <c r="L51" i="65"/>
  <c r="AG47" i="60"/>
  <c r="AS50" i="60"/>
  <c r="L51" i="115"/>
  <c r="AI47" i="60"/>
  <c r="AI51" i="60"/>
  <c r="AU50" i="60"/>
  <c r="N51" i="65"/>
  <c r="N51" i="115"/>
  <c r="F52" i="115"/>
  <c r="F35" i="65"/>
  <c r="F30" i="65"/>
  <c r="Q15" i="115" l="1"/>
  <c r="AP7" i="44" s="1"/>
  <c r="AO7" i="44"/>
  <c r="AK115" i="60"/>
  <c r="AC6" i="80" s="1"/>
  <c r="AM115" i="60"/>
  <c r="AE6" i="80" s="1"/>
  <c r="AL115" i="60"/>
  <c r="AD6" i="80" s="1"/>
  <c r="K20" i="81"/>
  <c r="P33" i="115"/>
  <c r="AS55" i="60"/>
  <c r="AS59" i="60"/>
  <c r="BE58" i="60"/>
  <c r="O30" i="65"/>
  <c r="J30" i="61"/>
  <c r="J34" i="61" s="1"/>
  <c r="O35" i="65"/>
  <c r="K30" i="115"/>
  <c r="K35" i="115"/>
  <c r="M30" i="115"/>
  <c r="M35" i="115"/>
  <c r="F28" i="113"/>
  <c r="E23" i="113"/>
  <c r="E24" i="113" s="1"/>
  <c r="E25" i="113" s="1"/>
  <c r="Q28" i="113"/>
  <c r="AS34" i="60"/>
  <c r="AS113" i="60" s="1"/>
  <c r="BE32" i="60"/>
  <c r="AS29" i="60"/>
  <c r="AV47" i="60"/>
  <c r="BH50" i="60"/>
  <c r="AV51" i="60"/>
  <c r="G48" i="65"/>
  <c r="G52" i="65"/>
  <c r="AN34" i="60"/>
  <c r="AN113" i="60" s="1"/>
  <c r="AZ32" i="60"/>
  <c r="AN29" i="60"/>
  <c r="O60" i="115"/>
  <c r="BK50" i="60"/>
  <c r="AY47" i="60"/>
  <c r="AY51" i="60"/>
  <c r="G60" i="65"/>
  <c r="G56" i="65"/>
  <c r="G35" i="65"/>
  <c r="G30" i="65"/>
  <c r="AB55" i="113"/>
  <c r="P50" i="113"/>
  <c r="AV34" i="60"/>
  <c r="AV113" i="60" s="1"/>
  <c r="BH32" i="60"/>
  <c r="AV29" i="60"/>
  <c r="K16" i="81"/>
  <c r="AF113" i="60"/>
  <c r="AG19" i="78"/>
  <c r="AT29" i="60"/>
  <c r="BF32" i="60"/>
  <c r="AT34" i="60"/>
  <c r="AT113" i="60" s="1"/>
  <c r="N20" i="81"/>
  <c r="AI115" i="60"/>
  <c r="AA6" i="80" s="1"/>
  <c r="L56" i="65"/>
  <c r="L60" i="65"/>
  <c r="E50" i="113"/>
  <c r="E51" i="113" s="1"/>
  <c r="E52" i="113" s="1"/>
  <c r="Q55" i="113"/>
  <c r="F55" i="113"/>
  <c r="BD32" i="60"/>
  <c r="AR29" i="60"/>
  <c r="AR34" i="60"/>
  <c r="AR113" i="60" s="1"/>
  <c r="BB50" i="60"/>
  <c r="AP51" i="60"/>
  <c r="AP47" i="60"/>
  <c r="AQ51" i="60"/>
  <c r="AQ47" i="60"/>
  <c r="BC50" i="60"/>
  <c r="BF58" i="60"/>
  <c r="AT55" i="60"/>
  <c r="AT59" i="60"/>
  <c r="Q13" i="72"/>
  <c r="AW59" i="60"/>
  <c r="AW55" i="60"/>
  <c r="BI58" i="60"/>
  <c r="AU59" i="60"/>
  <c r="AU55" i="60"/>
  <c r="BG58" i="60"/>
  <c r="I48" i="65"/>
  <c r="I52" i="65"/>
  <c r="AB82" i="113"/>
  <c r="P77" i="113"/>
  <c r="J48" i="65"/>
  <c r="J52" i="65"/>
  <c r="H56" i="65"/>
  <c r="H60" i="65"/>
  <c r="L52" i="115"/>
  <c r="AX47" i="60"/>
  <c r="BJ50" i="60"/>
  <c r="AX51" i="60"/>
  <c r="BI32" i="60"/>
  <c r="AW34" i="60"/>
  <c r="AW113" i="60" s="1"/>
  <c r="AW29" i="60"/>
  <c r="U37" i="76"/>
  <c r="I52" i="115"/>
  <c r="Q82" i="113"/>
  <c r="E77" i="113"/>
  <c r="E78" i="113" s="1"/>
  <c r="E79" i="113" s="1"/>
  <c r="F82" i="113"/>
  <c r="J52" i="115"/>
  <c r="H48" i="65"/>
  <c r="H52" i="65"/>
  <c r="H60" i="115"/>
  <c r="I56" i="65"/>
  <c r="I60" i="65"/>
  <c r="K52" i="115"/>
  <c r="O52" i="65"/>
  <c r="O48" i="65"/>
  <c r="J35" i="65"/>
  <c r="J30" i="65"/>
  <c r="I35" i="115"/>
  <c r="I30" i="115"/>
  <c r="AJ19" i="78"/>
  <c r="N16" i="81"/>
  <c r="AI113" i="60"/>
  <c r="N52" i="115"/>
  <c r="O60" i="65"/>
  <c r="O56" i="65"/>
  <c r="K30" i="65"/>
  <c r="K35" i="65"/>
  <c r="G60" i="115"/>
  <c r="AP34" i="60"/>
  <c r="AP113" i="60" s="1"/>
  <c r="BB32" i="60"/>
  <c r="AP29" i="60"/>
  <c r="AU29" i="60"/>
  <c r="BG32" i="60"/>
  <c r="AU34" i="60"/>
  <c r="AU113" i="60" s="1"/>
  <c r="N52" i="65"/>
  <c r="N48" i="65"/>
  <c r="O16" i="81"/>
  <c r="AK19" i="78"/>
  <c r="AJ113" i="60"/>
  <c r="AY55" i="60"/>
  <c r="BK58" i="60"/>
  <c r="AY59" i="60"/>
  <c r="M35" i="65"/>
  <c r="M30" i="65"/>
  <c r="I16" i="81"/>
  <c r="AE19" i="78"/>
  <c r="AD113" i="60"/>
  <c r="N30" i="65"/>
  <c r="N35" i="65"/>
  <c r="AU51" i="60"/>
  <c r="AU47" i="60"/>
  <c r="BG50" i="60"/>
  <c r="L60" i="115"/>
  <c r="AV55" i="60"/>
  <c r="BH58" i="60"/>
  <c r="AV59" i="60"/>
  <c r="O20" i="81"/>
  <c r="AJ115" i="60"/>
  <c r="AB6" i="80" s="1"/>
  <c r="AN55" i="60"/>
  <c r="AN59" i="60"/>
  <c r="AZ58" i="60"/>
  <c r="AX34" i="60"/>
  <c r="AX113" i="60" s="1"/>
  <c r="AX29" i="60"/>
  <c r="BJ32" i="60"/>
  <c r="I35" i="65"/>
  <c r="I30" i="65"/>
  <c r="P33" i="65"/>
  <c r="AM25" i="44" s="1"/>
  <c r="AA50" i="113"/>
  <c r="AM55" i="113"/>
  <c r="J22" i="83"/>
  <c r="AS47" i="60"/>
  <c r="BE50" i="60"/>
  <c r="AS51" i="60"/>
  <c r="AN19" i="78"/>
  <c r="AN25" i="78" s="1"/>
  <c r="M60" i="115"/>
  <c r="AT47" i="60"/>
  <c r="BF50" i="60"/>
  <c r="AT51" i="60"/>
  <c r="J60" i="115"/>
  <c r="AD19" i="78"/>
  <c r="H16" i="81"/>
  <c r="AC113" i="60"/>
  <c r="N60" i="115"/>
  <c r="J20" i="81"/>
  <c r="AE115" i="60"/>
  <c r="W6" i="80" s="1"/>
  <c r="AO47" i="60"/>
  <c r="BA50" i="60"/>
  <c r="AO51" i="60"/>
  <c r="BA58" i="60"/>
  <c r="AO59" i="60"/>
  <c r="AO55" i="60"/>
  <c r="AP59" i="60"/>
  <c r="BB58" i="60"/>
  <c r="AP55" i="60"/>
  <c r="M60" i="65"/>
  <c r="M56" i="65"/>
  <c r="F18" i="91"/>
  <c r="M52" i="65"/>
  <c r="M48" i="65"/>
  <c r="P59" i="65"/>
  <c r="AM51" i="44" s="1"/>
  <c r="K60" i="65"/>
  <c r="K56" i="65"/>
  <c r="AQ55" i="60"/>
  <c r="BC58" i="60"/>
  <c r="AQ59" i="60"/>
  <c r="H30" i="65"/>
  <c r="H35" i="65"/>
  <c r="AD115" i="60"/>
  <c r="V6" i="80" s="1"/>
  <c r="I20" i="81"/>
  <c r="AC115" i="60"/>
  <c r="U6" i="80" s="1"/>
  <c r="H20" i="81"/>
  <c r="R17" i="56"/>
  <c r="AX59" i="60"/>
  <c r="AX55" i="60"/>
  <c r="BJ58" i="60"/>
  <c r="AR59" i="60"/>
  <c r="AR55" i="60"/>
  <c r="BD58" i="60"/>
  <c r="L52" i="65"/>
  <c r="L48" i="65"/>
  <c r="AR51" i="60"/>
  <c r="AR47" i="60"/>
  <c r="BD50" i="60"/>
  <c r="K60" i="115"/>
  <c r="G20" i="81"/>
  <c r="AB115" i="60"/>
  <c r="T6" i="80" s="1"/>
  <c r="AW51" i="60"/>
  <c r="BI50" i="60"/>
  <c r="AW47" i="60"/>
  <c r="J30" i="115"/>
  <c r="J35" i="115"/>
  <c r="BA32" i="60"/>
  <c r="AO29" i="60"/>
  <c r="AO34" i="60"/>
  <c r="AO113" i="60" s="1"/>
  <c r="N60" i="65"/>
  <c r="N56" i="65"/>
  <c r="AM28" i="113"/>
  <c r="AA23" i="113"/>
  <c r="H52" i="115"/>
  <c r="F17" i="91"/>
  <c r="F40" i="76"/>
  <c r="L16" i="81"/>
  <c r="AH19" i="78"/>
  <c r="AG113" i="60"/>
  <c r="Q15" i="65"/>
  <c r="AN7" i="44" s="1"/>
  <c r="T28" i="76"/>
  <c r="I60" i="115"/>
  <c r="L20" i="81"/>
  <c r="AG115" i="60"/>
  <c r="Y6" i="80" s="1"/>
  <c r="K52" i="65"/>
  <c r="K48" i="65"/>
  <c r="M52" i="115"/>
  <c r="J56" i="65"/>
  <c r="J60" i="65"/>
  <c r="G52" i="115"/>
  <c r="J16" i="81"/>
  <c r="AE113" i="60"/>
  <c r="AF19" i="78"/>
  <c r="P51" i="65"/>
  <c r="AM43" i="44" s="1"/>
  <c r="AB28" i="113"/>
  <c r="P23" i="113"/>
  <c r="L35" i="65"/>
  <c r="L30" i="65"/>
  <c r="AC19" i="78"/>
  <c r="G16" i="81"/>
  <c r="AB113" i="60"/>
  <c r="N30" i="115"/>
  <c r="N35" i="115"/>
  <c r="AH115" i="60"/>
  <c r="Z6" i="80" s="1"/>
  <c r="M20" i="81"/>
  <c r="AF115" i="60"/>
  <c r="X6" i="80" s="1"/>
  <c r="O30" i="115"/>
  <c r="O35" i="115"/>
  <c r="O52" i="115"/>
  <c r="AN47" i="60"/>
  <c r="AN51" i="60"/>
  <c r="AZ50" i="60"/>
  <c r="AY34" i="60"/>
  <c r="AY113" i="60" s="1"/>
  <c r="AY29" i="60"/>
  <c r="BK32" i="60"/>
  <c r="BC32" i="60"/>
  <c r="AQ29" i="60"/>
  <c r="AQ34" i="60"/>
  <c r="H35" i="115"/>
  <c r="H30" i="115"/>
  <c r="AM82" i="113"/>
  <c r="AA77" i="113"/>
  <c r="AH113" i="60"/>
  <c r="AI19" i="78"/>
  <c r="M16" i="81"/>
  <c r="L35" i="115"/>
  <c r="L30" i="115"/>
  <c r="G35" i="115"/>
  <c r="G30" i="115"/>
  <c r="P35" i="115" l="1"/>
  <c r="AO27" i="44" s="1"/>
  <c r="AO25" i="44"/>
  <c r="Q33" i="115"/>
  <c r="J23" i="83"/>
  <c r="AN115" i="60"/>
  <c r="AF6" i="80" s="1"/>
  <c r="I27" i="81"/>
  <c r="I28" i="81" s="1"/>
  <c r="I29" i="81" s="1"/>
  <c r="AR115" i="60"/>
  <c r="AJ6" i="80" s="1"/>
  <c r="AQ115" i="60"/>
  <c r="AI6" i="80" s="1"/>
  <c r="AW115" i="60"/>
  <c r="AO6" i="80" s="1"/>
  <c r="P48" i="65"/>
  <c r="AM40" i="44" s="1"/>
  <c r="P30" i="65"/>
  <c r="P30" i="115"/>
  <c r="AO22" i="44" s="1"/>
  <c r="Q51" i="65"/>
  <c r="P52" i="65"/>
  <c r="AM44" i="44" s="1"/>
  <c r="BC29" i="60"/>
  <c r="BO32" i="60"/>
  <c r="BC34" i="60"/>
  <c r="AO19" i="78"/>
  <c r="AO25" i="78" s="1"/>
  <c r="Q59" i="65"/>
  <c r="AN51" i="44" s="1"/>
  <c r="P60" i="65"/>
  <c r="AM52" i="44" s="1"/>
  <c r="P116" i="65"/>
  <c r="BA59" i="60"/>
  <c r="BM58" i="60"/>
  <c r="BA55" i="60"/>
  <c r="AO115" i="60"/>
  <c r="AG6" i="80" s="1"/>
  <c r="AZ34" i="60"/>
  <c r="AZ113" i="60" s="1"/>
  <c r="BL32" i="60"/>
  <c r="AZ29" i="60"/>
  <c r="D30" i="61"/>
  <c r="P35" i="65"/>
  <c r="Q33" i="65"/>
  <c r="AN25" i="44" s="1"/>
  <c r="T30" i="76"/>
  <c r="T40" i="76" s="1"/>
  <c r="BT58" i="60"/>
  <c r="BH55" i="60"/>
  <c r="BH59" i="60"/>
  <c r="BG34" i="60"/>
  <c r="BG113" i="60" s="1"/>
  <c r="BS32" i="60"/>
  <c r="BG29" i="60"/>
  <c r="BI55" i="60"/>
  <c r="BU58" i="60"/>
  <c r="BI59" i="60"/>
  <c r="BL50" i="60"/>
  <c r="AZ47" i="60"/>
  <c r="AZ51" i="60"/>
  <c r="BB47" i="60"/>
  <c r="BN50" i="60"/>
  <c r="BB51" i="60"/>
  <c r="BF34" i="60"/>
  <c r="BF113" i="60" s="1"/>
  <c r="BF29" i="60"/>
  <c r="BR32" i="60"/>
  <c r="BV32" i="60"/>
  <c r="BJ29" i="60"/>
  <c r="BJ34" i="60"/>
  <c r="BJ113" i="60" s="1"/>
  <c r="BB34" i="60"/>
  <c r="BB113" i="60" s="1"/>
  <c r="BN32" i="60"/>
  <c r="BB29" i="60"/>
  <c r="AL19" i="78"/>
  <c r="AL25" i="78" s="1"/>
  <c r="AY115" i="60"/>
  <c r="AQ6" i="80" s="1"/>
  <c r="BH51" i="60"/>
  <c r="BH47" i="60"/>
  <c r="BT50" i="60"/>
  <c r="BA29" i="60"/>
  <c r="BM32" i="60"/>
  <c r="BA34" i="60"/>
  <c r="BA113" i="60" s="1"/>
  <c r="BJ51" i="60"/>
  <c r="BV50" i="60"/>
  <c r="BJ47" i="60"/>
  <c r="BC47" i="60"/>
  <c r="BC51" i="60"/>
  <c r="BO50" i="60"/>
  <c r="F77" i="113"/>
  <c r="F78" i="113" s="1"/>
  <c r="F79" i="113" s="1"/>
  <c r="R82" i="113"/>
  <c r="G82" i="113"/>
  <c r="BG59" i="60"/>
  <c r="BG55" i="60"/>
  <c r="BS58" i="60"/>
  <c r="BQ32" i="60"/>
  <c r="BE29" i="60"/>
  <c r="BE34" i="60"/>
  <c r="BE113" i="60" s="1"/>
  <c r="BK34" i="60"/>
  <c r="BK113" i="60" s="1"/>
  <c r="BW32" i="60"/>
  <c r="BK29" i="60"/>
  <c r="AM50" i="113"/>
  <c r="AY55" i="113"/>
  <c r="AN55" i="113"/>
  <c r="AB50" i="113"/>
  <c r="BE55" i="60"/>
  <c r="BQ58" i="60"/>
  <c r="BE59" i="60"/>
  <c r="F40" i="91"/>
  <c r="BM50" i="60"/>
  <c r="BA51" i="60"/>
  <c r="BA47" i="60"/>
  <c r="Q77" i="113"/>
  <c r="AC82" i="113"/>
  <c r="Q23" i="113"/>
  <c r="AC28" i="113"/>
  <c r="BI51" i="60"/>
  <c r="BU50" i="60"/>
  <c r="BI47" i="60"/>
  <c r="AT115" i="60"/>
  <c r="AL6" i="80" s="1"/>
  <c r="AP115" i="60"/>
  <c r="AH6" i="80" s="1"/>
  <c r="BD55" i="60"/>
  <c r="BP58" i="60"/>
  <c r="BD59" i="60"/>
  <c r="BF51" i="60"/>
  <c r="BR50" i="60"/>
  <c r="BF47" i="60"/>
  <c r="R28" i="113"/>
  <c r="G28" i="113"/>
  <c r="F23" i="113"/>
  <c r="F24" i="113" s="1"/>
  <c r="F25" i="113" s="1"/>
  <c r="AV115" i="60"/>
  <c r="AN6" i="80" s="1"/>
  <c r="AM23" i="113"/>
  <c r="AY28" i="113"/>
  <c r="AM77" i="113"/>
  <c r="AY82" i="113"/>
  <c r="T37" i="76"/>
  <c r="BV58" i="60"/>
  <c r="BJ55" i="60"/>
  <c r="BJ59" i="60"/>
  <c r="BS50" i="60"/>
  <c r="BG51" i="60"/>
  <c r="BG47" i="60"/>
  <c r="BW58" i="60"/>
  <c r="BK59" i="60"/>
  <c r="BK55" i="60"/>
  <c r="P16" i="81"/>
  <c r="BP32" i="60"/>
  <c r="BD34" i="60"/>
  <c r="BD113" i="60" s="1"/>
  <c r="BD29" i="60"/>
  <c r="BC55" i="60"/>
  <c r="BO58" i="60"/>
  <c r="BC59" i="60"/>
  <c r="BN58" i="60"/>
  <c r="BB55" i="60"/>
  <c r="BB59" i="60"/>
  <c r="G55" i="113"/>
  <c r="F50" i="113"/>
  <c r="F51" i="113" s="1"/>
  <c r="F52" i="113" s="1"/>
  <c r="R55" i="113"/>
  <c r="BK51" i="60"/>
  <c r="BK47" i="60"/>
  <c r="BW50" i="60"/>
  <c r="AS115" i="60"/>
  <c r="AK6" i="80" s="1"/>
  <c r="AZ59" i="60"/>
  <c r="BL58" i="60"/>
  <c r="AZ55" i="60"/>
  <c r="AU115" i="60"/>
  <c r="AM6" i="80" s="1"/>
  <c r="BI34" i="60"/>
  <c r="BI113" i="60" s="1"/>
  <c r="BI29" i="60"/>
  <c r="BU32" i="60"/>
  <c r="AN82" i="113"/>
  <c r="AB77" i="113"/>
  <c r="Q50" i="113"/>
  <c r="AC55" i="113"/>
  <c r="T35" i="115"/>
  <c r="I71" i="44"/>
  <c r="AQ113" i="60"/>
  <c r="AB23" i="113"/>
  <c r="AN28" i="113"/>
  <c r="BD47" i="60"/>
  <c r="BP50" i="60"/>
  <c r="BD51" i="60"/>
  <c r="P56" i="65"/>
  <c r="AM48" i="44" s="1"/>
  <c r="BQ50" i="60"/>
  <c r="BE51" i="60"/>
  <c r="BE47" i="60"/>
  <c r="AX115" i="60"/>
  <c r="AP6" i="80" s="1"/>
  <c r="BR58" i="60"/>
  <c r="BF55" i="60"/>
  <c r="BF59" i="60"/>
  <c r="BH34" i="60"/>
  <c r="BH113" i="60" s="1"/>
  <c r="BH29" i="60"/>
  <c r="BT32" i="60"/>
  <c r="P20" i="81"/>
  <c r="U35" i="65" l="1"/>
  <c r="AM27" i="44"/>
  <c r="Q52" i="65"/>
  <c r="AN44" i="44" s="1"/>
  <c r="AN43" i="44"/>
  <c r="J45" i="44"/>
  <c r="M45" i="44" s="1"/>
  <c r="AP25" i="44"/>
  <c r="C27" i="61"/>
  <c r="F27" i="61" s="1"/>
  <c r="AM22" i="44"/>
  <c r="BD115" i="60"/>
  <c r="AV6" i="80" s="1"/>
  <c r="I30" i="81"/>
  <c r="I32" i="81" s="1"/>
  <c r="I34" i="81" s="1"/>
  <c r="I36" i="81" s="1"/>
  <c r="Q35" i="115"/>
  <c r="AP27" i="44" s="1"/>
  <c r="BH115" i="60"/>
  <c r="AZ6" i="80" s="1"/>
  <c r="BE115" i="60"/>
  <c r="AW6" i="80" s="1"/>
  <c r="BA115" i="60"/>
  <c r="AS6" i="80" s="1"/>
  <c r="BG115" i="60"/>
  <c r="AY6" i="80" s="1"/>
  <c r="Q109" i="44"/>
  <c r="S109" i="44" s="1"/>
  <c r="D109" i="44" s="1"/>
  <c r="BJ115" i="60"/>
  <c r="BB6" i="80" s="1"/>
  <c r="C38" i="61"/>
  <c r="F38" i="61" s="1"/>
  <c r="BK115" i="60"/>
  <c r="BC6" i="80" s="1"/>
  <c r="AZ115" i="60"/>
  <c r="AR6" i="80" s="1"/>
  <c r="BI115" i="60"/>
  <c r="BA6" i="80" s="1"/>
  <c r="BT34" i="60"/>
  <c r="BT113" i="60" s="1"/>
  <c r="CF32" i="60"/>
  <c r="BT29" i="60"/>
  <c r="CB50" i="60"/>
  <c r="BP47" i="60"/>
  <c r="BP51" i="60"/>
  <c r="AN77" i="113"/>
  <c r="AZ82" i="113"/>
  <c r="CH58" i="60"/>
  <c r="BV55" i="60"/>
  <c r="BV59" i="60"/>
  <c r="AC23" i="113"/>
  <c r="AO28" i="113"/>
  <c r="F30" i="61"/>
  <c r="D34" i="61"/>
  <c r="S82" i="113"/>
  <c r="G77" i="113"/>
  <c r="G78" i="113" s="1"/>
  <c r="G79" i="113" s="1"/>
  <c r="H82" i="113"/>
  <c r="BT51" i="60"/>
  <c r="CF50" i="60"/>
  <c r="BT47" i="60"/>
  <c r="BU59" i="60"/>
  <c r="CG58" i="60"/>
  <c r="BU55" i="60"/>
  <c r="AY77" i="113"/>
  <c r="BK82" i="113"/>
  <c r="CD32" i="60"/>
  <c r="BR34" i="60"/>
  <c r="BR113" i="60" s="1"/>
  <c r="BR29" i="60"/>
  <c r="CE32" i="60"/>
  <c r="BS34" i="60"/>
  <c r="BS113" i="60" s="1"/>
  <c r="BS29" i="60"/>
  <c r="AP19" i="78"/>
  <c r="AP25" i="78" s="1"/>
  <c r="BW29" i="60"/>
  <c r="BW34" i="60"/>
  <c r="BW113" i="60" s="1"/>
  <c r="CI32" i="60"/>
  <c r="BC115" i="60"/>
  <c r="AU6" i="80" s="1"/>
  <c r="BM47" i="60"/>
  <c r="BY50" i="60"/>
  <c r="BM51" i="60"/>
  <c r="BB115" i="60"/>
  <c r="AT6" i="80" s="1"/>
  <c r="CI50" i="60"/>
  <c r="BW51" i="60"/>
  <c r="BW47" i="60"/>
  <c r="H28" i="113"/>
  <c r="G23" i="113"/>
  <c r="G24" i="113" s="1"/>
  <c r="G25" i="113" s="1"/>
  <c r="S28" i="113"/>
  <c r="BM29" i="60"/>
  <c r="BY32" i="60"/>
  <c r="BM34" i="60"/>
  <c r="BM113" i="60" s="1"/>
  <c r="BV34" i="60"/>
  <c r="BV113" i="60" s="1"/>
  <c r="BV29" i="60"/>
  <c r="CH32" i="60"/>
  <c r="BL47" i="60"/>
  <c r="BX50" i="60"/>
  <c r="BL51" i="60"/>
  <c r="Z34" i="65"/>
  <c r="Y34" i="65"/>
  <c r="AD28" i="113"/>
  <c r="R23" i="113"/>
  <c r="BC113" i="60"/>
  <c r="CG32" i="60"/>
  <c r="BU29" i="60"/>
  <c r="BU34" i="60"/>
  <c r="BU113" i="60" s="1"/>
  <c r="AN50" i="113"/>
  <c r="AZ55" i="113"/>
  <c r="BO34" i="60"/>
  <c r="BO29" i="60"/>
  <c r="CA32" i="60"/>
  <c r="AZ28" i="113"/>
  <c r="AN23" i="113"/>
  <c r="AD55" i="113"/>
  <c r="R50" i="113"/>
  <c r="BP29" i="60"/>
  <c r="BP34" i="60"/>
  <c r="BP113" i="60" s="1"/>
  <c r="CB32" i="60"/>
  <c r="BR47" i="60"/>
  <c r="BR51" i="60"/>
  <c r="CD50" i="60"/>
  <c r="AC77" i="113"/>
  <c r="AO82" i="113"/>
  <c r="BK55" i="113"/>
  <c r="AY50" i="113"/>
  <c r="AD82" i="113"/>
  <c r="R77" i="113"/>
  <c r="BL29" i="60"/>
  <c r="BX32" i="60"/>
  <c r="BL34" i="60"/>
  <c r="BL113" i="60" s="1"/>
  <c r="BF115" i="60"/>
  <c r="AX6" i="80" s="1"/>
  <c r="J24" i="83"/>
  <c r="H55" i="113"/>
  <c r="G50" i="113"/>
  <c r="G51" i="113" s="1"/>
  <c r="G52" i="113" s="1"/>
  <c r="S55" i="113"/>
  <c r="BO51" i="60"/>
  <c r="CA50" i="60"/>
  <c r="BO47" i="60"/>
  <c r="BR59" i="60"/>
  <c r="BR55" i="60"/>
  <c r="CD58" i="60"/>
  <c r="AY23" i="113"/>
  <c r="BK28" i="113"/>
  <c r="BP55" i="60"/>
  <c r="CB58" i="60"/>
  <c r="BP59" i="60"/>
  <c r="BX58" i="60"/>
  <c r="BL59" i="60"/>
  <c r="BL55" i="60"/>
  <c r="CI58" i="60"/>
  <c r="BW55" i="60"/>
  <c r="BW59" i="60"/>
  <c r="BM59" i="60"/>
  <c r="BM55" i="60"/>
  <c r="BY58" i="60"/>
  <c r="BZ58" i="60"/>
  <c r="BN55" i="60"/>
  <c r="BN59" i="60"/>
  <c r="BN34" i="60"/>
  <c r="BN113" i="60" s="1"/>
  <c r="BZ32" i="60"/>
  <c r="BN29" i="60"/>
  <c r="BZ50" i="60"/>
  <c r="BN47" i="60"/>
  <c r="BN51" i="60"/>
  <c r="BV51" i="60"/>
  <c r="CH50" i="60"/>
  <c r="BV47" i="60"/>
  <c r="BT55" i="60"/>
  <c r="BT59" i="60"/>
  <c r="CF58" i="60"/>
  <c r="BQ47" i="60"/>
  <c r="CC50" i="60"/>
  <c r="BQ51" i="60"/>
  <c r="AC50" i="113"/>
  <c r="AO55" i="113"/>
  <c r="BO59" i="60"/>
  <c r="CA58" i="60"/>
  <c r="BO55" i="60"/>
  <c r="CE50" i="60"/>
  <c r="BS47" i="60"/>
  <c r="BS51" i="60"/>
  <c r="BQ34" i="60"/>
  <c r="BQ113" i="60" s="1"/>
  <c r="BQ29" i="60"/>
  <c r="CC32" i="60"/>
  <c r="CG50" i="60"/>
  <c r="BU51" i="60"/>
  <c r="BU47" i="60"/>
  <c r="CC58" i="60"/>
  <c r="BQ59" i="60"/>
  <c r="BQ55" i="60"/>
  <c r="CE58" i="60"/>
  <c r="BS59" i="60"/>
  <c r="BS55" i="60"/>
  <c r="Q35" i="65"/>
  <c r="I45" i="44"/>
  <c r="L45" i="44" s="1"/>
  <c r="I47" i="44"/>
  <c r="L47" i="44" s="1"/>
  <c r="Q116" i="65"/>
  <c r="Q117" i="65" s="1"/>
  <c r="Q60" i="65"/>
  <c r="AN52" i="44" s="1"/>
  <c r="E109" i="44" l="1"/>
  <c r="AM118" i="44"/>
  <c r="AR118" i="44"/>
  <c r="BW115" i="60"/>
  <c r="BO6" i="80" s="1"/>
  <c r="C34" i="61"/>
  <c r="F34" i="61"/>
  <c r="H34" i="61" s="1"/>
  <c r="T45" i="44"/>
  <c r="AN27" i="44"/>
  <c r="BR115" i="60"/>
  <c r="BJ6" i="80" s="1"/>
  <c r="BL115" i="60"/>
  <c r="BD6" i="80" s="1"/>
  <c r="BN115" i="60"/>
  <c r="BF6" i="80" s="1"/>
  <c r="AA34" i="65"/>
  <c r="BV115" i="60"/>
  <c r="BN6" i="80" s="1"/>
  <c r="BT115" i="60"/>
  <c r="BL6" i="80" s="1"/>
  <c r="BQ115" i="60"/>
  <c r="BI6" i="80" s="1"/>
  <c r="R116" i="65"/>
  <c r="R115" i="65"/>
  <c r="P47" i="44"/>
  <c r="U72" i="44"/>
  <c r="BA28" i="113"/>
  <c r="AO23" i="113"/>
  <c r="P45" i="44"/>
  <c r="U70" i="44"/>
  <c r="N45" i="44"/>
  <c r="Q45" i="44"/>
  <c r="O45" i="44"/>
  <c r="CH47" i="60"/>
  <c r="CH51" i="60"/>
  <c r="BL55" i="113"/>
  <c r="AZ50" i="113"/>
  <c r="K45" i="44"/>
  <c r="BY55" i="60"/>
  <c r="BY59" i="60"/>
  <c r="BW28" i="113"/>
  <c r="BW23" i="113" s="1"/>
  <c r="BK23" i="113"/>
  <c r="CG59" i="60"/>
  <c r="CG55" i="60"/>
  <c r="CB34" i="60"/>
  <c r="CB113" i="60" s="1"/>
  <c r="CB29" i="60"/>
  <c r="CI51" i="60"/>
  <c r="CI47" i="60"/>
  <c r="AO50" i="113"/>
  <c r="BA55" i="113"/>
  <c r="BX34" i="60"/>
  <c r="BX113" i="60" s="1"/>
  <c r="BX29" i="60"/>
  <c r="CH59" i="60"/>
  <c r="CH55" i="60"/>
  <c r="CC34" i="60"/>
  <c r="CC113" i="60" s="1"/>
  <c r="CC29" i="60"/>
  <c r="BZ51" i="60"/>
  <c r="BZ47" i="60"/>
  <c r="CG29" i="60"/>
  <c r="CG34" i="60"/>
  <c r="CG113" i="60" s="1"/>
  <c r="CF51" i="60"/>
  <c r="CF47" i="60"/>
  <c r="AQ19" i="78"/>
  <c r="AQ25" i="78" s="1"/>
  <c r="BM115" i="60"/>
  <c r="BE6" i="80" s="1"/>
  <c r="CC47" i="60"/>
  <c r="CC51" i="60"/>
  <c r="BZ29" i="60"/>
  <c r="BZ34" i="60"/>
  <c r="BZ113" i="60" s="1"/>
  <c r="CI59" i="60"/>
  <c r="CI55" i="60"/>
  <c r="AP82" i="113"/>
  <c r="AD77" i="113"/>
  <c r="AP55" i="113"/>
  <c r="AD50" i="113"/>
  <c r="J25" i="83"/>
  <c r="BY51" i="60"/>
  <c r="BY47" i="60"/>
  <c r="I82" i="113"/>
  <c r="H77" i="113"/>
  <c r="H78" i="113" s="1"/>
  <c r="H79" i="113" s="1"/>
  <c r="T82" i="113"/>
  <c r="BP115" i="60"/>
  <c r="BH6" i="80" s="1"/>
  <c r="CC55" i="60"/>
  <c r="CC59" i="60"/>
  <c r="BS115" i="60"/>
  <c r="BK6" i="80" s="1"/>
  <c r="CA51" i="60"/>
  <c r="CA47" i="60"/>
  <c r="BY34" i="60"/>
  <c r="BY113" i="60" s="1"/>
  <c r="BY29" i="60"/>
  <c r="CG51" i="60"/>
  <c r="CG47" i="60"/>
  <c r="CF34" i="60"/>
  <c r="CF113" i="60" s="1"/>
  <c r="CF29" i="60"/>
  <c r="BX47" i="60"/>
  <c r="BX51" i="60"/>
  <c r="CD55" i="60"/>
  <c r="CD59" i="60"/>
  <c r="CH29" i="60"/>
  <c r="CH34" i="60"/>
  <c r="CH113" i="60" s="1"/>
  <c r="CE34" i="60"/>
  <c r="CE113" i="60" s="1"/>
  <c r="CE29" i="60"/>
  <c r="CE55" i="60"/>
  <c r="CE59" i="60"/>
  <c r="AZ77" i="113"/>
  <c r="BL82" i="113"/>
  <c r="CF59" i="60"/>
  <c r="CF55" i="60"/>
  <c r="BO115" i="60"/>
  <c r="BG6" i="80" s="1"/>
  <c r="BK50" i="113"/>
  <c r="BW55" i="113"/>
  <c r="BW50" i="113" s="1"/>
  <c r="AZ23" i="113"/>
  <c r="BL28" i="113"/>
  <c r="CD29" i="60"/>
  <c r="CD34" i="60"/>
  <c r="CD113" i="60" s="1"/>
  <c r="AE82" i="113"/>
  <c r="S77" i="113"/>
  <c r="CB47" i="60"/>
  <c r="CB51" i="60"/>
  <c r="T47" i="44"/>
  <c r="BU115" i="60"/>
  <c r="BM6" i="80" s="1"/>
  <c r="CE51" i="60"/>
  <c r="CE47" i="60"/>
  <c r="BX59" i="60"/>
  <c r="BX55" i="60"/>
  <c r="S50" i="113"/>
  <c r="AE55" i="113"/>
  <c r="AO77" i="113"/>
  <c r="BA82" i="113"/>
  <c r="CA29" i="60"/>
  <c r="CA34" i="60"/>
  <c r="CA113" i="60" s="1"/>
  <c r="AP28" i="113"/>
  <c r="AD23" i="113"/>
  <c r="S23" i="113"/>
  <c r="AE28" i="113"/>
  <c r="CI34" i="60"/>
  <c r="CI113" i="60" s="1"/>
  <c r="CI29" i="60"/>
  <c r="BW82" i="113"/>
  <c r="BW77" i="113" s="1"/>
  <c r="BK77" i="113"/>
  <c r="CA55" i="60"/>
  <c r="CA59" i="60"/>
  <c r="BZ59" i="60"/>
  <c r="BZ55" i="60"/>
  <c r="CB55" i="60"/>
  <c r="CB59" i="60"/>
  <c r="I55" i="113"/>
  <c r="T55" i="113"/>
  <c r="H50" i="113"/>
  <c r="H51" i="113" s="1"/>
  <c r="H52" i="113" s="1"/>
  <c r="CD47" i="60"/>
  <c r="CD51" i="60"/>
  <c r="BO113" i="60"/>
  <c r="I28" i="113"/>
  <c r="T28" i="113"/>
  <c r="H23" i="113"/>
  <c r="H24" i="113" s="1"/>
  <c r="H25" i="113" s="1"/>
  <c r="R45" i="44" l="1"/>
  <c r="CD115" i="60"/>
  <c r="BV6" i="80" s="1"/>
  <c r="CG115" i="60"/>
  <c r="BY6" i="80" s="1"/>
  <c r="CE115" i="60"/>
  <c r="BW6" i="80" s="1"/>
  <c r="CA115" i="60"/>
  <c r="BS6" i="80" s="1"/>
  <c r="CF115" i="60"/>
  <c r="BX6" i="80" s="1"/>
  <c r="CI115" i="60"/>
  <c r="CA6" i="80" s="1"/>
  <c r="BX28" i="113"/>
  <c r="BX23" i="113" s="1"/>
  <c r="BL23" i="113"/>
  <c r="AQ28" i="113"/>
  <c r="AE23" i="113"/>
  <c r="BY115" i="60"/>
  <c r="BQ6" i="80" s="1"/>
  <c r="CC6" i="80" s="1"/>
  <c r="BB28" i="113"/>
  <c r="AP23" i="113"/>
  <c r="T23" i="113"/>
  <c r="AF28" i="113"/>
  <c r="BB82" i="113"/>
  <c r="AP77" i="113"/>
  <c r="BM28" i="113"/>
  <c r="BA23" i="113"/>
  <c r="BA50" i="113"/>
  <c r="BM55" i="113"/>
  <c r="BB55" i="113"/>
  <c r="AP50" i="113"/>
  <c r="BL50" i="113"/>
  <c r="BX55" i="113"/>
  <c r="BX50" i="113" s="1"/>
  <c r="I23" i="113"/>
  <c r="I24" i="113" s="1"/>
  <c r="I25" i="113" s="1"/>
  <c r="U28" i="113"/>
  <c r="J28" i="113"/>
  <c r="CB115" i="60"/>
  <c r="BT6" i="80" s="1"/>
  <c r="J26" i="83"/>
  <c r="BA77" i="113"/>
  <c r="BM82" i="113"/>
  <c r="BX115" i="60"/>
  <c r="BP6" i="80" s="1"/>
  <c r="CB6" i="80" s="1"/>
  <c r="CH115" i="60"/>
  <c r="BZ6" i="80" s="1"/>
  <c r="AR19" i="78"/>
  <c r="AR25" i="78" s="1"/>
  <c r="BZ115" i="60"/>
  <c r="BR6" i="80" s="1"/>
  <c r="CD6" i="80" s="1"/>
  <c r="AF55" i="113"/>
  <c r="T50" i="113"/>
  <c r="I50" i="113"/>
  <c r="I51" i="113" s="1"/>
  <c r="I52" i="113" s="1"/>
  <c r="U55" i="113"/>
  <c r="J55" i="113"/>
  <c r="AE50" i="113"/>
  <c r="AQ55" i="113"/>
  <c r="AQ82" i="113"/>
  <c r="AE77" i="113"/>
  <c r="BX82" i="113"/>
  <c r="BX77" i="113" s="1"/>
  <c r="BL77" i="113"/>
  <c r="T77" i="113"/>
  <c r="AF82" i="113"/>
  <c r="I77" i="113"/>
  <c r="I78" i="113" s="1"/>
  <c r="I79" i="113" s="1"/>
  <c r="J82" i="113"/>
  <c r="U82" i="113"/>
  <c r="CC115" i="60"/>
  <c r="BU6" i="80" s="1"/>
  <c r="BN82" i="113" l="1"/>
  <c r="BB77" i="113"/>
  <c r="BB50" i="113"/>
  <c r="BN55" i="113"/>
  <c r="BC82" i="113"/>
  <c r="AQ77" i="113"/>
  <c r="BY82" i="113"/>
  <c r="BY77" i="113" s="1"/>
  <c r="BM77" i="113"/>
  <c r="BC55" i="113"/>
  <c r="AQ50" i="113"/>
  <c r="AQ23" i="113"/>
  <c r="BC28" i="113"/>
  <c r="BY55" i="113"/>
  <c r="BY50" i="113" s="1"/>
  <c r="BM50" i="113"/>
  <c r="AR28" i="113"/>
  <c r="AF23" i="113"/>
  <c r="K55" i="113"/>
  <c r="V55" i="113"/>
  <c r="J50" i="113"/>
  <c r="J51" i="113" s="1"/>
  <c r="J52" i="113" s="1"/>
  <c r="U77" i="113"/>
  <c r="AG82" i="113"/>
  <c r="U50" i="113"/>
  <c r="AG55" i="113"/>
  <c r="J23" i="113"/>
  <c r="J24" i="113" s="1"/>
  <c r="J25" i="113" s="1"/>
  <c r="K28" i="113"/>
  <c r="V28" i="113"/>
  <c r="K82" i="113"/>
  <c r="J77" i="113"/>
  <c r="J78" i="113" s="1"/>
  <c r="J79" i="113" s="1"/>
  <c r="V82" i="113"/>
  <c r="AG28" i="113"/>
  <c r="U23" i="113"/>
  <c r="BB23" i="113"/>
  <c r="BN28" i="113"/>
  <c r="AF77" i="113"/>
  <c r="AR82" i="113"/>
  <c r="AF50" i="113"/>
  <c r="AR55" i="113"/>
  <c r="BM23" i="113"/>
  <c r="BY28" i="113"/>
  <c r="BY23" i="113" s="1"/>
  <c r="AS55" i="113" l="1"/>
  <c r="AG50" i="113"/>
  <c r="AS28" i="113"/>
  <c r="AG23" i="113"/>
  <c r="AH82" i="113"/>
  <c r="V77" i="113"/>
  <c r="W55" i="113"/>
  <c r="K50" i="113"/>
  <c r="K51" i="113" s="1"/>
  <c r="K52" i="113" s="1"/>
  <c r="L55" i="113"/>
  <c r="W82" i="113"/>
  <c r="L82" i="113"/>
  <c r="K77" i="113"/>
  <c r="K78" i="113" s="1"/>
  <c r="K79" i="113" s="1"/>
  <c r="BC77" i="113"/>
  <c r="BO82" i="113"/>
  <c r="BC23" i="113"/>
  <c r="BO28" i="113"/>
  <c r="BN23" i="113"/>
  <c r="BZ28" i="113"/>
  <c r="BZ23" i="113" s="1"/>
  <c r="AG77" i="113"/>
  <c r="AS82" i="113"/>
  <c r="BC50" i="113"/>
  <c r="BO55" i="113"/>
  <c r="AH55" i="113"/>
  <c r="V50" i="113"/>
  <c r="BD28" i="113"/>
  <c r="AR23" i="113"/>
  <c r="BZ55" i="113"/>
  <c r="BZ50" i="113" s="1"/>
  <c r="BN50" i="113"/>
  <c r="BD55" i="113"/>
  <c r="AR50" i="113"/>
  <c r="AH28" i="113"/>
  <c r="V23" i="113"/>
  <c r="L28" i="113"/>
  <c r="K23" i="113"/>
  <c r="K24" i="113" s="1"/>
  <c r="K25" i="113" s="1"/>
  <c r="W28" i="113"/>
  <c r="AR77" i="113"/>
  <c r="BD82" i="113"/>
  <c r="BN77" i="113"/>
  <c r="BZ82" i="113"/>
  <c r="BZ77" i="113" s="1"/>
  <c r="AI28" i="113" l="1"/>
  <c r="W23" i="113"/>
  <c r="AT55" i="113"/>
  <c r="AH50" i="113"/>
  <c r="M82" i="113"/>
  <c r="L77" i="113"/>
  <c r="L78" i="113" s="1"/>
  <c r="L79" i="113" s="1"/>
  <c r="X82" i="113"/>
  <c r="CA55" i="113"/>
  <c r="CA50" i="113" s="1"/>
  <c r="BO50" i="113"/>
  <c r="L23" i="113"/>
  <c r="L24" i="113" s="1"/>
  <c r="L25" i="113" s="1"/>
  <c r="X28" i="113"/>
  <c r="M28" i="113"/>
  <c r="W77" i="113"/>
  <c r="AI82" i="113"/>
  <c r="X55" i="113"/>
  <c r="M55" i="113"/>
  <c r="L50" i="113"/>
  <c r="L51" i="113" s="1"/>
  <c r="L52" i="113" s="1"/>
  <c r="BE82" i="113"/>
  <c r="AS77" i="113"/>
  <c r="AT28" i="113"/>
  <c r="AH23" i="113"/>
  <c r="W50" i="113"/>
  <c r="AI55" i="113"/>
  <c r="BP55" i="113"/>
  <c r="BD50" i="113"/>
  <c r="AH77" i="113"/>
  <c r="AT82" i="113"/>
  <c r="BO23" i="113"/>
  <c r="CA28" i="113"/>
  <c r="CA23" i="113" s="1"/>
  <c r="AS23" i="113"/>
  <c r="BE28" i="113"/>
  <c r="CA82" i="113"/>
  <c r="CA77" i="113" s="1"/>
  <c r="BO77" i="113"/>
  <c r="BD77" i="113"/>
  <c r="BP82" i="113"/>
  <c r="BP28" i="113"/>
  <c r="BD23" i="113"/>
  <c r="AS50" i="113"/>
  <c r="BE55" i="113"/>
  <c r="BE50" i="113" l="1"/>
  <c r="BQ55" i="113"/>
  <c r="AT77" i="113"/>
  <c r="BF82" i="113"/>
  <c r="X50" i="113"/>
  <c r="AJ55" i="113"/>
  <c r="AT50" i="113"/>
  <c r="BF55" i="113"/>
  <c r="AI77" i="113"/>
  <c r="AU82" i="113"/>
  <c r="AI23" i="113"/>
  <c r="AU28" i="113"/>
  <c r="BP23" i="113"/>
  <c r="CB28" i="113"/>
  <c r="CB23" i="113" s="1"/>
  <c r="CB55" i="113"/>
  <c r="CB50" i="113" s="1"/>
  <c r="BP50" i="113"/>
  <c r="N28" i="113"/>
  <c r="Y28" i="113"/>
  <c r="M23" i="113"/>
  <c r="M24" i="113" s="1"/>
  <c r="M25" i="113" s="1"/>
  <c r="CB82" i="113"/>
  <c r="CB77" i="113" s="1"/>
  <c r="BP77" i="113"/>
  <c r="AI50" i="113"/>
  <c r="AU55" i="113"/>
  <c r="X23" i="113"/>
  <c r="AJ28" i="113"/>
  <c r="BF28" i="113"/>
  <c r="AT23" i="113"/>
  <c r="BQ28" i="113"/>
  <c r="BE23" i="113"/>
  <c r="X77" i="113"/>
  <c r="AJ82" i="113"/>
  <c r="BQ82" i="113"/>
  <c r="BE77" i="113"/>
  <c r="Y82" i="113"/>
  <c r="M77" i="113"/>
  <c r="M78" i="113" s="1"/>
  <c r="M79" i="113" s="1"/>
  <c r="N82" i="113"/>
  <c r="M50" i="113"/>
  <c r="M51" i="113" s="1"/>
  <c r="M52" i="113" s="1"/>
  <c r="Y55" i="113"/>
  <c r="N55" i="113"/>
  <c r="Z82" i="113" l="1"/>
  <c r="N77" i="113"/>
  <c r="N78" i="113" s="1"/>
  <c r="N79" i="113" s="1"/>
  <c r="C80" i="113" s="1"/>
  <c r="BG28" i="113"/>
  <c r="AU23" i="113"/>
  <c r="AU50" i="113"/>
  <c r="BG55" i="113"/>
  <c r="Y77" i="113"/>
  <c r="AK82" i="113"/>
  <c r="BG82" i="113"/>
  <c r="AU77" i="113"/>
  <c r="BQ77" i="113"/>
  <c r="CC82" i="113"/>
  <c r="CC77" i="113" s="1"/>
  <c r="BF50" i="113"/>
  <c r="BR55" i="113"/>
  <c r="AV82" i="113"/>
  <c r="AJ77" i="113"/>
  <c r="AK28" i="113"/>
  <c r="Y23" i="113"/>
  <c r="AJ50" i="113"/>
  <c r="AV55" i="113"/>
  <c r="N23" i="113"/>
  <c r="N24" i="113" s="1"/>
  <c r="N25" i="113" s="1"/>
  <c r="C26" i="113" s="1"/>
  <c r="Z28" i="113"/>
  <c r="CC28" i="113"/>
  <c r="CC23" i="113" s="1"/>
  <c r="BQ23" i="113"/>
  <c r="BR82" i="113"/>
  <c r="BF77" i="113"/>
  <c r="Z55" i="113"/>
  <c r="N50" i="113"/>
  <c r="N51" i="113" s="1"/>
  <c r="N52" i="113" s="1"/>
  <c r="C53" i="113" s="1"/>
  <c r="Y50" i="113"/>
  <c r="AK55" i="113"/>
  <c r="BF23" i="113"/>
  <c r="BR28" i="113"/>
  <c r="CC55" i="113"/>
  <c r="CC50" i="113" s="1"/>
  <c r="BQ50" i="113"/>
  <c r="AJ23" i="113"/>
  <c r="AV28" i="113"/>
  <c r="C54" i="113" l="1"/>
  <c r="C56" i="113" s="1"/>
  <c r="C58" i="113" s="1"/>
  <c r="C60" i="113"/>
  <c r="D53" i="113"/>
  <c r="Z50" i="113"/>
  <c r="AL55" i="113"/>
  <c r="AV77" i="113"/>
  <c r="BH82" i="113"/>
  <c r="BG23" i="113"/>
  <c r="BS28" i="113"/>
  <c r="BR50" i="113"/>
  <c r="CD55" i="113"/>
  <c r="CD50" i="113" s="1"/>
  <c r="C87" i="113"/>
  <c r="D80" i="113"/>
  <c r="C81" i="113"/>
  <c r="C83" i="113" s="1"/>
  <c r="C85" i="113" s="1"/>
  <c r="BR77" i="113"/>
  <c r="CD82" i="113"/>
  <c r="CD77" i="113" s="1"/>
  <c r="AL82" i="113"/>
  <c r="Z77" i="113"/>
  <c r="AV23" i="113"/>
  <c r="BH28" i="113"/>
  <c r="AL28" i="113"/>
  <c r="Z23" i="113"/>
  <c r="C33" i="113"/>
  <c r="D26" i="113"/>
  <c r="C27" i="113"/>
  <c r="C29" i="113" s="1"/>
  <c r="C31" i="113" s="1"/>
  <c r="BG77" i="113"/>
  <c r="BS82" i="113"/>
  <c r="BR23" i="113"/>
  <c r="CD28" i="113"/>
  <c r="CD23" i="113" s="1"/>
  <c r="BH55" i="113"/>
  <c r="AV50" i="113"/>
  <c r="AK77" i="113"/>
  <c r="AW82" i="113"/>
  <c r="AW55" i="113"/>
  <c r="AK50" i="113"/>
  <c r="BG50" i="113"/>
  <c r="BS55" i="113"/>
  <c r="AK23" i="113"/>
  <c r="AW28" i="113"/>
  <c r="AW23" i="113" l="1"/>
  <c r="BI28" i="113"/>
  <c r="BS77" i="113"/>
  <c r="CE82" i="113"/>
  <c r="CE77" i="113" s="1"/>
  <c r="D60" i="113"/>
  <c r="D54" i="113"/>
  <c r="D56" i="113" s="1"/>
  <c r="D58" i="113" s="1"/>
  <c r="D63" i="113" s="1"/>
  <c r="E53" i="113"/>
  <c r="D33" i="113"/>
  <c r="D27" i="113"/>
  <c r="D29" i="113" s="1"/>
  <c r="D31" i="113" s="1"/>
  <c r="D36" i="113" s="1"/>
  <c r="D38" i="113" s="1"/>
  <c r="E26" i="113"/>
  <c r="AW50" i="113"/>
  <c r="BI55" i="113"/>
  <c r="BI82" i="113"/>
  <c r="AW77" i="113"/>
  <c r="AL23" i="113"/>
  <c r="AX28" i="113"/>
  <c r="CE28" i="113"/>
  <c r="CE23" i="113" s="1"/>
  <c r="BS23" i="113"/>
  <c r="BT28" i="113"/>
  <c r="BH23" i="113"/>
  <c r="BT82" i="113"/>
  <c r="BH77" i="113"/>
  <c r="BT55" i="113"/>
  <c r="BH50" i="113"/>
  <c r="AX82" i="113"/>
  <c r="AL77" i="113"/>
  <c r="AL50" i="113"/>
  <c r="AX55" i="113"/>
  <c r="C90" i="113"/>
  <c r="BS50" i="113"/>
  <c r="CE55" i="113"/>
  <c r="CE50" i="113" s="1"/>
  <c r="C36" i="113"/>
  <c r="C38" i="113" s="1"/>
  <c r="D87" i="113"/>
  <c r="E80" i="113"/>
  <c r="D81" i="113"/>
  <c r="D83" i="113" s="1"/>
  <c r="D85" i="113" s="1"/>
  <c r="D90" i="113" s="1"/>
  <c r="C63" i="113"/>
  <c r="BT77" i="113" l="1"/>
  <c r="CF82" i="113"/>
  <c r="CF77" i="113" s="1"/>
  <c r="E33" i="113"/>
  <c r="E27" i="113"/>
  <c r="E29" i="113" s="1"/>
  <c r="E31" i="113" s="1"/>
  <c r="E36" i="113" s="1"/>
  <c r="E38" i="113" s="1"/>
  <c r="F26" i="113"/>
  <c r="D14" i="55"/>
  <c r="D17" i="55" s="1"/>
  <c r="E13" i="60"/>
  <c r="D41" i="113"/>
  <c r="C93" i="113"/>
  <c r="C94" i="113"/>
  <c r="C92" i="113"/>
  <c r="E54" i="113"/>
  <c r="E56" i="113" s="1"/>
  <c r="E58" i="113" s="1"/>
  <c r="F53" i="113"/>
  <c r="E60" i="113"/>
  <c r="BJ55" i="113"/>
  <c r="AX50" i="113"/>
  <c r="BJ28" i="113"/>
  <c r="AX23" i="113"/>
  <c r="D65" i="113"/>
  <c r="D67" i="113"/>
  <c r="D66" i="113"/>
  <c r="C67" i="113"/>
  <c r="C65" i="113"/>
  <c r="C66" i="113"/>
  <c r="D93" i="113"/>
  <c r="D92" i="113"/>
  <c r="D94" i="113"/>
  <c r="C14" i="55"/>
  <c r="D13" i="60"/>
  <c r="C41" i="113"/>
  <c r="CF28" i="113"/>
  <c r="CF23" i="113" s="1"/>
  <c r="BT23" i="113"/>
  <c r="F80" i="113"/>
  <c r="E81" i="113"/>
  <c r="E83" i="113" s="1"/>
  <c r="E85" i="113" s="1"/>
  <c r="E87" i="113"/>
  <c r="AX77" i="113"/>
  <c r="BJ82" i="113"/>
  <c r="BU82" i="113"/>
  <c r="BI77" i="113"/>
  <c r="BI50" i="113"/>
  <c r="BU55" i="113"/>
  <c r="BI23" i="113"/>
  <c r="BU28" i="113"/>
  <c r="CF55" i="113"/>
  <c r="CF50" i="113" s="1"/>
  <c r="BT50" i="113"/>
  <c r="E63" i="113" l="1"/>
  <c r="C68" i="113"/>
  <c r="D22" i="60"/>
  <c r="C21" i="55"/>
  <c r="D22" i="55"/>
  <c r="E23" i="60"/>
  <c r="BJ77" i="113"/>
  <c r="BV82" i="113"/>
  <c r="BJ50" i="113"/>
  <c r="BV55" i="113"/>
  <c r="D29" i="55"/>
  <c r="E41" i="60"/>
  <c r="E90" i="113"/>
  <c r="C22" i="55"/>
  <c r="D23" i="60"/>
  <c r="F81" i="113"/>
  <c r="F83" i="113" s="1"/>
  <c r="F85" i="113" s="1"/>
  <c r="F90" i="113" s="1"/>
  <c r="F87" i="113"/>
  <c r="G80" i="113"/>
  <c r="D40" i="60"/>
  <c r="C95" i="113"/>
  <c r="C28" i="55"/>
  <c r="CG28" i="113"/>
  <c r="CG23" i="113" s="1"/>
  <c r="BU23" i="113"/>
  <c r="D24" i="60"/>
  <c r="D42" i="60"/>
  <c r="C29" i="55"/>
  <c r="D41" i="60"/>
  <c r="BU50" i="113"/>
  <c r="CG55" i="113"/>
  <c r="CG50" i="113" s="1"/>
  <c r="E24" i="60"/>
  <c r="D21" i="55"/>
  <c r="D24" i="55" s="1"/>
  <c r="E22" i="60"/>
  <c r="D68" i="113"/>
  <c r="E11" i="60"/>
  <c r="E16" i="60"/>
  <c r="D11" i="60"/>
  <c r="D16" i="60"/>
  <c r="C17" i="55"/>
  <c r="BJ23" i="113"/>
  <c r="BV28" i="113"/>
  <c r="G26" i="113"/>
  <c r="F33" i="113"/>
  <c r="F27" i="113"/>
  <c r="F29" i="113" s="1"/>
  <c r="F31" i="113" s="1"/>
  <c r="CG82" i="113"/>
  <c r="CG77" i="113" s="1"/>
  <c r="BU77" i="113"/>
  <c r="E42" i="60"/>
  <c r="E41" i="113"/>
  <c r="E14" i="55"/>
  <c r="E17" i="55" s="1"/>
  <c r="F13" i="60"/>
  <c r="D95" i="113"/>
  <c r="D28" i="55"/>
  <c r="E40" i="60"/>
  <c r="F60" i="113"/>
  <c r="F54" i="113"/>
  <c r="F56" i="113" s="1"/>
  <c r="F58" i="113" s="1"/>
  <c r="F63" i="113" s="1"/>
  <c r="G53" i="113"/>
  <c r="D31" i="55" l="1"/>
  <c r="E38" i="60"/>
  <c r="E43" i="60"/>
  <c r="H26" i="113"/>
  <c r="G27" i="113"/>
  <c r="G29" i="113" s="1"/>
  <c r="G31" i="113" s="1"/>
  <c r="G36" i="113" s="1"/>
  <c r="G38" i="113" s="1"/>
  <c r="G33" i="113"/>
  <c r="BV23" i="113"/>
  <c r="CH28" i="113"/>
  <c r="CH23" i="113" s="1"/>
  <c r="F16" i="60"/>
  <c r="F11" i="60"/>
  <c r="D18" i="60"/>
  <c r="D11" i="72" s="1"/>
  <c r="C17" i="78"/>
  <c r="C31" i="55"/>
  <c r="C24" i="55"/>
  <c r="D38" i="60"/>
  <c r="D43" i="60"/>
  <c r="D25" i="60"/>
  <c r="D20" i="60"/>
  <c r="G60" i="113"/>
  <c r="G54" i="113"/>
  <c r="G56" i="113" s="1"/>
  <c r="G58" i="113" s="1"/>
  <c r="G63" i="113" s="1"/>
  <c r="H53" i="113"/>
  <c r="D17" i="78"/>
  <c r="E18" i="60"/>
  <c r="E11" i="72" s="1"/>
  <c r="H80" i="113"/>
  <c r="G87" i="113"/>
  <c r="G81" i="113"/>
  <c r="G83" i="113" s="1"/>
  <c r="G85" i="113" s="1"/>
  <c r="F65" i="113"/>
  <c r="F66" i="113"/>
  <c r="F67" i="113"/>
  <c r="E25" i="60"/>
  <c r="E20" i="60"/>
  <c r="CH82" i="113"/>
  <c r="CH77" i="113" s="1"/>
  <c r="BV77" i="113"/>
  <c r="E92" i="113"/>
  <c r="E93" i="113"/>
  <c r="E94" i="113"/>
  <c r="F36" i="113"/>
  <c r="F38" i="113" s="1"/>
  <c r="F94" i="113"/>
  <c r="F92" i="113"/>
  <c r="F93" i="113"/>
  <c r="CH55" i="113"/>
  <c r="CH50" i="113" s="1"/>
  <c r="BV50" i="113"/>
  <c r="E65" i="113"/>
  <c r="E66" i="113"/>
  <c r="E67" i="113"/>
  <c r="F95" i="113" l="1"/>
  <c r="G40" i="60"/>
  <c r="F28" i="55"/>
  <c r="D18" i="78"/>
  <c r="E27" i="60"/>
  <c r="E12" i="72" s="1"/>
  <c r="G42" i="60"/>
  <c r="G13" i="60"/>
  <c r="F14" i="55"/>
  <c r="F41" i="113"/>
  <c r="G66" i="113"/>
  <c r="G67" i="113"/>
  <c r="G65" i="113"/>
  <c r="G24" i="60"/>
  <c r="F42" i="60"/>
  <c r="F22" i="55"/>
  <c r="G23" i="60"/>
  <c r="H13" i="60"/>
  <c r="G14" i="55"/>
  <c r="G17" i="55" s="1"/>
  <c r="G41" i="113"/>
  <c r="F24" i="60"/>
  <c r="E29" i="55"/>
  <c r="F41" i="60"/>
  <c r="G22" i="60"/>
  <c r="F21" i="55"/>
  <c r="F68" i="113"/>
  <c r="I26" i="113"/>
  <c r="H33" i="113"/>
  <c r="H27" i="113"/>
  <c r="H29" i="113" s="1"/>
  <c r="H31" i="113" s="1"/>
  <c r="H60" i="113"/>
  <c r="H54" i="113"/>
  <c r="H56" i="113" s="1"/>
  <c r="H58" i="113" s="1"/>
  <c r="I53" i="113"/>
  <c r="E22" i="55"/>
  <c r="F23" i="60"/>
  <c r="E28" i="55"/>
  <c r="E95" i="113"/>
  <c r="F40" i="60"/>
  <c r="C18" i="78"/>
  <c r="D27" i="60"/>
  <c r="D12" i="72" s="1"/>
  <c r="D106" i="60"/>
  <c r="F22" i="60"/>
  <c r="E68" i="113"/>
  <c r="E21" i="55"/>
  <c r="G90" i="113"/>
  <c r="D20" i="78"/>
  <c r="E45" i="60"/>
  <c r="E108" i="60" s="1"/>
  <c r="E102" i="60" s="1"/>
  <c r="E25" i="72" s="1"/>
  <c r="H81" i="113"/>
  <c r="H83" i="113" s="1"/>
  <c r="H85" i="113" s="1"/>
  <c r="H90" i="113" s="1"/>
  <c r="I80" i="113"/>
  <c r="H87" i="113"/>
  <c r="C20" i="78"/>
  <c r="D45" i="60"/>
  <c r="F29" i="55"/>
  <c r="G41" i="60"/>
  <c r="E106" i="60"/>
  <c r="D14" i="72"/>
  <c r="F18" i="60"/>
  <c r="F11" i="72" s="1"/>
  <c r="E17" i="78"/>
  <c r="E14" i="72" l="1"/>
  <c r="E15" i="72" s="1"/>
  <c r="D21" i="78"/>
  <c r="F24" i="55"/>
  <c r="D15" i="72"/>
  <c r="G20" i="60"/>
  <c r="G25" i="60"/>
  <c r="H24" i="60"/>
  <c r="F20" i="60"/>
  <c r="F25" i="60"/>
  <c r="G11" i="60"/>
  <c r="G16" i="60"/>
  <c r="I27" i="113"/>
  <c r="I29" i="113" s="1"/>
  <c r="I31" i="113" s="1"/>
  <c r="I36" i="113" s="1"/>
  <c r="I38" i="113" s="1"/>
  <c r="J26" i="113"/>
  <c r="I33" i="113"/>
  <c r="G38" i="60"/>
  <c r="G43" i="60"/>
  <c r="E24" i="55"/>
  <c r="H63" i="113"/>
  <c r="F17" i="55"/>
  <c r="H36" i="113"/>
  <c r="H38" i="113" s="1"/>
  <c r="D108" i="60"/>
  <c r="D102" i="60" s="1"/>
  <c r="D25" i="72" s="1"/>
  <c r="F38" i="60"/>
  <c r="F43" i="60"/>
  <c r="H16" i="60"/>
  <c r="H11" i="60"/>
  <c r="C21" i="78"/>
  <c r="J80" i="113"/>
  <c r="I87" i="113"/>
  <c r="I81" i="113"/>
  <c r="I83" i="113" s="1"/>
  <c r="I85" i="113" s="1"/>
  <c r="E31" i="55"/>
  <c r="H94" i="113"/>
  <c r="H92" i="113"/>
  <c r="H93" i="113"/>
  <c r="G93" i="113"/>
  <c r="G94" i="113"/>
  <c r="G92" i="113"/>
  <c r="F31" i="55"/>
  <c r="G21" i="55"/>
  <c r="G68" i="113"/>
  <c r="H22" i="60"/>
  <c r="I60" i="113"/>
  <c r="I54" i="113"/>
  <c r="I56" i="113" s="1"/>
  <c r="I58" i="113" s="1"/>
  <c r="I63" i="113" s="1"/>
  <c r="J53" i="113"/>
  <c r="G22" i="55"/>
  <c r="H23" i="60"/>
  <c r="G24" i="55" l="1"/>
  <c r="I65" i="113"/>
  <c r="I66" i="113"/>
  <c r="I67" i="113"/>
  <c r="J27" i="113"/>
  <c r="J29" i="113" s="1"/>
  <c r="J31" i="113" s="1"/>
  <c r="J36" i="113" s="1"/>
  <c r="J38" i="113" s="1"/>
  <c r="J33" i="113"/>
  <c r="K26" i="113"/>
  <c r="H25" i="60"/>
  <c r="H20" i="60"/>
  <c r="F45" i="60"/>
  <c r="F108" i="60" s="1"/>
  <c r="F102" i="60" s="1"/>
  <c r="F25" i="72" s="1"/>
  <c r="E20" i="78"/>
  <c r="H67" i="113"/>
  <c r="H66" i="113"/>
  <c r="H65" i="113"/>
  <c r="I90" i="113"/>
  <c r="H40" i="60"/>
  <c r="G28" i="55"/>
  <c r="G95" i="113"/>
  <c r="J81" i="113"/>
  <c r="J83" i="113" s="1"/>
  <c r="J85" i="113" s="1"/>
  <c r="J90" i="113" s="1"/>
  <c r="K80" i="113"/>
  <c r="J87" i="113"/>
  <c r="F18" i="78"/>
  <c r="G27" i="60"/>
  <c r="G12" i="72" s="1"/>
  <c r="H42" i="60"/>
  <c r="H14" i="55"/>
  <c r="H41" i="113"/>
  <c r="I13" i="60"/>
  <c r="F20" i="78"/>
  <c r="G45" i="60"/>
  <c r="H28" i="55"/>
  <c r="H31" i="55" s="1"/>
  <c r="H95" i="113"/>
  <c r="I40" i="60"/>
  <c r="G18" i="60"/>
  <c r="G11" i="72" s="1"/>
  <c r="F17" i="78"/>
  <c r="G106" i="60"/>
  <c r="G29" i="55"/>
  <c r="H41" i="60"/>
  <c r="J54" i="113"/>
  <c r="J56" i="113" s="1"/>
  <c r="J58" i="113" s="1"/>
  <c r="J63" i="113" s="1"/>
  <c r="J60" i="113"/>
  <c r="K53" i="113"/>
  <c r="H29" i="55"/>
  <c r="I41" i="60"/>
  <c r="F27" i="60"/>
  <c r="F12" i="72" s="1"/>
  <c r="E18" i="78"/>
  <c r="F106" i="60"/>
  <c r="I42" i="60"/>
  <c r="G17" i="78"/>
  <c r="H18" i="60"/>
  <c r="H11" i="72" s="1"/>
  <c r="I14" i="55"/>
  <c r="I17" i="55" s="1"/>
  <c r="J13" i="60"/>
  <c r="I41" i="113"/>
  <c r="E21" i="78" l="1"/>
  <c r="I11" i="60"/>
  <c r="I16" i="60"/>
  <c r="J92" i="113"/>
  <c r="J94" i="113"/>
  <c r="J93" i="113"/>
  <c r="K27" i="113"/>
  <c r="K29" i="113" s="1"/>
  <c r="K31" i="113" s="1"/>
  <c r="K36" i="113" s="1"/>
  <c r="K38" i="113" s="1"/>
  <c r="L26" i="113"/>
  <c r="K33" i="113"/>
  <c r="I22" i="55"/>
  <c r="J23" i="60"/>
  <c r="G14" i="72"/>
  <c r="G15" i="72" s="1"/>
  <c r="G108" i="60"/>
  <c r="G102" i="60" s="1"/>
  <c r="K81" i="113"/>
  <c r="K83" i="113" s="1"/>
  <c r="K85" i="113" s="1"/>
  <c r="K90" i="113" s="1"/>
  <c r="K87" i="113"/>
  <c r="L80" i="113"/>
  <c r="H27" i="60"/>
  <c r="H12" i="72" s="1"/>
  <c r="G18" i="78"/>
  <c r="H17" i="55"/>
  <c r="J16" i="60"/>
  <c r="J11" i="60"/>
  <c r="F21" i="78"/>
  <c r="J41" i="113"/>
  <c r="K13" i="60"/>
  <c r="J14" i="55"/>
  <c r="J17" i="55" s="1"/>
  <c r="I38" i="60"/>
  <c r="I43" i="60"/>
  <c r="G31" i="55"/>
  <c r="I93" i="113"/>
  <c r="I94" i="113"/>
  <c r="I92" i="113"/>
  <c r="L53" i="113"/>
  <c r="K60" i="113"/>
  <c r="K54" i="113"/>
  <c r="K56" i="113" s="1"/>
  <c r="K58" i="113" s="1"/>
  <c r="K63" i="113" s="1"/>
  <c r="F14" i="72"/>
  <c r="F15" i="72" s="1"/>
  <c r="H43" i="60"/>
  <c r="H38" i="60"/>
  <c r="H21" i="55"/>
  <c r="H68" i="113"/>
  <c r="I22" i="60"/>
  <c r="J24" i="60"/>
  <c r="H22" i="55"/>
  <c r="I23" i="60"/>
  <c r="J67" i="113"/>
  <c r="J65" i="113"/>
  <c r="J66" i="113"/>
  <c r="I24" i="60"/>
  <c r="J22" i="60"/>
  <c r="I68" i="113"/>
  <c r="I21" i="55"/>
  <c r="I24" i="55" l="1"/>
  <c r="G25" i="72"/>
  <c r="K66" i="113"/>
  <c r="K65" i="113"/>
  <c r="K67" i="113"/>
  <c r="L54" i="113"/>
  <c r="L56" i="113" s="1"/>
  <c r="L58" i="113" s="1"/>
  <c r="L63" i="113" s="1"/>
  <c r="M53" i="113"/>
  <c r="L60" i="113"/>
  <c r="I18" i="60"/>
  <c r="I11" i="72" s="1"/>
  <c r="H17" i="78"/>
  <c r="J25" i="60"/>
  <c r="J20" i="60"/>
  <c r="J29" i="55"/>
  <c r="K41" i="60"/>
  <c r="G20" i="78"/>
  <c r="G21" i="78" s="1"/>
  <c r="H45" i="60"/>
  <c r="H106" i="60"/>
  <c r="K42" i="60"/>
  <c r="I45" i="60"/>
  <c r="I14" i="72" s="1"/>
  <c r="H20" i="78"/>
  <c r="K40" i="60"/>
  <c r="J28" i="55"/>
  <c r="J95" i="113"/>
  <c r="J40" i="60"/>
  <c r="I95" i="113"/>
  <c r="I28" i="55"/>
  <c r="K11" i="60"/>
  <c r="K16" i="60"/>
  <c r="I20" i="60"/>
  <c r="I25" i="60"/>
  <c r="I106" i="60" s="1"/>
  <c r="J42" i="60"/>
  <c r="J18" i="60"/>
  <c r="J11" i="72" s="1"/>
  <c r="I17" i="78"/>
  <c r="J22" i="55"/>
  <c r="K23" i="60"/>
  <c r="I29" i="55"/>
  <c r="J41" i="60"/>
  <c r="L81" i="113"/>
  <c r="L83" i="113" s="1"/>
  <c r="L85" i="113" s="1"/>
  <c r="L90" i="113" s="1"/>
  <c r="M80" i="113"/>
  <c r="L87" i="113"/>
  <c r="K22" i="60"/>
  <c r="J21" i="55"/>
  <c r="J68" i="113"/>
  <c r="H24" i="55"/>
  <c r="L33" i="113"/>
  <c r="L27" i="113"/>
  <c r="L29" i="113" s="1"/>
  <c r="L31" i="113" s="1"/>
  <c r="L36" i="113" s="1"/>
  <c r="L38" i="113" s="1"/>
  <c r="M26" i="113"/>
  <c r="K24" i="60"/>
  <c r="K94" i="113"/>
  <c r="K93" i="113"/>
  <c r="K92" i="113"/>
  <c r="L13" i="60"/>
  <c r="K41" i="113"/>
  <c r="K14" i="55"/>
  <c r="J31" i="55" l="1"/>
  <c r="M13" i="60"/>
  <c r="L14" i="55"/>
  <c r="L17" i="55" s="1"/>
  <c r="L41" i="113"/>
  <c r="H14" i="72"/>
  <c r="H15" i="72" s="1"/>
  <c r="H108" i="60"/>
  <c r="H102" i="60" s="1"/>
  <c r="I18" i="78"/>
  <c r="J27" i="60"/>
  <c r="J12" i="72" s="1"/>
  <c r="L40" i="60"/>
  <c r="K28" i="55"/>
  <c r="K95" i="113"/>
  <c r="L93" i="113"/>
  <c r="L94" i="113"/>
  <c r="L92" i="113"/>
  <c r="K21" i="55"/>
  <c r="L22" i="60"/>
  <c r="K68" i="113"/>
  <c r="K17" i="55"/>
  <c r="J43" i="60"/>
  <c r="J106" i="60" s="1"/>
  <c r="J38" i="60"/>
  <c r="L11" i="60"/>
  <c r="L16" i="60"/>
  <c r="N80" i="113"/>
  <c r="M87" i="113"/>
  <c r="M81" i="113"/>
  <c r="M83" i="113" s="1"/>
  <c r="M85" i="113" s="1"/>
  <c r="M90" i="113" s="1"/>
  <c r="L24" i="60"/>
  <c r="K29" i="55"/>
  <c r="L41" i="60"/>
  <c r="L42" i="60"/>
  <c r="H18" i="78"/>
  <c r="H21" i="78" s="1"/>
  <c r="I27" i="60"/>
  <c r="I12" i="72" s="1"/>
  <c r="K22" i="55"/>
  <c r="L23" i="60"/>
  <c r="J24" i="55"/>
  <c r="K38" i="60"/>
  <c r="K43" i="60"/>
  <c r="K20" i="60"/>
  <c r="K25" i="60"/>
  <c r="K18" i="60"/>
  <c r="K11" i="72" s="1"/>
  <c r="J17" i="78"/>
  <c r="M27" i="113"/>
  <c r="M29" i="113" s="1"/>
  <c r="M31" i="113" s="1"/>
  <c r="M36" i="113" s="1"/>
  <c r="M38" i="113" s="1"/>
  <c r="N26" i="113"/>
  <c r="M33" i="113"/>
  <c r="I31" i="55"/>
  <c r="N53" i="113"/>
  <c r="M60" i="113"/>
  <c r="M54" i="113"/>
  <c r="M56" i="113" s="1"/>
  <c r="M58" i="113" s="1"/>
  <c r="M63" i="113" s="1"/>
  <c r="L65" i="113"/>
  <c r="L67" i="113"/>
  <c r="L66" i="113"/>
  <c r="K106" i="60" l="1"/>
  <c r="I108" i="60"/>
  <c r="I102" i="60" s="1"/>
  <c r="I25" i="72" s="1"/>
  <c r="L22" i="55"/>
  <c r="M23" i="60"/>
  <c r="M24" i="60"/>
  <c r="L20" i="60"/>
  <c r="L25" i="60"/>
  <c r="H25" i="72"/>
  <c r="L21" i="55"/>
  <c r="M22" i="60"/>
  <c r="L68" i="113"/>
  <c r="K24" i="55"/>
  <c r="M94" i="113"/>
  <c r="M93" i="113"/>
  <c r="M92" i="113"/>
  <c r="I20" i="78"/>
  <c r="I21" i="78" s="1"/>
  <c r="J45" i="60"/>
  <c r="L95" i="113"/>
  <c r="L28" i="55"/>
  <c r="M40" i="60"/>
  <c r="J18" i="78"/>
  <c r="K27" i="60"/>
  <c r="K12" i="72" s="1"/>
  <c r="M42" i="60"/>
  <c r="N54" i="113"/>
  <c r="N56" i="113" s="1"/>
  <c r="N58" i="113" s="1"/>
  <c r="N60" i="113"/>
  <c r="N27" i="113"/>
  <c r="N29" i="113" s="1"/>
  <c r="N31" i="113" s="1"/>
  <c r="N33" i="113"/>
  <c r="K17" i="78"/>
  <c r="L18" i="60"/>
  <c r="L11" i="72" s="1"/>
  <c r="M41" i="113"/>
  <c r="N13" i="60"/>
  <c r="M14" i="55"/>
  <c r="M17" i="55" s="1"/>
  <c r="M67" i="113"/>
  <c r="M65" i="113"/>
  <c r="M66" i="113"/>
  <c r="N87" i="113"/>
  <c r="N81" i="113"/>
  <c r="N83" i="113" s="1"/>
  <c r="N85" i="113" s="1"/>
  <c r="L29" i="55"/>
  <c r="M41" i="60"/>
  <c r="I15" i="72"/>
  <c r="M11" i="60"/>
  <c r="M16" i="60"/>
  <c r="K31" i="55"/>
  <c r="J20" i="78"/>
  <c r="K45" i="60"/>
  <c r="L43" i="60"/>
  <c r="L38" i="60"/>
  <c r="L106" i="60" l="1"/>
  <c r="M88" i="113"/>
  <c r="N114" i="60" s="1"/>
  <c r="K34" i="113"/>
  <c r="L111" i="60" s="1"/>
  <c r="J21" i="78"/>
  <c r="K88" i="113"/>
  <c r="L114" i="60" s="1"/>
  <c r="H34" i="113"/>
  <c r="I111" i="60" s="1"/>
  <c r="N63" i="113"/>
  <c r="O53" i="113"/>
  <c r="K61" i="113"/>
  <c r="L112" i="60" s="1"/>
  <c r="J14" i="72"/>
  <c r="J15" i="72" s="1"/>
  <c r="J108" i="60"/>
  <c r="J102" i="60" s="1"/>
  <c r="G34" i="113"/>
  <c r="H111" i="60" s="1"/>
  <c r="M34" i="113"/>
  <c r="N111" i="60" s="1"/>
  <c r="M20" i="60"/>
  <c r="M25" i="60"/>
  <c r="H88" i="113"/>
  <c r="I114" i="60" s="1"/>
  <c r="N90" i="113"/>
  <c r="O80" i="113"/>
  <c r="N42" i="60"/>
  <c r="L24" i="55"/>
  <c r="K14" i="72"/>
  <c r="K15" i="72" s="1"/>
  <c r="K108" i="60"/>
  <c r="K102" i="60" s="1"/>
  <c r="K25" i="72" s="1"/>
  <c r="N11" i="60"/>
  <c r="N16" i="60"/>
  <c r="M61" i="113"/>
  <c r="N112" i="60" s="1"/>
  <c r="N40" i="60"/>
  <c r="M28" i="55"/>
  <c r="M95" i="113"/>
  <c r="M29" i="55"/>
  <c r="N41" i="60"/>
  <c r="N88" i="113"/>
  <c r="O114" i="60" s="1"/>
  <c r="C88" i="113"/>
  <c r="D114" i="60" s="1"/>
  <c r="D88" i="113"/>
  <c r="E114" i="60" s="1"/>
  <c r="F88" i="113"/>
  <c r="G114" i="60" s="1"/>
  <c r="L88" i="113"/>
  <c r="M114" i="60" s="1"/>
  <c r="J88" i="113"/>
  <c r="K114" i="60" s="1"/>
  <c r="E88" i="113"/>
  <c r="F114" i="60" s="1"/>
  <c r="G88" i="113"/>
  <c r="H114" i="60" s="1"/>
  <c r="I88" i="113"/>
  <c r="J114" i="60" s="1"/>
  <c r="L17" i="78"/>
  <c r="M18" i="60"/>
  <c r="M11" i="72" s="1"/>
  <c r="M22" i="55"/>
  <c r="N23" i="60"/>
  <c r="N34" i="113"/>
  <c r="O111" i="60" s="1"/>
  <c r="C34" i="113"/>
  <c r="D111" i="60" s="1"/>
  <c r="D34" i="113"/>
  <c r="E111" i="60" s="1"/>
  <c r="F34" i="113"/>
  <c r="G111" i="60" s="1"/>
  <c r="E34" i="113"/>
  <c r="F111" i="60" s="1"/>
  <c r="L34" i="113"/>
  <c r="M111" i="60" s="1"/>
  <c r="J34" i="113"/>
  <c r="K111" i="60" s="1"/>
  <c r="I34" i="113"/>
  <c r="J111" i="60" s="1"/>
  <c r="N22" i="60"/>
  <c r="M68" i="113"/>
  <c r="M21" i="55"/>
  <c r="N36" i="113"/>
  <c r="N38" i="113" s="1"/>
  <c r="O26" i="113"/>
  <c r="M38" i="60"/>
  <c r="M43" i="60"/>
  <c r="K20" i="78"/>
  <c r="L45" i="60"/>
  <c r="N24" i="60"/>
  <c r="N61" i="113"/>
  <c r="O112" i="60" s="1"/>
  <c r="C61" i="113"/>
  <c r="D112" i="60" s="1"/>
  <c r="D61" i="113"/>
  <c r="E112" i="60" s="1"/>
  <c r="F61" i="113"/>
  <c r="G112" i="60" s="1"/>
  <c r="G61" i="113"/>
  <c r="H112" i="60" s="1"/>
  <c r="I61" i="113"/>
  <c r="J112" i="60" s="1"/>
  <c r="L61" i="113"/>
  <c r="M112" i="60" s="1"/>
  <c r="E61" i="113"/>
  <c r="F112" i="60" s="1"/>
  <c r="J61" i="113"/>
  <c r="K112" i="60" s="1"/>
  <c r="L31" i="55"/>
  <c r="K18" i="78"/>
  <c r="L27" i="60"/>
  <c r="L12" i="72" s="1"/>
  <c r="H61" i="113"/>
  <c r="I112" i="60" s="1"/>
  <c r="N110" i="60" l="1"/>
  <c r="F5" i="80" s="1"/>
  <c r="M110" i="60"/>
  <c r="E5" i="80" s="1"/>
  <c r="E7" i="80" s="1"/>
  <c r="M24" i="55"/>
  <c r="M106" i="60"/>
  <c r="L110" i="60"/>
  <c r="D5" i="80" s="1"/>
  <c r="I110" i="60"/>
  <c r="O110" i="60"/>
  <c r="G5" i="80" s="1"/>
  <c r="G8" i="80" s="1"/>
  <c r="G9" i="80" s="1"/>
  <c r="G10" i="80" s="1"/>
  <c r="G28" i="80" s="1"/>
  <c r="L108" i="60"/>
  <c r="L102" i="60" s="1"/>
  <c r="L25" i="72" s="1"/>
  <c r="E110" i="60"/>
  <c r="D110" i="60"/>
  <c r="D8" i="80"/>
  <c r="D9" i="80" s="1"/>
  <c r="D10" i="80" s="1"/>
  <c r="D28" i="80" s="1"/>
  <c r="D7" i="80"/>
  <c r="M17" i="78"/>
  <c r="N18" i="60"/>
  <c r="N11" i="72" s="1"/>
  <c r="O33" i="113"/>
  <c r="O27" i="113"/>
  <c r="O29" i="113" s="1"/>
  <c r="O31" i="113" s="1"/>
  <c r="P26" i="113"/>
  <c r="O24" i="113"/>
  <c r="O25" i="113" s="1"/>
  <c r="H110" i="60"/>
  <c r="M31" i="55"/>
  <c r="J25" i="72"/>
  <c r="N43" i="60"/>
  <c r="N38" i="60"/>
  <c r="N25" i="60"/>
  <c r="N20" i="60"/>
  <c r="O87" i="113"/>
  <c r="O78" i="113"/>
  <c r="O79" i="113" s="1"/>
  <c r="P80" i="113"/>
  <c r="O81" i="113"/>
  <c r="O83" i="113" s="1"/>
  <c r="O85" i="113" s="1"/>
  <c r="K21" i="78"/>
  <c r="L14" i="72"/>
  <c r="L15" i="72" s="1"/>
  <c r="N92" i="113"/>
  <c r="N94" i="113"/>
  <c r="N93" i="113"/>
  <c r="M27" i="60"/>
  <c r="M12" i="72" s="1"/>
  <c r="L18" i="78"/>
  <c r="L21" i="78" s="1"/>
  <c r="N41" i="113"/>
  <c r="N14" i="55"/>
  <c r="O13" i="60"/>
  <c r="F8" i="80"/>
  <c r="F9" i="80" s="1"/>
  <c r="F10" i="80" s="1"/>
  <c r="F28" i="80" s="1"/>
  <c r="F7" i="80"/>
  <c r="J110" i="60"/>
  <c r="O54" i="113"/>
  <c r="O56" i="113" s="1"/>
  <c r="O58" i="113" s="1"/>
  <c r="O51" i="113"/>
  <c r="O52" i="113" s="1"/>
  <c r="P53" i="113"/>
  <c r="O60" i="113"/>
  <c r="K110" i="60"/>
  <c r="C5" i="80" s="1"/>
  <c r="N66" i="113"/>
  <c r="N65" i="113"/>
  <c r="N67" i="113"/>
  <c r="M45" i="60"/>
  <c r="L20" i="78"/>
  <c r="F110" i="60"/>
  <c r="G110" i="60"/>
  <c r="E8" i="80" l="1"/>
  <c r="E9" i="80" s="1"/>
  <c r="E10" i="80" s="1"/>
  <c r="E28" i="80" s="1"/>
  <c r="N106" i="60"/>
  <c r="G7" i="80"/>
  <c r="M108" i="60"/>
  <c r="M102" i="60" s="1"/>
  <c r="M25" i="72" s="1"/>
  <c r="N22" i="55"/>
  <c r="P22" i="55" s="1"/>
  <c r="O23" i="60"/>
  <c r="O42" i="60"/>
  <c r="P33" i="113"/>
  <c r="P24" i="113"/>
  <c r="P25" i="113" s="1"/>
  <c r="Q26" i="113"/>
  <c r="P27" i="113"/>
  <c r="P29" i="113" s="1"/>
  <c r="P31" i="113" s="1"/>
  <c r="Q13" i="60" s="1"/>
  <c r="C8" i="80"/>
  <c r="C9" i="80" s="1"/>
  <c r="C10" i="80" s="1"/>
  <c r="C28" i="80" s="1"/>
  <c r="C7" i="80"/>
  <c r="O11" i="60"/>
  <c r="O16" i="60"/>
  <c r="P13" i="60"/>
  <c r="N17" i="55"/>
  <c r="P14" i="55"/>
  <c r="O63" i="113"/>
  <c r="O40" i="60"/>
  <c r="N28" i="55"/>
  <c r="N95" i="113"/>
  <c r="M14" i="72"/>
  <c r="M15" i="72" s="1"/>
  <c r="O90" i="113"/>
  <c r="Q53" i="113"/>
  <c r="P54" i="113"/>
  <c r="P56" i="113" s="1"/>
  <c r="P58" i="113" s="1"/>
  <c r="P63" i="113" s="1"/>
  <c r="P51" i="113"/>
  <c r="P52" i="113" s="1"/>
  <c r="P60" i="113"/>
  <c r="P78" i="113"/>
  <c r="P79" i="113" s="1"/>
  <c r="P81" i="113"/>
  <c r="P83" i="113" s="1"/>
  <c r="P85" i="113" s="1"/>
  <c r="P90" i="113" s="1"/>
  <c r="Q80" i="113"/>
  <c r="P87" i="113"/>
  <c r="N45" i="60"/>
  <c r="N14" i="72" s="1"/>
  <c r="M20" i="78"/>
  <c r="O24" i="60"/>
  <c r="N27" i="60"/>
  <c r="N12" i="72" s="1"/>
  <c r="M18" i="78"/>
  <c r="O22" i="60"/>
  <c r="N68" i="113"/>
  <c r="N21" i="55"/>
  <c r="N29" i="55"/>
  <c r="P29" i="55" s="1"/>
  <c r="O41" i="60"/>
  <c r="M21" i="78" l="1"/>
  <c r="P92" i="113"/>
  <c r="P93" i="113"/>
  <c r="P94" i="113"/>
  <c r="P16" i="60"/>
  <c r="P11" i="60"/>
  <c r="N17" i="78"/>
  <c r="O18" i="60"/>
  <c r="O11" i="72" s="1"/>
  <c r="Q24" i="113"/>
  <c r="Q25" i="113" s="1"/>
  <c r="Q33" i="113"/>
  <c r="Q27" i="113"/>
  <c r="Q29" i="113" s="1"/>
  <c r="Q31" i="113" s="1"/>
  <c r="R13" i="60" s="1"/>
  <c r="R26" i="113"/>
  <c r="N24" i="55"/>
  <c r="P21" i="55"/>
  <c r="N31" i="55"/>
  <c r="P28" i="55"/>
  <c r="O38" i="60"/>
  <c r="O43" i="60"/>
  <c r="R22" i="55"/>
  <c r="G18" i="76"/>
  <c r="T22" i="76"/>
  <c r="O20" i="60"/>
  <c r="O25" i="60"/>
  <c r="P65" i="113"/>
  <c r="P66" i="113"/>
  <c r="P67" i="113"/>
  <c r="Q54" i="113"/>
  <c r="Q56" i="113" s="1"/>
  <c r="Q58" i="113" s="1"/>
  <c r="Q63" i="113" s="1"/>
  <c r="Q51" i="113"/>
  <c r="Q52" i="113" s="1"/>
  <c r="Q60" i="113"/>
  <c r="R53" i="113"/>
  <c r="O67" i="113"/>
  <c r="O65" i="113"/>
  <c r="O66" i="113"/>
  <c r="Q16" i="60"/>
  <c r="Q11" i="60"/>
  <c r="N15" i="72"/>
  <c r="O94" i="113"/>
  <c r="O92" i="113"/>
  <c r="O93" i="113"/>
  <c r="R14" i="55"/>
  <c r="R17" i="55" s="1"/>
  <c r="P17" i="55"/>
  <c r="S21" i="76"/>
  <c r="N108" i="60"/>
  <c r="N102" i="60" s="1"/>
  <c r="R29" i="55"/>
  <c r="T24" i="76"/>
  <c r="Q78" i="113"/>
  <c r="Q79" i="113" s="1"/>
  <c r="R80" i="113"/>
  <c r="Q81" i="113"/>
  <c r="Q83" i="113" s="1"/>
  <c r="Q85" i="113" s="1"/>
  <c r="Q90" i="113" s="1"/>
  <c r="Q87" i="113"/>
  <c r="O106" i="60" l="1"/>
  <c r="G17" i="76"/>
  <c r="G17" i="91" s="1"/>
  <c r="P41" i="60"/>
  <c r="G18" i="91"/>
  <c r="H18" i="91" s="1"/>
  <c r="H18" i="76"/>
  <c r="P42" i="60"/>
  <c r="N20" i="78"/>
  <c r="O20" i="78" s="1"/>
  <c r="O45" i="60"/>
  <c r="P11" i="72"/>
  <c r="Q24" i="60"/>
  <c r="S24" i="76"/>
  <c r="P31" i="55"/>
  <c r="R28" i="55"/>
  <c r="R31" i="55" s="1"/>
  <c r="O17" i="78"/>
  <c r="N25" i="72"/>
  <c r="Q23" i="60"/>
  <c r="Q17" i="78"/>
  <c r="Q18" i="60"/>
  <c r="R11" i="72" s="1"/>
  <c r="P68" i="113"/>
  <c r="Q22" i="60"/>
  <c r="P24" i="55"/>
  <c r="S22" i="76"/>
  <c r="R21" i="55"/>
  <c r="R24" i="55" s="1"/>
  <c r="P18" i="60"/>
  <c r="Q11" i="72" s="1"/>
  <c r="P17" i="78"/>
  <c r="O95" i="113"/>
  <c r="P40" i="60"/>
  <c r="Q66" i="113"/>
  <c r="Q65" i="113"/>
  <c r="Q67" i="113"/>
  <c r="P23" i="60"/>
  <c r="Q42" i="60"/>
  <c r="O68" i="113"/>
  <c r="P22" i="60"/>
  <c r="N18" i="78"/>
  <c r="O18" i="78" s="1"/>
  <c r="O27" i="60"/>
  <c r="Q41" i="60"/>
  <c r="Q93" i="113"/>
  <c r="Q92" i="113"/>
  <c r="Q94" i="113"/>
  <c r="P24" i="60"/>
  <c r="R24" i="113"/>
  <c r="R25" i="113" s="1"/>
  <c r="R33" i="113"/>
  <c r="R27" i="113"/>
  <c r="R29" i="113" s="1"/>
  <c r="R31" i="113" s="1"/>
  <c r="S26" i="113"/>
  <c r="P95" i="113"/>
  <c r="Q40" i="60"/>
  <c r="R81" i="113"/>
  <c r="R83" i="113" s="1"/>
  <c r="R85" i="113" s="1"/>
  <c r="S80" i="113"/>
  <c r="R78" i="113"/>
  <c r="R79" i="113" s="1"/>
  <c r="R87" i="113"/>
  <c r="R60" i="113"/>
  <c r="S53" i="113"/>
  <c r="R54" i="113"/>
  <c r="R56" i="113" s="1"/>
  <c r="R58" i="113" s="1"/>
  <c r="R63" i="113" s="1"/>
  <c r="R51" i="113"/>
  <c r="R52" i="113" s="1"/>
  <c r="T25" i="76"/>
  <c r="R11" i="60"/>
  <c r="R16" i="60"/>
  <c r="G40" i="76" l="1"/>
  <c r="H17" i="76"/>
  <c r="P57" i="64"/>
  <c r="P99" i="60" s="1"/>
  <c r="H40" i="76"/>
  <c r="S25" i="76"/>
  <c r="P25" i="60"/>
  <c r="P20" i="60"/>
  <c r="Q20" i="60"/>
  <c r="Q25" i="60"/>
  <c r="R23" i="60"/>
  <c r="P43" i="60"/>
  <c r="P38" i="60"/>
  <c r="S33" i="113"/>
  <c r="T26" i="113"/>
  <c r="S24" i="113"/>
  <c r="S25" i="113" s="1"/>
  <c r="S27" i="113"/>
  <c r="S29" i="113" s="1"/>
  <c r="S31" i="113" s="1"/>
  <c r="T13" i="60" s="1"/>
  <c r="R65" i="113"/>
  <c r="R67" i="113"/>
  <c r="R66" i="113"/>
  <c r="O108" i="60"/>
  <c r="O102" i="60" s="1"/>
  <c r="O25" i="72" s="1"/>
  <c r="P25" i="72" s="1"/>
  <c r="S51" i="113"/>
  <c r="S52" i="113" s="1"/>
  <c r="S60" i="113"/>
  <c r="S54" i="113"/>
  <c r="S56" i="113" s="1"/>
  <c r="S58" i="113" s="1"/>
  <c r="T53" i="113"/>
  <c r="O12" i="72"/>
  <c r="O14" i="72"/>
  <c r="P14" i="72" s="1"/>
  <c r="N21" i="78"/>
  <c r="O21" i="78" s="1"/>
  <c r="R24" i="60"/>
  <c r="Q68" i="113"/>
  <c r="R22" i="60"/>
  <c r="S81" i="113"/>
  <c r="S83" i="113" s="1"/>
  <c r="S85" i="113" s="1"/>
  <c r="S90" i="113" s="1"/>
  <c r="S78" i="113"/>
  <c r="S79" i="113" s="1"/>
  <c r="S87" i="113"/>
  <c r="T80" i="113"/>
  <c r="R42" i="60"/>
  <c r="R90" i="113"/>
  <c r="Q95" i="113"/>
  <c r="R40" i="60"/>
  <c r="G40" i="91"/>
  <c r="H17" i="91"/>
  <c r="Q38" i="60"/>
  <c r="Q43" i="60"/>
  <c r="R41" i="60"/>
  <c r="R18" i="60"/>
  <c r="S11" i="72" s="1"/>
  <c r="R17" i="78"/>
  <c r="S13" i="60"/>
  <c r="P58" i="64" l="1"/>
  <c r="T16" i="60"/>
  <c r="T17" i="78" s="1"/>
  <c r="T11" i="60"/>
  <c r="P12" i="72"/>
  <c r="O15" i="72"/>
  <c r="P15" i="72" s="1"/>
  <c r="S92" i="113"/>
  <c r="S93" i="113"/>
  <c r="S94" i="113"/>
  <c r="T27" i="113"/>
  <c r="T29" i="113" s="1"/>
  <c r="T31" i="113" s="1"/>
  <c r="U13" i="60" s="1"/>
  <c r="T24" i="113"/>
  <c r="T25" i="113" s="1"/>
  <c r="T33" i="113"/>
  <c r="U26" i="113"/>
  <c r="T60" i="113"/>
  <c r="T51" i="113"/>
  <c r="T52" i="113" s="1"/>
  <c r="U53" i="113"/>
  <c r="T54" i="113"/>
  <c r="T56" i="113" s="1"/>
  <c r="T58" i="113" s="1"/>
  <c r="T63" i="113" s="1"/>
  <c r="R38" i="60"/>
  <c r="R43" i="60"/>
  <c r="S63" i="113"/>
  <c r="S11" i="60"/>
  <c r="S16" i="60"/>
  <c r="S24" i="60"/>
  <c r="H40" i="91"/>
  <c r="R20" i="60"/>
  <c r="R25" i="60"/>
  <c r="P27" i="60"/>
  <c r="Q12" i="72" s="1"/>
  <c r="P18" i="78"/>
  <c r="P20" i="78"/>
  <c r="P45" i="60"/>
  <c r="R92" i="113"/>
  <c r="R93" i="113"/>
  <c r="R94" i="113"/>
  <c r="S23" i="60"/>
  <c r="Q18" i="72"/>
  <c r="Q45" i="60"/>
  <c r="Q20" i="78"/>
  <c r="R68" i="113"/>
  <c r="S22" i="60"/>
  <c r="T87" i="113"/>
  <c r="T81" i="113"/>
  <c r="T83" i="113" s="1"/>
  <c r="T85" i="113" s="1"/>
  <c r="T90" i="113" s="1"/>
  <c r="T78" i="113"/>
  <c r="T79" i="113" s="1"/>
  <c r="U80" i="113"/>
  <c r="Q18" i="78"/>
  <c r="Q27" i="60"/>
  <c r="R12" i="72" s="1"/>
  <c r="Q57" i="64" l="1"/>
  <c r="Q108" i="60"/>
  <c r="Q102" i="60" s="1"/>
  <c r="R25" i="72" s="1"/>
  <c r="R57" i="64"/>
  <c r="P21" i="78"/>
  <c r="Q21" i="78"/>
  <c r="T42" i="60"/>
  <c r="U81" i="113"/>
  <c r="U83" i="113" s="1"/>
  <c r="U85" i="113" s="1"/>
  <c r="U90" i="113" s="1"/>
  <c r="U87" i="113"/>
  <c r="U78" i="113"/>
  <c r="U79" i="113" s="1"/>
  <c r="V80" i="113"/>
  <c r="R45" i="60"/>
  <c r="R20" i="78"/>
  <c r="S95" i="113"/>
  <c r="T40" i="60"/>
  <c r="T66" i="113"/>
  <c r="T67" i="113"/>
  <c r="T65" i="113"/>
  <c r="S42" i="60"/>
  <c r="S20" i="60"/>
  <c r="S25" i="60"/>
  <c r="S41" i="60"/>
  <c r="U11" i="60"/>
  <c r="U16" i="60"/>
  <c r="U17" i="78" s="1"/>
  <c r="T41" i="60"/>
  <c r="T92" i="113"/>
  <c r="T94" i="113"/>
  <c r="T93" i="113"/>
  <c r="R14" i="72"/>
  <c r="R27" i="60"/>
  <c r="S12" i="72" s="1"/>
  <c r="R18" i="78"/>
  <c r="U54" i="113"/>
  <c r="U56" i="113" s="1"/>
  <c r="U58" i="113" s="1"/>
  <c r="U63" i="113" s="1"/>
  <c r="U51" i="113"/>
  <c r="U52" i="113" s="1"/>
  <c r="U60" i="113"/>
  <c r="V53" i="113"/>
  <c r="R95" i="113"/>
  <c r="S40" i="60"/>
  <c r="S18" i="60"/>
  <c r="T11" i="72" s="1"/>
  <c r="S17" i="78"/>
  <c r="S65" i="113"/>
  <c r="S67" i="113"/>
  <c r="S66" i="113"/>
  <c r="Q14" i="72"/>
  <c r="P108" i="60"/>
  <c r="P102" i="60" s="1"/>
  <c r="Q25" i="72" s="1"/>
  <c r="U33" i="113"/>
  <c r="U27" i="113"/>
  <c r="U29" i="113" s="1"/>
  <c r="U31" i="113" s="1"/>
  <c r="V13" i="60" s="1"/>
  <c r="U24" i="113"/>
  <c r="U25" i="113" s="1"/>
  <c r="V26" i="113"/>
  <c r="R108" i="60" l="1"/>
  <c r="R102" i="60" s="1"/>
  <c r="S25" i="72" s="1"/>
  <c r="Q15" i="72"/>
  <c r="R15" i="72"/>
  <c r="S57" i="64"/>
  <c r="S14" i="72"/>
  <c r="R21" i="78"/>
  <c r="W26" i="113"/>
  <c r="V33" i="113"/>
  <c r="V27" i="113"/>
  <c r="V29" i="113" s="1"/>
  <c r="V31" i="113" s="1"/>
  <c r="W13" i="60" s="1"/>
  <c r="V24" i="113"/>
  <c r="V25" i="113" s="1"/>
  <c r="U65" i="113"/>
  <c r="U67" i="113"/>
  <c r="U66" i="113"/>
  <c r="V81" i="113"/>
  <c r="V83" i="113" s="1"/>
  <c r="V85" i="113" s="1"/>
  <c r="V90" i="113" s="1"/>
  <c r="V87" i="113"/>
  <c r="W80" i="113"/>
  <c r="V78" i="113"/>
  <c r="V79" i="113" s="1"/>
  <c r="V11" i="60"/>
  <c r="V16" i="60"/>
  <c r="T24" i="60"/>
  <c r="U42" i="60"/>
  <c r="T43" i="60"/>
  <c r="T20" i="78" s="1"/>
  <c r="T38" i="60"/>
  <c r="S68" i="113"/>
  <c r="T22" i="60"/>
  <c r="V51" i="113"/>
  <c r="V52" i="113" s="1"/>
  <c r="W53" i="113"/>
  <c r="V60" i="113"/>
  <c r="V54" i="113"/>
  <c r="V56" i="113" s="1"/>
  <c r="V58" i="113" s="1"/>
  <c r="V63" i="113" s="1"/>
  <c r="S18" i="78"/>
  <c r="S27" i="60"/>
  <c r="T12" i="72" s="1"/>
  <c r="T68" i="113"/>
  <c r="U22" i="60"/>
  <c r="U24" i="60"/>
  <c r="U92" i="113"/>
  <c r="U93" i="113"/>
  <c r="U94" i="113"/>
  <c r="T95" i="113"/>
  <c r="U40" i="60"/>
  <c r="Q58" i="64"/>
  <c r="Q99" i="60"/>
  <c r="U23" i="60"/>
  <c r="S43" i="60"/>
  <c r="S38" i="60"/>
  <c r="R99" i="60"/>
  <c r="S18" i="72" s="1"/>
  <c r="R58" i="64"/>
  <c r="T23" i="60"/>
  <c r="U41" i="60"/>
  <c r="S15" i="72" l="1"/>
  <c r="T20" i="60"/>
  <c r="T25" i="60"/>
  <c r="W11" i="60"/>
  <c r="W16" i="60"/>
  <c r="R18" i="72"/>
  <c r="AN18" i="72"/>
  <c r="W78" i="113"/>
  <c r="W79" i="113" s="1"/>
  <c r="W81" i="113"/>
  <c r="W83" i="113" s="1"/>
  <c r="W85" i="113" s="1"/>
  <c r="W90" i="113" s="1"/>
  <c r="W87" i="113"/>
  <c r="X80" i="113"/>
  <c r="U20" i="60"/>
  <c r="U25" i="60"/>
  <c r="U18" i="78" s="1"/>
  <c r="V92" i="113"/>
  <c r="V94" i="113"/>
  <c r="V93" i="113"/>
  <c r="S20" i="78"/>
  <c r="S21" i="78" s="1"/>
  <c r="S45" i="60"/>
  <c r="T57" i="64" s="1"/>
  <c r="W60" i="113"/>
  <c r="W54" i="113"/>
  <c r="W56" i="113" s="1"/>
  <c r="W58" i="113" s="1"/>
  <c r="W63" i="113" s="1"/>
  <c r="W51" i="113"/>
  <c r="W52" i="113" s="1"/>
  <c r="X53" i="113"/>
  <c r="U68" i="113"/>
  <c r="V22" i="60"/>
  <c r="V17" i="78"/>
  <c r="S99" i="60"/>
  <c r="T18" i="72" s="1"/>
  <c r="S58" i="64"/>
  <c r="W24" i="113"/>
  <c r="W25" i="113" s="1"/>
  <c r="W27" i="113"/>
  <c r="W29" i="113" s="1"/>
  <c r="W31" i="113" s="1"/>
  <c r="X13" i="60" s="1"/>
  <c r="W33" i="113"/>
  <c r="X26" i="113"/>
  <c r="U38" i="60"/>
  <c r="U43" i="60"/>
  <c r="U20" i="78" s="1"/>
  <c r="V42" i="60"/>
  <c r="V41" i="60"/>
  <c r="V65" i="113"/>
  <c r="V66" i="113"/>
  <c r="V67" i="113"/>
  <c r="V23" i="60"/>
  <c r="U95" i="113"/>
  <c r="V40" i="60"/>
  <c r="V24" i="60"/>
  <c r="U21" i="78" l="1"/>
  <c r="X78" i="113"/>
  <c r="X79" i="113" s="1"/>
  <c r="X81" i="113"/>
  <c r="X83" i="113" s="1"/>
  <c r="X85" i="113" s="1"/>
  <c r="X90" i="113" s="1"/>
  <c r="Y80" i="113"/>
  <c r="X87" i="113"/>
  <c r="V95" i="113"/>
  <c r="W40" i="60"/>
  <c r="V43" i="60"/>
  <c r="V38" i="60"/>
  <c r="S108" i="60"/>
  <c r="S102" i="60" s="1"/>
  <c r="W17" i="78"/>
  <c r="W41" i="60"/>
  <c r="T14" i="72"/>
  <c r="V25" i="60"/>
  <c r="V18" i="78" s="1"/>
  <c r="V20" i="60"/>
  <c r="W42" i="60"/>
  <c r="T18" i="78"/>
  <c r="T21" i="78" s="1"/>
  <c r="W93" i="113"/>
  <c r="W92" i="113"/>
  <c r="W94" i="113"/>
  <c r="X51" i="113"/>
  <c r="X52" i="113" s="1"/>
  <c r="Y53" i="113"/>
  <c r="X60" i="113"/>
  <c r="X54" i="113"/>
  <c r="X56" i="113" s="1"/>
  <c r="X58" i="113" s="1"/>
  <c r="X63" i="113" s="1"/>
  <c r="W24" i="60"/>
  <c r="X24" i="113"/>
  <c r="X25" i="113" s="1"/>
  <c r="X27" i="113"/>
  <c r="X29" i="113" s="1"/>
  <c r="X31" i="113" s="1"/>
  <c r="Y13" i="60" s="1"/>
  <c r="Y26" i="113"/>
  <c r="X33" i="113"/>
  <c r="W23" i="60"/>
  <c r="W65" i="113"/>
  <c r="W66" i="113"/>
  <c r="W67" i="113"/>
  <c r="V68" i="113"/>
  <c r="W22" i="60"/>
  <c r="X16" i="60"/>
  <c r="X17" i="78" s="1"/>
  <c r="X11" i="60"/>
  <c r="N89" i="60"/>
  <c r="M89" i="60"/>
  <c r="L89" i="60"/>
  <c r="K89" i="60"/>
  <c r="J89" i="60"/>
  <c r="I89" i="60"/>
  <c r="H89" i="60"/>
  <c r="G89" i="60"/>
  <c r="F89" i="60"/>
  <c r="E89" i="60"/>
  <c r="O64" i="60"/>
  <c r="N64" i="60"/>
  <c r="M64" i="60"/>
  <c r="L64" i="60"/>
  <c r="K64" i="60"/>
  <c r="J64" i="60"/>
  <c r="I64" i="60"/>
  <c r="H64" i="60"/>
  <c r="G64" i="60"/>
  <c r="F64" i="60"/>
  <c r="E64" i="60"/>
  <c r="O80" i="60"/>
  <c r="N80" i="60"/>
  <c r="M80" i="60"/>
  <c r="L80" i="60"/>
  <c r="K80" i="60"/>
  <c r="J80" i="60"/>
  <c r="I80" i="60"/>
  <c r="H80" i="60"/>
  <c r="G80" i="60"/>
  <c r="F80" i="60"/>
  <c r="E80" i="60"/>
  <c r="V89" i="60" l="1"/>
  <c r="I32" i="78"/>
  <c r="J88" i="60"/>
  <c r="X23" i="60"/>
  <c r="W89" i="60"/>
  <c r="J32" i="78"/>
  <c r="K88" i="60"/>
  <c r="W68" i="113"/>
  <c r="X22" i="60"/>
  <c r="L79" i="60"/>
  <c r="X80" i="60"/>
  <c r="L31" i="78"/>
  <c r="M63" i="60"/>
  <c r="Y64" i="60"/>
  <c r="Z80" i="60"/>
  <c r="N79" i="60"/>
  <c r="M32" i="78"/>
  <c r="Z89" i="60"/>
  <c r="N88" i="60"/>
  <c r="O79" i="60"/>
  <c r="AA80" i="60"/>
  <c r="V20" i="78"/>
  <c r="V21" i="78" s="1"/>
  <c r="D64" i="60"/>
  <c r="O53" i="20"/>
  <c r="X42" i="60"/>
  <c r="Q80" i="60"/>
  <c r="E79" i="60"/>
  <c r="Q64" i="60"/>
  <c r="D31" i="78"/>
  <c r="E63" i="60"/>
  <c r="Q89" i="60"/>
  <c r="D32" i="78"/>
  <c r="E88" i="60"/>
  <c r="Z26" i="113"/>
  <c r="Y24" i="113"/>
  <c r="Y25" i="113" s="1"/>
  <c r="Y33" i="113"/>
  <c r="Y27" i="113"/>
  <c r="Y29" i="113" s="1"/>
  <c r="Y31" i="113" s="1"/>
  <c r="Z13" i="60" s="1"/>
  <c r="W95" i="113"/>
  <c r="X40" i="60"/>
  <c r="V80" i="60"/>
  <c r="J79" i="60"/>
  <c r="I31" i="78"/>
  <c r="J63" i="60"/>
  <c r="V64" i="60"/>
  <c r="J31" i="78"/>
  <c r="K63" i="60"/>
  <c r="W64" i="60"/>
  <c r="X67" i="113"/>
  <c r="X65" i="113"/>
  <c r="X66" i="113"/>
  <c r="X64" i="60"/>
  <c r="K31" i="78"/>
  <c r="L63" i="60"/>
  <c r="X89" i="60"/>
  <c r="L88" i="60"/>
  <c r="K32" i="78"/>
  <c r="Y80" i="60"/>
  <c r="M79" i="60"/>
  <c r="M88" i="60"/>
  <c r="L32" i="78"/>
  <c r="Y89" i="60"/>
  <c r="Y51" i="113"/>
  <c r="Y52" i="113" s="1"/>
  <c r="Y60" i="113"/>
  <c r="Y54" i="113"/>
  <c r="Y56" i="113" s="1"/>
  <c r="Y58" i="113" s="1"/>
  <c r="Y63" i="113" s="1"/>
  <c r="Z53" i="113"/>
  <c r="Z64" i="60"/>
  <c r="M31" i="78"/>
  <c r="N63" i="60"/>
  <c r="N31" i="78"/>
  <c r="O63" i="60"/>
  <c r="AA64" i="60"/>
  <c r="O89" i="60"/>
  <c r="T15" i="72"/>
  <c r="Y87" i="113"/>
  <c r="Y81" i="113"/>
  <c r="Y83" i="113" s="1"/>
  <c r="Y85" i="113" s="1"/>
  <c r="Y90" i="113" s="1"/>
  <c r="Y78" i="113"/>
  <c r="Y79" i="113" s="1"/>
  <c r="Z80" i="113"/>
  <c r="D80" i="60"/>
  <c r="O69" i="20"/>
  <c r="X92" i="113"/>
  <c r="X94" i="113"/>
  <c r="X93" i="113"/>
  <c r="R80" i="60"/>
  <c r="F79" i="60"/>
  <c r="E31" i="78"/>
  <c r="R64" i="60"/>
  <c r="F63" i="60"/>
  <c r="F88" i="60"/>
  <c r="E32" i="78"/>
  <c r="R89" i="60"/>
  <c r="W25" i="60"/>
  <c r="W20" i="60"/>
  <c r="D14" i="65"/>
  <c r="D14" i="115"/>
  <c r="Y11" i="60"/>
  <c r="Y16" i="60"/>
  <c r="X41" i="60"/>
  <c r="T25" i="72"/>
  <c r="K79" i="60"/>
  <c r="W80" i="60"/>
  <c r="G79" i="60"/>
  <c r="S80" i="60"/>
  <c r="G63" i="60"/>
  <c r="F31" i="78"/>
  <c r="S64" i="60"/>
  <c r="G88" i="60"/>
  <c r="S89" i="60"/>
  <c r="F32" i="78"/>
  <c r="W43" i="60"/>
  <c r="W20" i="78" s="1"/>
  <c r="W38" i="60"/>
  <c r="H79" i="60"/>
  <c r="T80" i="60"/>
  <c r="H63" i="60"/>
  <c r="T64" i="60"/>
  <c r="G31" i="78"/>
  <c r="H88" i="60"/>
  <c r="G32" i="78"/>
  <c r="T89" i="60"/>
  <c r="U80" i="60"/>
  <c r="I79" i="60"/>
  <c r="I63" i="60"/>
  <c r="H31" i="78"/>
  <c r="U64" i="60"/>
  <c r="I88" i="60"/>
  <c r="U89" i="60"/>
  <c r="H32" i="78"/>
  <c r="X24" i="60"/>
  <c r="T99" i="60"/>
  <c r="U18" i="72" s="1"/>
  <c r="T58" i="64"/>
  <c r="K20" i="72" l="1"/>
  <c r="O20" i="72"/>
  <c r="F20" i="72"/>
  <c r="E20" i="72"/>
  <c r="K33" i="78"/>
  <c r="G33" i="78"/>
  <c r="D33" i="78"/>
  <c r="I20" i="72"/>
  <c r="F33" i="78"/>
  <c r="L20" i="72"/>
  <c r="Y24" i="60"/>
  <c r="AC80" i="60"/>
  <c r="Q79" i="60"/>
  <c r="K21" i="72"/>
  <c r="K22" i="72" s="1"/>
  <c r="K23" i="72" s="1"/>
  <c r="K28" i="72" s="1"/>
  <c r="K107" i="60"/>
  <c r="K101" i="60" s="1"/>
  <c r="K103" i="60" s="1"/>
  <c r="F21" i="72"/>
  <c r="F107" i="60"/>
  <c r="F101" i="60" s="1"/>
  <c r="F103" i="60" s="1"/>
  <c r="Z16" i="60"/>
  <c r="E14" i="65"/>
  <c r="Z11" i="60"/>
  <c r="E14" i="115"/>
  <c r="Z54" i="113"/>
  <c r="Z56" i="113" s="1"/>
  <c r="Z58" i="113" s="1"/>
  <c r="Z60" i="113"/>
  <c r="Z51" i="113"/>
  <c r="Z52" i="113" s="1"/>
  <c r="R63" i="60"/>
  <c r="AD64" i="60"/>
  <c r="R31" i="78"/>
  <c r="Y65" i="113"/>
  <c r="Y67" i="113"/>
  <c r="Y66" i="113"/>
  <c r="E81" i="115"/>
  <c r="AL80" i="60"/>
  <c r="E81" i="65"/>
  <c r="E80" i="65" s="1"/>
  <c r="Z79" i="60"/>
  <c r="H21" i="72"/>
  <c r="H107" i="60"/>
  <c r="H101" i="60" s="1"/>
  <c r="H103" i="60" s="1"/>
  <c r="S63" i="60"/>
  <c r="AE64" i="60"/>
  <c r="S31" i="78"/>
  <c r="E33" i="78"/>
  <c r="C31" i="78"/>
  <c r="P64" i="60"/>
  <c r="D63" i="60"/>
  <c r="D19" i="81"/>
  <c r="D65" i="115"/>
  <c r="D65" i="65"/>
  <c r="Y63" i="60"/>
  <c r="AK64" i="60"/>
  <c r="Z31" i="78"/>
  <c r="U32" i="78"/>
  <c r="U88" i="60"/>
  <c r="AG89" i="60"/>
  <c r="D79" i="60"/>
  <c r="P80" i="60"/>
  <c r="L21" i="72"/>
  <c r="L107" i="60"/>
  <c r="L101" i="60" s="1"/>
  <c r="L103" i="60" s="1"/>
  <c r="V31" i="78"/>
  <c r="V63" i="60"/>
  <c r="AH64" i="60"/>
  <c r="E21" i="72"/>
  <c r="E22" i="72" s="1"/>
  <c r="E23" i="72" s="1"/>
  <c r="E28" i="72" s="1"/>
  <c r="E107" i="60"/>
  <c r="E101" i="60" s="1"/>
  <c r="E103" i="60" s="1"/>
  <c r="M20" i="72"/>
  <c r="J21" i="72"/>
  <c r="J107" i="60"/>
  <c r="J101" i="60" s="1"/>
  <c r="J103" i="60" s="1"/>
  <c r="I107" i="60"/>
  <c r="I101" i="60" s="1"/>
  <c r="I103" i="60" s="1"/>
  <c r="I21" i="72"/>
  <c r="T31" i="78"/>
  <c r="T63" i="60"/>
  <c r="AF64" i="60"/>
  <c r="G20" i="72"/>
  <c r="D17" i="115"/>
  <c r="D12" i="115"/>
  <c r="AD80" i="60"/>
  <c r="R79" i="60"/>
  <c r="Z87" i="113"/>
  <c r="Z81" i="113"/>
  <c r="Z83" i="113" s="1"/>
  <c r="Z85" i="113" s="1"/>
  <c r="Z78" i="113"/>
  <c r="Z79" i="113" s="1"/>
  <c r="X32" i="78"/>
  <c r="AJ89" i="60"/>
  <c r="X88" i="60"/>
  <c r="J20" i="72"/>
  <c r="L33" i="78"/>
  <c r="I33" i="78"/>
  <c r="E90" i="65"/>
  <c r="E89" i="65" s="1"/>
  <c r="AL89" i="60"/>
  <c r="AA32" i="78"/>
  <c r="Z88" i="60"/>
  <c r="E90" i="115"/>
  <c r="E89" i="115" s="1"/>
  <c r="N32" i="78"/>
  <c r="N33" i="78" s="1"/>
  <c r="O88" i="60"/>
  <c r="AA89" i="60"/>
  <c r="F19" i="81" s="1"/>
  <c r="W63" i="60"/>
  <c r="W31" i="78"/>
  <c r="AI64" i="60"/>
  <c r="T88" i="60"/>
  <c r="T32" i="78"/>
  <c r="AF89" i="60"/>
  <c r="AE89" i="60"/>
  <c r="S32" i="78"/>
  <c r="S88" i="60"/>
  <c r="F65" i="115"/>
  <c r="F64" i="115" s="1"/>
  <c r="AM64" i="60"/>
  <c r="AA63" i="60"/>
  <c r="F65" i="65"/>
  <c r="F64" i="65" s="1"/>
  <c r="AB31" i="78"/>
  <c r="AI89" i="60"/>
  <c r="W32" i="78"/>
  <c r="W88" i="60"/>
  <c r="G21" i="72"/>
  <c r="G107" i="60"/>
  <c r="G101" i="60" s="1"/>
  <c r="G103" i="60" s="1"/>
  <c r="O78" i="20"/>
  <c r="D89" i="60"/>
  <c r="J33" i="78"/>
  <c r="R53" i="20"/>
  <c r="R60" i="20" s="1"/>
  <c r="D25" i="76"/>
  <c r="O60" i="20"/>
  <c r="D8" i="81"/>
  <c r="Z17" i="78"/>
  <c r="R69" i="20"/>
  <c r="R75" i="20" s="1"/>
  <c r="O75" i="20"/>
  <c r="D26" i="76"/>
  <c r="Z27" i="113"/>
  <c r="Z29" i="113" s="1"/>
  <c r="Z31" i="113" s="1"/>
  <c r="Z33" i="113"/>
  <c r="Z24" i="113"/>
  <c r="Z25" i="113" s="1"/>
  <c r="AG64" i="60"/>
  <c r="U31" i="78"/>
  <c r="U63" i="60"/>
  <c r="H20" i="72"/>
  <c r="S79" i="60"/>
  <c r="AE80" i="60"/>
  <c r="D17" i="65"/>
  <c r="D12" i="65"/>
  <c r="Y41" i="60"/>
  <c r="D90" i="115"/>
  <c r="AK89" i="60"/>
  <c r="Y88" i="60"/>
  <c r="Z32" i="78"/>
  <c r="D90" i="65"/>
  <c r="Q32" i="78"/>
  <c r="Q88" i="60"/>
  <c r="AC89" i="60"/>
  <c r="AJ80" i="60"/>
  <c r="X79" i="60"/>
  <c r="V32" i="78"/>
  <c r="AH89" i="60"/>
  <c r="V88" i="60"/>
  <c r="H33" i="78"/>
  <c r="AF80" i="60"/>
  <c r="T79" i="60"/>
  <c r="Y42" i="60"/>
  <c r="Y92" i="113"/>
  <c r="Y94" i="113"/>
  <c r="Y93" i="113"/>
  <c r="AM80" i="60"/>
  <c r="F81" i="115"/>
  <c r="AA79" i="60"/>
  <c r="F81" i="65"/>
  <c r="F80" i="65" s="1"/>
  <c r="AI80" i="60"/>
  <c r="W79" i="60"/>
  <c r="X95" i="113"/>
  <c r="Y40" i="60"/>
  <c r="N20" i="72"/>
  <c r="M21" i="72"/>
  <c r="M107" i="60"/>
  <c r="M101" i="60" s="1"/>
  <c r="M103" i="60" s="1"/>
  <c r="X31" i="78"/>
  <c r="X63" i="60"/>
  <c r="AJ64" i="60"/>
  <c r="AH80" i="60"/>
  <c r="V79" i="60"/>
  <c r="X20" i="60"/>
  <c r="X25" i="60"/>
  <c r="X18" i="78" s="1"/>
  <c r="W18" i="78"/>
  <c r="W21" i="78" s="1"/>
  <c r="M33" i="78"/>
  <c r="Y23" i="60"/>
  <c r="X43" i="60"/>
  <c r="X20" i="78" s="1"/>
  <c r="X38" i="60"/>
  <c r="Q31" i="78"/>
  <c r="AC64" i="60"/>
  <c r="Q63" i="60"/>
  <c r="U79" i="60"/>
  <c r="AG80" i="60"/>
  <c r="R88" i="60"/>
  <c r="R32" i="78"/>
  <c r="AD89" i="60"/>
  <c r="Z63" i="60"/>
  <c r="AL64" i="60"/>
  <c r="AA31" i="78"/>
  <c r="E65" i="65"/>
  <c r="E64" i="65" s="1"/>
  <c r="E65" i="115"/>
  <c r="E64" i="115" s="1"/>
  <c r="E19" i="81"/>
  <c r="AK80" i="60"/>
  <c r="D81" i="65"/>
  <c r="D81" i="115"/>
  <c r="Y79" i="60"/>
  <c r="X68" i="113"/>
  <c r="Y22" i="60"/>
  <c r="N21" i="72"/>
  <c r="N107" i="60"/>
  <c r="N101" i="60" s="1"/>
  <c r="N103" i="60" s="1"/>
  <c r="F22" i="72" l="1"/>
  <c r="F23" i="72" s="1"/>
  <c r="F28" i="72" s="1"/>
  <c r="S61" i="113"/>
  <c r="T112" i="60" s="1"/>
  <c r="U34" i="113"/>
  <c r="V111" i="60" s="1"/>
  <c r="Y88" i="113"/>
  <c r="Z114" i="60" s="1"/>
  <c r="I22" i="72"/>
  <c r="I23" i="72" s="1"/>
  <c r="I28" i="72" s="1"/>
  <c r="L22" i="72"/>
  <c r="L23" i="72" s="1"/>
  <c r="L28" i="72" s="1"/>
  <c r="R33" i="78"/>
  <c r="Y20" i="72"/>
  <c r="AA20" i="72"/>
  <c r="W33" i="78"/>
  <c r="T33" i="78"/>
  <c r="S33" i="78"/>
  <c r="X33" i="78"/>
  <c r="T20" i="72"/>
  <c r="S20" i="72"/>
  <c r="AA33" i="78"/>
  <c r="S88" i="113"/>
  <c r="T114" i="60" s="1"/>
  <c r="V33" i="78"/>
  <c r="W88" i="113"/>
  <c r="X114" i="60" s="1"/>
  <c r="V20" i="72"/>
  <c r="U20" i="72"/>
  <c r="N22" i="72"/>
  <c r="N23" i="72" s="1"/>
  <c r="N28" i="72" s="1"/>
  <c r="AB20" i="72"/>
  <c r="U88" i="113"/>
  <c r="V114" i="60" s="1"/>
  <c r="W20" i="72"/>
  <c r="X88" i="113"/>
  <c r="Y114" i="60" s="1"/>
  <c r="X20" i="72"/>
  <c r="AC20" i="72"/>
  <c r="Z41" i="60"/>
  <c r="AV80" i="60"/>
  <c r="AJ79" i="60"/>
  <c r="O81" i="65"/>
  <c r="O80" i="65" s="1"/>
  <c r="O81" i="115"/>
  <c r="P26" i="76"/>
  <c r="D26" i="91"/>
  <c r="AA17" i="78"/>
  <c r="E8" i="81"/>
  <c r="D23" i="65"/>
  <c r="Y20" i="60"/>
  <c r="D23" i="115"/>
  <c r="Y25" i="60"/>
  <c r="Z42" i="60"/>
  <c r="AC88" i="60"/>
  <c r="AD32" i="78"/>
  <c r="H90" i="115"/>
  <c r="H89" i="115" s="1"/>
  <c r="AO89" i="60"/>
  <c r="H90" i="65"/>
  <c r="H89" i="65" s="1"/>
  <c r="J19" i="81"/>
  <c r="AF31" i="78"/>
  <c r="AE63" i="60"/>
  <c r="AQ64" i="60"/>
  <c r="J65" i="115"/>
  <c r="J64" i="115" s="1"/>
  <c r="J65" i="65"/>
  <c r="J64" i="65" s="1"/>
  <c r="AP64" i="60"/>
  <c r="I65" i="65"/>
  <c r="I64" i="65" s="1"/>
  <c r="I19" i="81"/>
  <c r="I65" i="115"/>
  <c r="I64" i="115" s="1"/>
  <c r="AD63" i="60"/>
  <c r="AE31" i="78"/>
  <c r="AE32" i="78"/>
  <c r="I90" i="65"/>
  <c r="I89" i="65" s="1"/>
  <c r="AP89" i="60"/>
  <c r="I90" i="115"/>
  <c r="I89" i="115" s="1"/>
  <c r="AD88" i="60"/>
  <c r="Y95" i="113"/>
  <c r="Z40" i="60"/>
  <c r="R21" i="72"/>
  <c r="Q107" i="60"/>
  <c r="Q101" i="60" s="1"/>
  <c r="AQ80" i="60"/>
  <c r="AE79" i="60"/>
  <c r="J81" i="65"/>
  <c r="J80" i="65" s="1"/>
  <c r="J81" i="115"/>
  <c r="F90" i="65"/>
  <c r="F89" i="65" s="1"/>
  <c r="AA88" i="60"/>
  <c r="F90" i="115"/>
  <c r="F89" i="115" s="1"/>
  <c r="AB32" i="78"/>
  <c r="AB33" i="78" s="1"/>
  <c r="AM89" i="60"/>
  <c r="AT64" i="60"/>
  <c r="M65" i="65"/>
  <c r="M64" i="65" s="1"/>
  <c r="AI31" i="78"/>
  <c r="M19" i="81"/>
  <c r="AH63" i="60"/>
  <c r="M65" i="115"/>
  <c r="M64" i="115" s="1"/>
  <c r="AK63" i="60"/>
  <c r="AW64" i="60"/>
  <c r="D43" i="115"/>
  <c r="D43" i="65"/>
  <c r="O107" i="60"/>
  <c r="O101" i="60" s="1"/>
  <c r="O103" i="60" s="1"/>
  <c r="O21" i="72"/>
  <c r="O22" i="72" s="1"/>
  <c r="O23" i="72" s="1"/>
  <c r="O28" i="72" s="1"/>
  <c r="AJ88" i="60"/>
  <c r="O90" i="65"/>
  <c r="O89" i="65" s="1"/>
  <c r="AK32" i="78"/>
  <c r="O90" i="115"/>
  <c r="O89" i="115" s="1"/>
  <c r="AV89" i="60"/>
  <c r="AF63" i="60"/>
  <c r="K65" i="115"/>
  <c r="K64" i="115" s="1"/>
  <c r="K65" i="65"/>
  <c r="K64" i="65" s="1"/>
  <c r="K19" i="81"/>
  <c r="AG31" i="78"/>
  <c r="AR64" i="60"/>
  <c r="S21" i="72"/>
  <c r="R107" i="60"/>
  <c r="R101" i="60" s="1"/>
  <c r="S107" i="60"/>
  <c r="S101" i="60" s="1"/>
  <c r="T21" i="72"/>
  <c r="N81" i="65"/>
  <c r="N80" i="65" s="1"/>
  <c r="AI79" i="60"/>
  <c r="N81" i="115"/>
  <c r="AU80" i="60"/>
  <c r="Z33" i="78"/>
  <c r="K81" i="65"/>
  <c r="K80" i="65" s="1"/>
  <c r="AF79" i="60"/>
  <c r="AR80" i="60"/>
  <c r="K81" i="115"/>
  <c r="U33" i="78"/>
  <c r="N90" i="65"/>
  <c r="N89" i="65" s="1"/>
  <c r="N90" i="115"/>
  <c r="N89" i="115" s="1"/>
  <c r="AU89" i="60"/>
  <c r="AJ32" i="78"/>
  <c r="AI88" i="60"/>
  <c r="AF32" i="78"/>
  <c r="J90" i="65"/>
  <c r="J89" i="65" s="1"/>
  <c r="AE88" i="60"/>
  <c r="J90" i="115"/>
  <c r="J89" i="115" s="1"/>
  <c r="AQ89" i="60"/>
  <c r="AB21" i="72"/>
  <c r="H81" i="115"/>
  <c r="AC79" i="60"/>
  <c r="H81" i="65"/>
  <c r="H80" i="65" s="1"/>
  <c r="AO80" i="60"/>
  <c r="AW80" i="60"/>
  <c r="AK79" i="60"/>
  <c r="R20" i="72"/>
  <c r="AK88" i="60"/>
  <c r="AW89" i="60"/>
  <c r="L65" i="115"/>
  <c r="L64" i="115" s="1"/>
  <c r="AH31" i="78"/>
  <c r="L65" i="65"/>
  <c r="L64" i="65" s="1"/>
  <c r="AG63" i="60"/>
  <c r="AS64" i="60"/>
  <c r="L19" i="81"/>
  <c r="W34" i="113"/>
  <c r="X111" i="60" s="1"/>
  <c r="AR89" i="60"/>
  <c r="AG32" i="78"/>
  <c r="AF88" i="60"/>
  <c r="K90" i="115"/>
  <c r="K89" i="115" s="1"/>
  <c r="K90" i="65"/>
  <c r="K89" i="65" s="1"/>
  <c r="Z90" i="113"/>
  <c r="AA80" i="113"/>
  <c r="T88" i="113"/>
  <c r="U114" i="60" s="1"/>
  <c r="D20" i="72"/>
  <c r="AL79" i="60"/>
  <c r="AX80" i="60"/>
  <c r="D25" i="115"/>
  <c r="D25" i="65"/>
  <c r="AL63" i="60"/>
  <c r="AX64" i="60"/>
  <c r="AK31" i="78"/>
  <c r="AJ63" i="60"/>
  <c r="O65" i="65"/>
  <c r="O64" i="65" s="1"/>
  <c r="O65" i="115"/>
  <c r="O64" i="115" s="1"/>
  <c r="AV64" i="60"/>
  <c r="O19" i="81"/>
  <c r="O84" i="20"/>
  <c r="R78" i="20"/>
  <c r="R84" i="20" s="1"/>
  <c r="D27" i="76"/>
  <c r="D40" i="76" s="1"/>
  <c r="D24" i="115"/>
  <c r="D24" i="65"/>
  <c r="AY64" i="60"/>
  <c r="AM63" i="60"/>
  <c r="Y21" i="72"/>
  <c r="X107" i="60"/>
  <c r="G22" i="72"/>
  <c r="G23" i="72" s="1"/>
  <c r="G28" i="72" s="1"/>
  <c r="D89" i="65"/>
  <c r="X21" i="72"/>
  <c r="W107" i="60"/>
  <c r="D64" i="65"/>
  <c r="H22" i="72"/>
  <c r="H23" i="72" s="1"/>
  <c r="H28" i="72" s="1"/>
  <c r="AG79" i="60"/>
  <c r="L81" i="65"/>
  <c r="L80" i="65" s="1"/>
  <c r="L81" i="115"/>
  <c r="AS80" i="60"/>
  <c r="D64" i="115"/>
  <c r="Z61" i="113"/>
  <c r="AA112" i="60" s="1"/>
  <c r="O61" i="113"/>
  <c r="P112" i="60" s="1"/>
  <c r="P61" i="113"/>
  <c r="Q112" i="60" s="1"/>
  <c r="Q61" i="113"/>
  <c r="R112" i="60" s="1"/>
  <c r="T61" i="113"/>
  <c r="U112" i="60" s="1"/>
  <c r="X61" i="113"/>
  <c r="Y112" i="60" s="1"/>
  <c r="V61" i="113"/>
  <c r="W112" i="60" s="1"/>
  <c r="R61" i="113"/>
  <c r="S112" i="60" s="1"/>
  <c r="U61" i="113"/>
  <c r="V112" i="60" s="1"/>
  <c r="D80" i="65"/>
  <c r="AA21" i="72"/>
  <c r="Z63" i="113"/>
  <c r="AA53" i="113"/>
  <c r="AD31" i="78"/>
  <c r="H65" i="115"/>
  <c r="H64" i="115" s="1"/>
  <c r="H19" i="81"/>
  <c r="AC63" i="60"/>
  <c r="AO64" i="60"/>
  <c r="H65" i="65"/>
  <c r="H64" i="65" s="1"/>
  <c r="X21" i="78"/>
  <c r="V88" i="113"/>
  <c r="W114" i="60" s="1"/>
  <c r="W21" i="72"/>
  <c r="V107" i="60"/>
  <c r="D89" i="115"/>
  <c r="D25" i="91"/>
  <c r="P25" i="76"/>
  <c r="AL88" i="60"/>
  <c r="AX89" i="60"/>
  <c r="Z88" i="113"/>
  <c r="AA114" i="60" s="1"/>
  <c r="O88" i="113"/>
  <c r="P114" i="60" s="1"/>
  <c r="P88" i="113"/>
  <c r="Q114" i="60" s="1"/>
  <c r="Q88" i="113"/>
  <c r="R114" i="60" s="1"/>
  <c r="R88" i="113"/>
  <c r="S114" i="60" s="1"/>
  <c r="AB80" i="60"/>
  <c r="P79" i="60"/>
  <c r="AB64" i="60"/>
  <c r="P31" i="78"/>
  <c r="P63" i="60"/>
  <c r="Q33" i="78"/>
  <c r="M90" i="115"/>
  <c r="M89" i="115" s="1"/>
  <c r="AH88" i="60"/>
  <c r="M90" i="65"/>
  <c r="M89" i="65" s="1"/>
  <c r="AT89" i="60"/>
  <c r="AI32" i="78"/>
  <c r="D42" i="65"/>
  <c r="D42" i="115"/>
  <c r="Z34" i="113"/>
  <c r="AA111" i="60" s="1"/>
  <c r="O34" i="113"/>
  <c r="P111" i="60" s="1"/>
  <c r="P34" i="113"/>
  <c r="Q111" i="60" s="1"/>
  <c r="R34" i="113"/>
  <c r="S111" i="60" s="1"/>
  <c r="Q34" i="113"/>
  <c r="R111" i="60" s="1"/>
  <c r="S34" i="113"/>
  <c r="T111" i="60" s="1"/>
  <c r="X34" i="113"/>
  <c r="Y111" i="60" s="1"/>
  <c r="V34" i="113"/>
  <c r="W111" i="60" s="1"/>
  <c r="T34" i="113"/>
  <c r="U111" i="60" s="1"/>
  <c r="Y34" i="113"/>
  <c r="Z111" i="60" s="1"/>
  <c r="U21" i="72"/>
  <c r="T107" i="60"/>
  <c r="T101" i="60" s="1"/>
  <c r="J22" i="72"/>
  <c r="J23" i="72" s="1"/>
  <c r="J28" i="72" s="1"/>
  <c r="O31" i="78"/>
  <c r="Z23" i="60"/>
  <c r="E17" i="115"/>
  <c r="E12" i="115"/>
  <c r="W61" i="113"/>
  <c r="X112" i="60" s="1"/>
  <c r="AY80" i="60"/>
  <c r="AM79" i="60"/>
  <c r="AA13" i="60"/>
  <c r="AA26" i="113"/>
  <c r="AD79" i="60"/>
  <c r="I81" i="65"/>
  <c r="I80" i="65" s="1"/>
  <c r="AP80" i="60"/>
  <c r="I81" i="115"/>
  <c r="M22" i="72"/>
  <c r="M23" i="72" s="1"/>
  <c r="M28" i="72" s="1"/>
  <c r="L90" i="65"/>
  <c r="L89" i="65" s="1"/>
  <c r="L90" i="115"/>
  <c r="L89" i="115" s="1"/>
  <c r="AG88" i="60"/>
  <c r="AS89" i="60"/>
  <c r="AH32" i="78"/>
  <c r="Y61" i="113"/>
  <c r="Z112" i="60" s="1"/>
  <c r="Z24" i="60"/>
  <c r="AT80" i="60"/>
  <c r="M81" i="115"/>
  <c r="AH79" i="60"/>
  <c r="M81" i="65"/>
  <c r="M80" i="65" s="1"/>
  <c r="D41" i="115"/>
  <c r="Y43" i="60"/>
  <c r="Z20" i="78" s="1"/>
  <c r="Y38" i="60"/>
  <c r="D41" i="65"/>
  <c r="P89" i="60"/>
  <c r="D88" i="60"/>
  <c r="C32" i="78"/>
  <c r="O32" i="78" s="1"/>
  <c r="AJ31" i="78"/>
  <c r="N65" i="65"/>
  <c r="N64" i="65" s="1"/>
  <c r="N19" i="81"/>
  <c r="N65" i="115"/>
  <c r="N64" i="115" s="1"/>
  <c r="AU64" i="60"/>
  <c r="AI63" i="60"/>
  <c r="V21" i="72"/>
  <c r="U107" i="60"/>
  <c r="Y68" i="113"/>
  <c r="Z22" i="60"/>
  <c r="E12" i="65"/>
  <c r="E17" i="65"/>
  <c r="V110" i="60" l="1"/>
  <c r="N5" i="80" s="1"/>
  <c r="T110" i="60"/>
  <c r="L5" i="80" s="1"/>
  <c r="AE33" i="78"/>
  <c r="T22" i="72"/>
  <c r="T23" i="72" s="1"/>
  <c r="T28" i="72" s="1"/>
  <c r="R22" i="72"/>
  <c r="R23" i="72" s="1"/>
  <c r="R28" i="72" s="1"/>
  <c r="Q20" i="72"/>
  <c r="AI20" i="72"/>
  <c r="AK20" i="72"/>
  <c r="AD33" i="78"/>
  <c r="S22" i="72"/>
  <c r="S23" i="72" s="1"/>
  <c r="S28" i="72" s="1"/>
  <c r="AG33" i="78"/>
  <c r="AL20" i="72"/>
  <c r="AG20" i="72"/>
  <c r="U22" i="72"/>
  <c r="AH33" i="78"/>
  <c r="Z110" i="60"/>
  <c r="R5" i="80" s="1"/>
  <c r="R8" i="80" s="1"/>
  <c r="R9" i="80" s="1"/>
  <c r="R10" i="80" s="1"/>
  <c r="P110" i="60"/>
  <c r="H5" i="80" s="1"/>
  <c r="H7" i="80" s="1"/>
  <c r="W110" i="60"/>
  <c r="O5" i="80" s="1"/>
  <c r="O8" i="80" s="1"/>
  <c r="O9" i="80" s="1"/>
  <c r="O10" i="80" s="1"/>
  <c r="X110" i="60"/>
  <c r="P5" i="80" s="1"/>
  <c r="P8" i="80" s="1"/>
  <c r="P9" i="80" s="1"/>
  <c r="P10" i="80" s="1"/>
  <c r="N7" i="80"/>
  <c r="N8" i="80"/>
  <c r="N9" i="80" s="1"/>
  <c r="N10" i="80" s="1"/>
  <c r="AX79" i="60"/>
  <c r="BJ80" i="60"/>
  <c r="BD64" i="60"/>
  <c r="AR63" i="60"/>
  <c r="AY89" i="60"/>
  <c r="AM88" i="60"/>
  <c r="AI21" i="72"/>
  <c r="AS63" i="60"/>
  <c r="BE64" i="60"/>
  <c r="BG89" i="60"/>
  <c r="AU88" i="60"/>
  <c r="Q26" i="91"/>
  <c r="P26" i="91"/>
  <c r="AU63" i="60"/>
  <c r="BG64" i="60"/>
  <c r="U110" i="60"/>
  <c r="M5" i="80" s="1"/>
  <c r="AN64" i="60"/>
  <c r="G65" i="115"/>
  <c r="AB63" i="60"/>
  <c r="AC31" i="78"/>
  <c r="G65" i="65"/>
  <c r="AV63" i="60"/>
  <c r="BH64" i="60"/>
  <c r="P20" i="72"/>
  <c r="BF89" i="60"/>
  <c r="AT88" i="60"/>
  <c r="AC21" i="72"/>
  <c r="Y110" i="60"/>
  <c r="Q5" i="80" s="1"/>
  <c r="G81" i="115"/>
  <c r="AN80" i="60"/>
  <c r="G81" i="65"/>
  <c r="AB79" i="60"/>
  <c r="Z66" i="113"/>
  <c r="Z65" i="113"/>
  <c r="Z67" i="113"/>
  <c r="AB80" i="113"/>
  <c r="AA87" i="113"/>
  <c r="AA81" i="113"/>
  <c r="AA83" i="113" s="1"/>
  <c r="AA85" i="113" s="1"/>
  <c r="AA78" i="113"/>
  <c r="AA79" i="113" s="1"/>
  <c r="AW63" i="60"/>
  <c r="BI64" i="60"/>
  <c r="AP88" i="60"/>
  <c r="BB89" i="60"/>
  <c r="E24" i="65"/>
  <c r="E24" i="115"/>
  <c r="L7" i="80"/>
  <c r="L8" i="80"/>
  <c r="L9" i="80" s="1"/>
  <c r="L10" i="80" s="1"/>
  <c r="AJ21" i="72"/>
  <c r="Y107" i="60"/>
  <c r="Z94" i="113"/>
  <c r="Z92" i="113"/>
  <c r="Z93" i="113"/>
  <c r="S103" i="60"/>
  <c r="AH20" i="72"/>
  <c r="AF33" i="78"/>
  <c r="D26" i="115"/>
  <c r="D21" i="115"/>
  <c r="Z25" i="60"/>
  <c r="E23" i="65"/>
  <c r="Z20" i="60"/>
  <c r="E23" i="115"/>
  <c r="AJ33" i="78"/>
  <c r="BF80" i="60"/>
  <c r="AT79" i="60"/>
  <c r="AP79" i="60"/>
  <c r="BB80" i="60"/>
  <c r="R110" i="60"/>
  <c r="J5" i="80" s="1"/>
  <c r="AK33" i="78"/>
  <c r="AW88" i="60"/>
  <c r="BI89" i="60"/>
  <c r="BC89" i="60"/>
  <c r="AQ88" i="60"/>
  <c r="BD80" i="60"/>
  <c r="AR79" i="60"/>
  <c r="AV88" i="60"/>
  <c r="BH89" i="60"/>
  <c r="BH80" i="60"/>
  <c r="AV79" i="60"/>
  <c r="AS88" i="60"/>
  <c r="BE89" i="60"/>
  <c r="AP63" i="60"/>
  <c r="BB64" i="60"/>
  <c r="AE21" i="72"/>
  <c r="BK80" i="60"/>
  <c r="AY79" i="60"/>
  <c r="E43" i="115"/>
  <c r="E43" i="65"/>
  <c r="Q25" i="91"/>
  <c r="P25" i="91"/>
  <c r="AF21" i="72"/>
  <c r="AA54" i="113"/>
  <c r="AA56" i="113" s="1"/>
  <c r="AA58" i="113" s="1"/>
  <c r="AB53" i="113"/>
  <c r="AA60" i="113"/>
  <c r="AA51" i="113"/>
  <c r="AA52" i="113" s="1"/>
  <c r="AY63" i="60"/>
  <c r="BK64" i="60"/>
  <c r="BC64" i="60"/>
  <c r="AQ63" i="60"/>
  <c r="Z18" i="78"/>
  <c r="D12" i="81"/>
  <c r="C33" i="78"/>
  <c r="O33" i="78" s="1"/>
  <c r="S110" i="60"/>
  <c r="K5" i="80" s="1"/>
  <c r="AX63" i="60"/>
  <c r="BJ64" i="60"/>
  <c r="AJ20" i="72"/>
  <c r="D21" i="65"/>
  <c r="D26" i="65"/>
  <c r="E42" i="65"/>
  <c r="E42" i="115"/>
  <c r="D107" i="60"/>
  <c r="D101" i="60" s="1"/>
  <c r="D103" i="60" s="1"/>
  <c r="D21" i="72"/>
  <c r="P21" i="72" s="1"/>
  <c r="E25" i="65"/>
  <c r="E25" i="115"/>
  <c r="Q110" i="60"/>
  <c r="I5" i="80" s="1"/>
  <c r="BE80" i="60"/>
  <c r="AS79" i="60"/>
  <c r="AH21" i="72"/>
  <c r="AG21" i="72"/>
  <c r="AQ79" i="60"/>
  <c r="BC80" i="60"/>
  <c r="AF20" i="72"/>
  <c r="D44" i="115"/>
  <c r="D39" i="115"/>
  <c r="P32" i="78"/>
  <c r="P33" i="78" s="1"/>
  <c r="P88" i="60"/>
  <c r="AB89" i="60"/>
  <c r="G19" i="81" s="1"/>
  <c r="R103" i="60"/>
  <c r="AI33" i="78"/>
  <c r="Q103" i="60"/>
  <c r="BA89" i="60"/>
  <c r="AO88" i="60"/>
  <c r="AB26" i="113"/>
  <c r="AA33" i="113"/>
  <c r="AA24" i="113"/>
  <c r="AA25" i="113" s="1"/>
  <c r="AA27" i="113"/>
  <c r="AA29" i="113" s="1"/>
  <c r="AA31" i="113" s="1"/>
  <c r="AA110" i="60"/>
  <c r="S5" i="80" s="1"/>
  <c r="BJ89" i="60"/>
  <c r="AX88" i="60"/>
  <c r="AO63" i="60"/>
  <c r="BA64" i="60"/>
  <c r="P27" i="76"/>
  <c r="D27" i="91"/>
  <c r="D40" i="91" s="1"/>
  <c r="AR88" i="60"/>
  <c r="BD89" i="60"/>
  <c r="AW79" i="60"/>
  <c r="BI80" i="60"/>
  <c r="AL21" i="72"/>
  <c r="D44" i="65"/>
  <c r="D39" i="65"/>
  <c r="AA11" i="60"/>
  <c r="F14" i="65"/>
  <c r="AA16" i="60"/>
  <c r="F14" i="115"/>
  <c r="AE20" i="72"/>
  <c r="AO79" i="60"/>
  <c r="BA80" i="60"/>
  <c r="AK21" i="72"/>
  <c r="BG80" i="60"/>
  <c r="AU79" i="60"/>
  <c r="BF64" i="60"/>
  <c r="AT63" i="60"/>
  <c r="Z43" i="60"/>
  <c r="AA20" i="78" s="1"/>
  <c r="E41" i="65"/>
  <c r="E41" i="115"/>
  <c r="Z38" i="60"/>
  <c r="R7" i="80" l="1"/>
  <c r="P7" i="80"/>
  <c r="D108" i="65"/>
  <c r="D22" i="72"/>
  <c r="P22" i="72" s="1"/>
  <c r="H8" i="80"/>
  <c r="H9" i="80" s="1"/>
  <c r="H10" i="80" s="1"/>
  <c r="H28" i="80" s="1"/>
  <c r="H80" i="80"/>
  <c r="O7" i="80"/>
  <c r="BJ63" i="60"/>
  <c r="BV64" i="60"/>
  <c r="E21" i="115"/>
  <c r="E26" i="115"/>
  <c r="AA24" i="60"/>
  <c r="BP64" i="60"/>
  <c r="BD63" i="60"/>
  <c r="S8" i="80"/>
  <c r="S9" i="80" s="1"/>
  <c r="S10" i="80" s="1"/>
  <c r="S7" i="80"/>
  <c r="E26" i="65"/>
  <c r="E21" i="65"/>
  <c r="AB13" i="60"/>
  <c r="BK79" i="60"/>
  <c r="BW80" i="60"/>
  <c r="AA18" i="78"/>
  <c r="AA21" i="78" s="1"/>
  <c r="E12" i="81"/>
  <c r="J27" i="81"/>
  <c r="P19" i="81"/>
  <c r="BG88" i="60"/>
  <c r="BS89" i="60"/>
  <c r="F17" i="115"/>
  <c r="F12" i="115"/>
  <c r="BI79" i="60"/>
  <c r="BU80" i="60"/>
  <c r="BW64" i="60"/>
  <c r="BK63" i="60"/>
  <c r="BT89" i="60"/>
  <c r="BH88" i="60"/>
  <c r="BB88" i="60"/>
  <c r="BN89" i="60"/>
  <c r="AL31" i="78"/>
  <c r="BR64" i="60"/>
  <c r="BF63" i="60"/>
  <c r="AB17" i="78"/>
  <c r="F8" i="81"/>
  <c r="R56" i="80"/>
  <c r="R28" i="80"/>
  <c r="D107" i="65"/>
  <c r="J8" i="80"/>
  <c r="J9" i="80" s="1"/>
  <c r="J10" i="80" s="1"/>
  <c r="J7" i="80"/>
  <c r="J80" i="80"/>
  <c r="J65" i="80" s="1"/>
  <c r="D112" i="115"/>
  <c r="G80" i="65"/>
  <c r="P80" i="65" s="1"/>
  <c r="P81" i="65"/>
  <c r="AM73" i="44" s="1"/>
  <c r="AD20" i="72"/>
  <c r="AM20" i="72" s="1"/>
  <c r="AN20" i="72" s="1"/>
  <c r="F12" i="65"/>
  <c r="F17" i="65"/>
  <c r="BP89" i="60"/>
  <c r="BD88" i="60"/>
  <c r="AB33" i="113"/>
  <c r="AB24" i="113"/>
  <c r="AB25" i="113" s="1"/>
  <c r="AC26" i="113"/>
  <c r="AB27" i="113"/>
  <c r="AB29" i="113" s="1"/>
  <c r="AB31" i="113" s="1"/>
  <c r="AC13" i="60" s="1"/>
  <c r="BQ80" i="60"/>
  <c r="BE79" i="60"/>
  <c r="BN80" i="60"/>
  <c r="BB79" i="60"/>
  <c r="D114" i="115"/>
  <c r="D107" i="115"/>
  <c r="AZ80" i="60"/>
  <c r="AN79" i="60"/>
  <c r="G64" i="115"/>
  <c r="P64" i="115" s="1"/>
  <c r="AO56" i="44" s="1"/>
  <c r="P65" i="115"/>
  <c r="AO57" i="44" s="1"/>
  <c r="Z107" i="60"/>
  <c r="AA41" i="60"/>
  <c r="AB78" i="113"/>
  <c r="AB79" i="113" s="1"/>
  <c r="AB81" i="113"/>
  <c r="AB83" i="113" s="1"/>
  <c r="AB85" i="113" s="1"/>
  <c r="AB90" i="113" s="1"/>
  <c r="AC80" i="113"/>
  <c r="AB87" i="113"/>
  <c r="BT64" i="60"/>
  <c r="BH63" i="60"/>
  <c r="E39" i="115"/>
  <c r="E44" i="115"/>
  <c r="BJ88" i="60"/>
  <c r="BV89" i="60"/>
  <c r="BT80" i="60"/>
  <c r="BH79" i="60"/>
  <c r="Z95" i="113"/>
  <c r="AA40" i="60"/>
  <c r="E39" i="65"/>
  <c r="E44" i="65"/>
  <c r="BC63" i="60"/>
  <c r="BO64" i="60"/>
  <c r="AA42" i="60"/>
  <c r="Z68" i="113"/>
  <c r="AA22" i="60"/>
  <c r="G64" i="65"/>
  <c r="P64" i="65" s="1"/>
  <c r="P65" i="65"/>
  <c r="AM57" i="44" s="1"/>
  <c r="BJ79" i="60"/>
  <c r="BV80" i="60"/>
  <c r="K8" i="80"/>
  <c r="K9" i="80" s="1"/>
  <c r="K10" i="80" s="1"/>
  <c r="K7" i="80"/>
  <c r="K80" i="80"/>
  <c r="K65" i="80" s="1"/>
  <c r="AA23" i="60"/>
  <c r="BF88" i="60"/>
  <c r="BR89" i="60"/>
  <c r="BE63" i="60"/>
  <c r="BQ64" i="60"/>
  <c r="BS80" i="60"/>
  <c r="BG79" i="60"/>
  <c r="I7" i="80"/>
  <c r="I80" i="80"/>
  <c r="I65" i="80" s="1"/>
  <c r="I8" i="80"/>
  <c r="I9" i="80" s="1"/>
  <c r="I10" i="80" s="1"/>
  <c r="BB63" i="60"/>
  <c r="BN64" i="60"/>
  <c r="BD79" i="60"/>
  <c r="BP80" i="60"/>
  <c r="BI63" i="60"/>
  <c r="BU64" i="60"/>
  <c r="P81" i="115"/>
  <c r="AO73" i="44" s="1"/>
  <c r="O56" i="80"/>
  <c r="O28" i="80"/>
  <c r="AN63" i="60"/>
  <c r="AZ64" i="60"/>
  <c r="P27" i="91"/>
  <c r="Q27" i="91"/>
  <c r="Q40" i="91" s="1"/>
  <c r="Q41" i="91" s="1"/>
  <c r="BM89" i="60"/>
  <c r="BA88" i="60"/>
  <c r="AB88" i="60"/>
  <c r="AN89" i="60"/>
  <c r="AC32" i="78"/>
  <c r="AL32" i="78" s="1"/>
  <c r="AM32" i="78" s="1"/>
  <c r="G90" i="115"/>
  <c r="G90" i="65"/>
  <c r="BC79" i="60"/>
  <c r="BO80" i="60"/>
  <c r="Z21" i="78"/>
  <c r="AC53" i="113"/>
  <c r="AB54" i="113"/>
  <c r="AB56" i="113" s="1"/>
  <c r="AB58" i="113" s="1"/>
  <c r="AB63" i="113" s="1"/>
  <c r="AB60" i="113"/>
  <c r="AB51" i="113"/>
  <c r="AB52" i="113" s="1"/>
  <c r="Q8" i="80"/>
  <c r="Q9" i="80" s="1"/>
  <c r="Q10" i="80" s="1"/>
  <c r="Q7" i="80"/>
  <c r="M7" i="80"/>
  <c r="M8" i="80"/>
  <c r="M9" i="80" s="1"/>
  <c r="M10" i="80" s="1"/>
  <c r="P107" i="60"/>
  <c r="P101" i="60" s="1"/>
  <c r="Q21" i="72"/>
  <c r="AN21" i="72"/>
  <c r="AA63" i="113"/>
  <c r="BO89" i="60"/>
  <c r="BC88" i="60"/>
  <c r="BR80" i="60"/>
  <c r="BF79" i="60"/>
  <c r="N56" i="80"/>
  <c r="N28" i="80"/>
  <c r="BM80" i="60"/>
  <c r="BA79" i="60"/>
  <c r="BM64" i="60"/>
  <c r="BA63" i="60"/>
  <c r="P56" i="80"/>
  <c r="P28" i="80"/>
  <c r="BE88" i="60"/>
  <c r="BQ89" i="60"/>
  <c r="BU89" i="60"/>
  <c r="BI88" i="60"/>
  <c r="AA90" i="113"/>
  <c r="BG63" i="60"/>
  <c r="BS64" i="60"/>
  <c r="L28" i="80"/>
  <c r="L56" i="80"/>
  <c r="BK89" i="60"/>
  <c r="AY88" i="60"/>
  <c r="AO108" i="44" l="1"/>
  <c r="Q22" i="72"/>
  <c r="Q23" i="72" s="1"/>
  <c r="Q28" i="72" s="1"/>
  <c r="C39" i="61"/>
  <c r="F39" i="61" s="1"/>
  <c r="AM56" i="44"/>
  <c r="C40" i="61"/>
  <c r="F40" i="61" s="1"/>
  <c r="AM72" i="44"/>
  <c r="D23" i="72"/>
  <c r="D28" i="72" s="1"/>
  <c r="P28" i="72" s="1"/>
  <c r="BA23" i="72" s="1"/>
  <c r="AC33" i="78"/>
  <c r="E107" i="65"/>
  <c r="CD80" i="60"/>
  <c r="CD79" i="60" s="1"/>
  <c r="BR79" i="60"/>
  <c r="AB92" i="113"/>
  <c r="AB94" i="113"/>
  <c r="AB93" i="113"/>
  <c r="AM31" i="78"/>
  <c r="AL33" i="78"/>
  <c r="AM33" i="78" s="1"/>
  <c r="CC89" i="60"/>
  <c r="CC88" i="60" s="1"/>
  <c r="BQ88" i="60"/>
  <c r="BR88" i="60"/>
  <c r="CD89" i="60"/>
  <c r="CD88" i="60" s="1"/>
  <c r="BO79" i="60"/>
  <c r="CA80" i="60"/>
  <c r="CA79" i="60" s="1"/>
  <c r="BL64" i="60"/>
  <c r="AZ63" i="60"/>
  <c r="F23" i="65"/>
  <c r="AA25" i="60"/>
  <c r="F23" i="115"/>
  <c r="AA20" i="60"/>
  <c r="F42" i="65"/>
  <c r="F42" i="115"/>
  <c r="BZ80" i="60"/>
  <c r="BZ79" i="60" s="1"/>
  <c r="BN79" i="60"/>
  <c r="BN88" i="60"/>
  <c r="BZ89" i="60"/>
  <c r="BZ88" i="60" s="1"/>
  <c r="G89" i="115"/>
  <c r="P90" i="115"/>
  <c r="AO82" i="44" s="1"/>
  <c r="O62" i="80"/>
  <c r="O69" i="80"/>
  <c r="O67" i="80"/>
  <c r="F43" i="115"/>
  <c r="F43" i="65"/>
  <c r="Q81" i="65"/>
  <c r="AN73" i="44" s="1"/>
  <c r="R110" i="44"/>
  <c r="S110" i="44" s="1"/>
  <c r="D110" i="44" s="1"/>
  <c r="J28" i="81"/>
  <c r="E112" i="115"/>
  <c r="BY64" i="60"/>
  <c r="BY63" i="60" s="1"/>
  <c r="BM63" i="60"/>
  <c r="AN32" i="78"/>
  <c r="AM41" i="78"/>
  <c r="Q81" i="115"/>
  <c r="CC80" i="60"/>
  <c r="CC79" i="60" s="1"/>
  <c r="BQ79" i="60"/>
  <c r="R69" i="80"/>
  <c r="R67" i="80"/>
  <c r="R62" i="80"/>
  <c r="BT88" i="60"/>
  <c r="CF89" i="60"/>
  <c r="CF88" i="60" s="1"/>
  <c r="BV63" i="60"/>
  <c r="CH64" i="60"/>
  <c r="CH63" i="60" s="1"/>
  <c r="BU88" i="60"/>
  <c r="CG89" i="60"/>
  <c r="CG88" i="60" s="1"/>
  <c r="BZ64" i="60"/>
  <c r="BZ63" i="60" s="1"/>
  <c r="BN63" i="60"/>
  <c r="Q65" i="65"/>
  <c r="AN57" i="44" s="1"/>
  <c r="R111" i="44"/>
  <c r="S111" i="44" s="1"/>
  <c r="D111" i="44" s="1"/>
  <c r="J28" i="80"/>
  <c r="J56" i="80"/>
  <c r="CA89" i="60"/>
  <c r="CA88" i="60" s="1"/>
  <c r="BO88" i="60"/>
  <c r="CE89" i="60"/>
  <c r="CE88" i="60" s="1"/>
  <c r="BS88" i="60"/>
  <c r="CE64" i="60"/>
  <c r="CE63" i="60" s="1"/>
  <c r="BS63" i="60"/>
  <c r="Q56" i="80"/>
  <c r="Q28" i="80"/>
  <c r="I28" i="80"/>
  <c r="I56" i="80"/>
  <c r="CH89" i="60"/>
  <c r="CH88" i="60" s="1"/>
  <c r="BV88" i="60"/>
  <c r="AO20" i="72"/>
  <c r="AP20" i="72" s="1"/>
  <c r="AQ20" i="72" s="1"/>
  <c r="AN22" i="72"/>
  <c r="E114" i="115"/>
  <c r="E107" i="115"/>
  <c r="AC16" i="60"/>
  <c r="AC11" i="60"/>
  <c r="H14" i="65"/>
  <c r="H14" i="115"/>
  <c r="S28" i="80"/>
  <c r="S56" i="80"/>
  <c r="K28" i="80"/>
  <c r="K56" i="80"/>
  <c r="AD26" i="113"/>
  <c r="AC24" i="113"/>
  <c r="AC25" i="113" s="1"/>
  <c r="AC33" i="113"/>
  <c r="AC27" i="113"/>
  <c r="AC29" i="113" s="1"/>
  <c r="AC31" i="113" s="1"/>
  <c r="AD13" i="60" s="1"/>
  <c r="BW63" i="60"/>
  <c r="CI64" i="60"/>
  <c r="CI63" i="60" s="1"/>
  <c r="M56" i="80"/>
  <c r="M28" i="80"/>
  <c r="CB89" i="60"/>
  <c r="CB88" i="60" s="1"/>
  <c r="BP88" i="60"/>
  <c r="G14" i="65"/>
  <c r="G14" i="115"/>
  <c r="AB16" i="60"/>
  <c r="AB11" i="60"/>
  <c r="CF80" i="60"/>
  <c r="CF79" i="60" s="1"/>
  <c r="BT79" i="60"/>
  <c r="P62" i="80"/>
  <c r="P67" i="80"/>
  <c r="P69" i="80"/>
  <c r="G89" i="65"/>
  <c r="P90" i="65"/>
  <c r="F24" i="115"/>
  <c r="F24" i="65"/>
  <c r="AA65" i="113"/>
  <c r="AA66" i="113"/>
  <c r="AA67" i="113"/>
  <c r="AN88" i="60"/>
  <c r="AZ89" i="60"/>
  <c r="BO63" i="60"/>
  <c r="CA64" i="60"/>
  <c r="CA63" i="60" s="1"/>
  <c r="Q65" i="115"/>
  <c r="AP57" i="44" s="1"/>
  <c r="T72" i="115"/>
  <c r="BY80" i="60"/>
  <c r="BY79" i="60" s="1"/>
  <c r="BM79" i="60"/>
  <c r="P103" i="60"/>
  <c r="AD21" i="72"/>
  <c r="AO21" i="72"/>
  <c r="CG64" i="60"/>
  <c r="CG63" i="60" s="1"/>
  <c r="BU63" i="60"/>
  <c r="BK88" i="60"/>
  <c r="BW89" i="60"/>
  <c r="AA92" i="113"/>
  <c r="AA94" i="113"/>
  <c r="AA93" i="113"/>
  <c r="CF64" i="60"/>
  <c r="CF63" i="60" s="1"/>
  <c r="BT63" i="60"/>
  <c r="CG80" i="60"/>
  <c r="CG79" i="60" s="1"/>
  <c r="BU79" i="60"/>
  <c r="BW79" i="60"/>
  <c r="CI80" i="60"/>
  <c r="CI79" i="60" s="1"/>
  <c r="CB64" i="60"/>
  <c r="CB63" i="60" s="1"/>
  <c r="BP63" i="60"/>
  <c r="N69" i="80"/>
  <c r="N67" i="80"/>
  <c r="N62" i="80"/>
  <c r="AB65" i="113"/>
  <c r="AB66" i="113"/>
  <c r="AB67" i="113"/>
  <c r="BY89" i="60"/>
  <c r="BY88" i="60" s="1"/>
  <c r="BM88" i="60"/>
  <c r="CB80" i="60"/>
  <c r="CB79" i="60" s="1"/>
  <c r="BP79" i="60"/>
  <c r="BS79" i="60"/>
  <c r="CE80" i="60"/>
  <c r="CE79" i="60" s="1"/>
  <c r="CH80" i="60"/>
  <c r="CH79" i="60" s="1"/>
  <c r="BV79" i="60"/>
  <c r="E108" i="65"/>
  <c r="BL80" i="60"/>
  <c r="AZ79" i="60"/>
  <c r="F25" i="115"/>
  <c r="F25" i="65"/>
  <c r="L62" i="80"/>
  <c r="L69" i="80"/>
  <c r="L67" i="80"/>
  <c r="AC51" i="113"/>
  <c r="AC52" i="113" s="1"/>
  <c r="AC54" i="113"/>
  <c r="AC56" i="113" s="1"/>
  <c r="AC58" i="113" s="1"/>
  <c r="AD53" i="113"/>
  <c r="AC60" i="113"/>
  <c r="CC64" i="60"/>
  <c r="CC63" i="60" s="1"/>
  <c r="BQ63" i="60"/>
  <c r="AA38" i="60"/>
  <c r="AA43" i="60"/>
  <c r="AB20" i="78" s="1"/>
  <c r="F41" i="65"/>
  <c r="F41" i="115"/>
  <c r="AC87" i="113"/>
  <c r="AD80" i="113"/>
  <c r="AC78" i="113"/>
  <c r="AC79" i="113" s="1"/>
  <c r="AC81" i="113"/>
  <c r="AC83" i="113" s="1"/>
  <c r="AC85" i="113" s="1"/>
  <c r="AC90" i="113" s="1"/>
  <c r="BR63" i="60"/>
  <c r="CD64" i="60"/>
  <c r="CD63" i="60" s="1"/>
  <c r="E110" i="44" l="1"/>
  <c r="F111" i="44"/>
  <c r="E111" i="44"/>
  <c r="AR20" i="72"/>
  <c r="AM21" i="72"/>
  <c r="AR108" i="44"/>
  <c r="AR109" i="44" s="1"/>
  <c r="Q90" i="65"/>
  <c r="AN82" i="44" s="1"/>
  <c r="AM82" i="44"/>
  <c r="AM108" i="44"/>
  <c r="AM107" i="44"/>
  <c r="AM106" i="44"/>
  <c r="AP73" i="44"/>
  <c r="AS108" i="44" s="1"/>
  <c r="P23" i="72"/>
  <c r="F43" i="61"/>
  <c r="Q72" i="115"/>
  <c r="D48" i="44"/>
  <c r="AC63" i="113"/>
  <c r="BX80" i="60"/>
  <c r="BX79" i="60" s="1"/>
  <c r="BL79" i="60"/>
  <c r="AC23" i="60"/>
  <c r="BL89" i="60"/>
  <c r="AZ88" i="60"/>
  <c r="S69" i="80"/>
  <c r="S67" i="80"/>
  <c r="S62" i="80"/>
  <c r="AD81" i="113"/>
  <c r="AD83" i="113" s="1"/>
  <c r="AD85" i="113" s="1"/>
  <c r="AD90" i="113" s="1"/>
  <c r="AD87" i="113"/>
  <c r="AD78" i="113"/>
  <c r="AD79" i="113" s="1"/>
  <c r="AE80" i="113"/>
  <c r="AB68" i="113"/>
  <c r="AC22" i="60"/>
  <c r="Q90" i="115"/>
  <c r="AP82" i="44" s="1"/>
  <c r="T96" i="115"/>
  <c r="H12" i="115"/>
  <c r="H17" i="115"/>
  <c r="J69" i="80"/>
  <c r="J62" i="80"/>
  <c r="J67" i="80"/>
  <c r="P89" i="115"/>
  <c r="AO81" i="44" s="1"/>
  <c r="AM42" i="78"/>
  <c r="AN33" i="78"/>
  <c r="AB23" i="60"/>
  <c r="AN31" i="78"/>
  <c r="AM40" i="78"/>
  <c r="F39" i="115"/>
  <c r="F44" i="115"/>
  <c r="AA68" i="113"/>
  <c r="AB22" i="60"/>
  <c r="AC41" i="60"/>
  <c r="F39" i="65"/>
  <c r="F44" i="65"/>
  <c r="AB41" i="60"/>
  <c r="AD16" i="60"/>
  <c r="AD11" i="60"/>
  <c r="I14" i="65"/>
  <c r="I14" i="115"/>
  <c r="H8" i="81"/>
  <c r="AD17" i="78"/>
  <c r="Q69" i="80"/>
  <c r="Q62" i="80"/>
  <c r="Q67" i="80"/>
  <c r="BX64" i="60"/>
  <c r="BX63" i="60" s="1"/>
  <c r="BL63" i="60"/>
  <c r="AC42" i="60"/>
  <c r="AB42" i="60"/>
  <c r="AO32" i="78"/>
  <c r="AN41" i="78"/>
  <c r="AB95" i="113"/>
  <c r="AC40" i="60"/>
  <c r="G17" i="115"/>
  <c r="G12" i="115"/>
  <c r="J29" i="81"/>
  <c r="J30" i="81"/>
  <c r="J32" i="81" s="1"/>
  <c r="AP21" i="72"/>
  <c r="F26" i="115"/>
  <c r="F21" i="115"/>
  <c r="AB24" i="60"/>
  <c r="M67" i="80"/>
  <c r="M62" i="80"/>
  <c r="M69" i="80"/>
  <c r="I69" i="80"/>
  <c r="I62" i="80"/>
  <c r="I67" i="80"/>
  <c r="F12" i="81"/>
  <c r="AB18" i="78"/>
  <c r="H17" i="65"/>
  <c r="H12" i="65"/>
  <c r="R81" i="65"/>
  <c r="Q87" i="65"/>
  <c r="I110" i="44" s="1"/>
  <c r="F26" i="65"/>
  <c r="F21" i="65"/>
  <c r="AA107" i="60"/>
  <c r="AA95" i="113"/>
  <c r="AB40" i="60"/>
  <c r="BW88" i="60"/>
  <c r="CI89" i="60"/>
  <c r="CI88" i="60" s="1"/>
  <c r="AC17" i="78"/>
  <c r="G8" i="81"/>
  <c r="AE26" i="113"/>
  <c r="AD24" i="113"/>
  <c r="AD25" i="113" s="1"/>
  <c r="AD33" i="113"/>
  <c r="AD27" i="113"/>
  <c r="AD29" i="113" s="1"/>
  <c r="AD31" i="113" s="1"/>
  <c r="AE13" i="60" s="1"/>
  <c r="G75" i="44"/>
  <c r="P89" i="65"/>
  <c r="AM81" i="44" s="1"/>
  <c r="K67" i="80"/>
  <c r="K69" i="80"/>
  <c r="K62" i="80"/>
  <c r="G12" i="65"/>
  <c r="G17" i="65"/>
  <c r="C48" i="44"/>
  <c r="Q72" i="65"/>
  <c r="R65" i="65"/>
  <c r="R72" i="65" s="1"/>
  <c r="R65" i="115"/>
  <c r="AC94" i="113"/>
  <c r="AC92" i="113"/>
  <c r="AC93" i="113"/>
  <c r="AD60" i="113"/>
  <c r="AD51" i="113"/>
  <c r="AD52" i="113" s="1"/>
  <c r="AD54" i="113"/>
  <c r="AD56" i="113" s="1"/>
  <c r="AD58" i="113" s="1"/>
  <c r="AD63" i="113" s="1"/>
  <c r="AE53" i="113"/>
  <c r="AC24" i="60"/>
  <c r="AP64" i="44" l="1"/>
  <c r="J111" i="44"/>
  <c r="AN64" i="44"/>
  <c r="I111" i="44"/>
  <c r="AS20" i="72"/>
  <c r="S65" i="65"/>
  <c r="S68" i="65" s="1"/>
  <c r="C49" i="44"/>
  <c r="L49" i="44" s="1"/>
  <c r="Q96" i="65"/>
  <c r="AN88" i="44" s="1"/>
  <c r="R90" i="65"/>
  <c r="AT108" i="44"/>
  <c r="AS109" i="44"/>
  <c r="R87" i="65"/>
  <c r="AN79" i="44"/>
  <c r="I72" i="80"/>
  <c r="J34" i="81"/>
  <c r="J36" i="81" s="1"/>
  <c r="G111" i="44"/>
  <c r="H111" i="44" s="1"/>
  <c r="AE81" i="113"/>
  <c r="AE83" i="113" s="1"/>
  <c r="AE85" i="113" s="1"/>
  <c r="AE87" i="113"/>
  <c r="AE78" i="113"/>
  <c r="AE79" i="113" s="1"/>
  <c r="AF80" i="113"/>
  <c r="AD42" i="60"/>
  <c r="G25" i="115"/>
  <c r="G25" i="65"/>
  <c r="F108" i="65"/>
  <c r="G24" i="115"/>
  <c r="G24" i="65"/>
  <c r="AC65" i="113"/>
  <c r="AC66" i="113"/>
  <c r="AC67" i="113"/>
  <c r="AB21" i="78"/>
  <c r="G43" i="115"/>
  <c r="G43" i="65"/>
  <c r="AE33" i="113"/>
  <c r="AE24" i="113"/>
  <c r="AE25" i="113" s="1"/>
  <c r="AF26" i="113"/>
  <c r="AE27" i="113"/>
  <c r="AE29" i="113" s="1"/>
  <c r="AE31" i="113" s="1"/>
  <c r="AF13" i="60" s="1"/>
  <c r="G27" i="81"/>
  <c r="G28" i="81" s="1"/>
  <c r="G29" i="81" s="1"/>
  <c r="G23" i="65"/>
  <c r="AB20" i="60"/>
  <c r="AB25" i="60"/>
  <c r="G23" i="115"/>
  <c r="D49" i="44"/>
  <c r="D50" i="44" s="1"/>
  <c r="Q96" i="115"/>
  <c r="AP88" i="44" s="1"/>
  <c r="AD41" i="60"/>
  <c r="G78" i="44"/>
  <c r="G82" i="44"/>
  <c r="G86" i="44" s="1"/>
  <c r="L72" i="44"/>
  <c r="AO41" i="78"/>
  <c r="AP32" i="78"/>
  <c r="AC95" i="113"/>
  <c r="AD40" i="60"/>
  <c r="AO31" i="78"/>
  <c r="AN40" i="78"/>
  <c r="AE16" i="60"/>
  <c r="J14" i="115"/>
  <c r="J14" i="65"/>
  <c r="AE11" i="60"/>
  <c r="AD92" i="113"/>
  <c r="AD93" i="113"/>
  <c r="AD94" i="113"/>
  <c r="G41" i="115"/>
  <c r="AB43" i="60"/>
  <c r="AC20" i="78" s="1"/>
  <c r="AB38" i="60"/>
  <c r="G41" i="65"/>
  <c r="H42" i="65"/>
  <c r="H42" i="115"/>
  <c r="AN42" i="78"/>
  <c r="AO33" i="78"/>
  <c r="H25" i="65"/>
  <c r="H25" i="115"/>
  <c r="T48" i="44"/>
  <c r="F112" i="115"/>
  <c r="I17" i="115"/>
  <c r="I12" i="115"/>
  <c r="K72" i="80"/>
  <c r="F114" i="115"/>
  <c r="F107" i="115"/>
  <c r="I12" i="65"/>
  <c r="I17" i="65"/>
  <c r="AE54" i="113"/>
  <c r="AE56" i="113" s="1"/>
  <c r="AE58" i="113" s="1"/>
  <c r="AE51" i="113"/>
  <c r="AE52" i="113" s="1"/>
  <c r="AE60" i="113"/>
  <c r="AF53" i="113"/>
  <c r="L48" i="44"/>
  <c r="U73" i="44" s="1"/>
  <c r="C41" i="61"/>
  <c r="AC43" i="60"/>
  <c r="AD20" i="78" s="1"/>
  <c r="H41" i="65"/>
  <c r="H41" i="115"/>
  <c r="AC38" i="60"/>
  <c r="H43" i="65"/>
  <c r="H43" i="115"/>
  <c r="H23" i="65"/>
  <c r="AC20" i="60"/>
  <c r="AC25" i="60"/>
  <c r="H23" i="115"/>
  <c r="AQ21" i="72"/>
  <c r="E48" i="44"/>
  <c r="AD65" i="113"/>
  <c r="AD66" i="113"/>
  <c r="AD67" i="113"/>
  <c r="I8" i="81"/>
  <c r="AE17" i="78"/>
  <c r="J72" i="80"/>
  <c r="BL88" i="60"/>
  <c r="BX89" i="60"/>
  <c r="BX88" i="60" s="1"/>
  <c r="F107" i="65"/>
  <c r="G42" i="115"/>
  <c r="G42" i="65"/>
  <c r="H24" i="65"/>
  <c r="H24" i="115"/>
  <c r="K111" i="44" l="1"/>
  <c r="L111" i="44" s="1"/>
  <c r="P49" i="44"/>
  <c r="C75" i="44"/>
  <c r="C50" i="44"/>
  <c r="D51" i="44" s="1"/>
  <c r="R96" i="65"/>
  <c r="T49" i="44"/>
  <c r="AT109" i="44"/>
  <c r="P48" i="44"/>
  <c r="AE42" i="60"/>
  <c r="AE24" i="60"/>
  <c r="AD95" i="113"/>
  <c r="AE40" i="60"/>
  <c r="AQ32" i="78"/>
  <c r="AP41" i="78"/>
  <c r="AC18" i="78"/>
  <c r="G12" i="81"/>
  <c r="J17" i="115"/>
  <c r="J12" i="115"/>
  <c r="G26" i="65"/>
  <c r="G21" i="65"/>
  <c r="J8" i="81"/>
  <c r="AF17" i="78"/>
  <c r="AD24" i="60"/>
  <c r="AF60" i="113"/>
  <c r="AF51" i="113"/>
  <c r="AF52" i="113" s="1"/>
  <c r="AG53" i="113"/>
  <c r="AF54" i="113"/>
  <c r="AF56" i="113" s="1"/>
  <c r="AF58" i="113" s="1"/>
  <c r="AF63" i="113" s="1"/>
  <c r="G44" i="65"/>
  <c r="G39" i="65"/>
  <c r="AD23" i="60"/>
  <c r="AE90" i="113"/>
  <c r="AR21" i="72"/>
  <c r="AC107" i="60"/>
  <c r="AB107" i="60"/>
  <c r="I42" i="65"/>
  <c r="I42" i="115"/>
  <c r="AC68" i="113"/>
  <c r="AD22" i="60"/>
  <c r="I41" i="115"/>
  <c r="AD38" i="60"/>
  <c r="I41" i="65"/>
  <c r="AD43" i="60"/>
  <c r="AE20" i="78" s="1"/>
  <c r="F41" i="61"/>
  <c r="F54" i="61" s="1"/>
  <c r="C54" i="61"/>
  <c r="G26" i="115"/>
  <c r="G21" i="115"/>
  <c r="AE23" i="60"/>
  <c r="H26" i="65"/>
  <c r="H21" i="65"/>
  <c r="AD68" i="113"/>
  <c r="AE22" i="60"/>
  <c r="J12" i="65"/>
  <c r="J17" i="65"/>
  <c r="AF78" i="113"/>
  <c r="AF79" i="113" s="1"/>
  <c r="AG80" i="113"/>
  <c r="AF81" i="113"/>
  <c r="AF83" i="113" s="1"/>
  <c r="AF85" i="113" s="1"/>
  <c r="AF90" i="113" s="1"/>
  <c r="AF87" i="113"/>
  <c r="H39" i="115"/>
  <c r="H44" i="115"/>
  <c r="K14" i="115"/>
  <c r="K14" i="65"/>
  <c r="AF16" i="60"/>
  <c r="AF11" i="60"/>
  <c r="H39" i="65"/>
  <c r="H44" i="65"/>
  <c r="AE63" i="113"/>
  <c r="AO42" i="78"/>
  <c r="AP33" i="78"/>
  <c r="G39" i="115"/>
  <c r="G44" i="115"/>
  <c r="AP31" i="78"/>
  <c r="AO40" i="78"/>
  <c r="AG26" i="113"/>
  <c r="AF33" i="113"/>
  <c r="AF27" i="113"/>
  <c r="AF29" i="113" s="1"/>
  <c r="AF31" i="113" s="1"/>
  <c r="AF24" i="113"/>
  <c r="AF25" i="113" s="1"/>
  <c r="I43" i="115"/>
  <c r="I43" i="65"/>
  <c r="AS21" i="72"/>
  <c r="H26" i="115"/>
  <c r="H21" i="115"/>
  <c r="M49" i="44"/>
  <c r="E49" i="44"/>
  <c r="AD18" i="78"/>
  <c r="AD21" i="78" s="1"/>
  <c r="H12" i="81"/>
  <c r="U74" i="44"/>
  <c r="AE41" i="60"/>
  <c r="E50" i="44" l="1"/>
  <c r="Q49" i="44"/>
  <c r="R49" i="44" s="1"/>
  <c r="G107" i="65"/>
  <c r="H27" i="81"/>
  <c r="H28" i="81" s="1"/>
  <c r="H29" i="81" s="1"/>
  <c r="H107" i="65"/>
  <c r="H114" i="115"/>
  <c r="H107" i="115"/>
  <c r="K17" i="115"/>
  <c r="K12" i="115"/>
  <c r="AG13" i="60"/>
  <c r="I39" i="115"/>
  <c r="I44" i="115"/>
  <c r="J43" i="115"/>
  <c r="J43" i="65"/>
  <c r="AG54" i="113"/>
  <c r="AG56" i="113" s="1"/>
  <c r="AG58" i="113" s="1"/>
  <c r="AG51" i="113"/>
  <c r="AG52" i="113" s="1"/>
  <c r="AH53" i="113"/>
  <c r="AG60" i="113"/>
  <c r="G114" i="115"/>
  <c r="G107" i="115"/>
  <c r="AE92" i="113"/>
  <c r="AE94" i="113"/>
  <c r="AE93" i="113"/>
  <c r="AE43" i="60"/>
  <c r="J41" i="115"/>
  <c r="AE38" i="60"/>
  <c r="J41" i="65"/>
  <c r="AF94" i="113"/>
  <c r="AF93" i="113"/>
  <c r="AF92" i="113"/>
  <c r="I39" i="65"/>
  <c r="I44" i="65"/>
  <c r="G108" i="65"/>
  <c r="AE65" i="113"/>
  <c r="AE67" i="113"/>
  <c r="AE66" i="113"/>
  <c r="AG81" i="113"/>
  <c r="AG83" i="113" s="1"/>
  <c r="AG85" i="113" s="1"/>
  <c r="AG90" i="113" s="1"/>
  <c r="AG87" i="113"/>
  <c r="AH80" i="113"/>
  <c r="AG78" i="113"/>
  <c r="AG79" i="113" s="1"/>
  <c r="J24" i="115"/>
  <c r="J24" i="65"/>
  <c r="AF66" i="113"/>
  <c r="AF67" i="113"/>
  <c r="AF65" i="113"/>
  <c r="AC21" i="78"/>
  <c r="H108" i="65"/>
  <c r="I23" i="65"/>
  <c r="AD20" i="60"/>
  <c r="AD25" i="60"/>
  <c r="I23" i="115"/>
  <c r="AG33" i="113"/>
  <c r="AG27" i="113"/>
  <c r="AG29" i="113" s="1"/>
  <c r="AG31" i="113" s="1"/>
  <c r="AH13" i="60" s="1"/>
  <c r="AG24" i="113"/>
  <c r="AG25" i="113" s="1"/>
  <c r="AH26" i="113"/>
  <c r="G112" i="115"/>
  <c r="AR32" i="78"/>
  <c r="AR41" i="78" s="1"/>
  <c r="AQ41" i="78"/>
  <c r="N49" i="44"/>
  <c r="W49" i="44" s="1"/>
  <c r="O49" i="44"/>
  <c r="AP40" i="78"/>
  <c r="AQ31" i="78"/>
  <c r="K8" i="81"/>
  <c r="AG17" i="78"/>
  <c r="H112" i="115"/>
  <c r="K12" i="65"/>
  <c r="K17" i="65"/>
  <c r="H54" i="61"/>
  <c r="I24" i="65"/>
  <c r="I24" i="115"/>
  <c r="J23" i="115"/>
  <c r="J23" i="65"/>
  <c r="AE20" i="60"/>
  <c r="AE25" i="60"/>
  <c r="I25" i="115"/>
  <c r="I25" i="65"/>
  <c r="J42" i="115"/>
  <c r="J42" i="65"/>
  <c r="J25" i="115"/>
  <c r="J25" i="65"/>
  <c r="AQ33" i="78"/>
  <c r="AP42" i="78"/>
  <c r="AD107" i="60" l="1"/>
  <c r="AF41" i="60"/>
  <c r="AE95" i="113"/>
  <c r="AF40" i="60"/>
  <c r="L14" i="115"/>
  <c r="AG11" i="60"/>
  <c r="L14" i="65"/>
  <c r="AG16" i="60"/>
  <c r="AH87" i="113"/>
  <c r="AH81" i="113"/>
  <c r="AH83" i="113" s="1"/>
  <c r="AH85" i="113" s="1"/>
  <c r="AH90" i="113" s="1"/>
  <c r="AH78" i="113"/>
  <c r="AH79" i="113" s="1"/>
  <c r="AI80" i="113"/>
  <c r="AG41" i="60"/>
  <c r="AG93" i="113"/>
  <c r="AG92" i="113"/>
  <c r="AG94" i="113"/>
  <c r="AI53" i="113"/>
  <c r="AH60" i="113"/>
  <c r="AH51" i="113"/>
  <c r="AH52" i="113" s="1"/>
  <c r="AH54" i="113"/>
  <c r="AH56" i="113" s="1"/>
  <c r="AH58" i="113" s="1"/>
  <c r="AH63" i="113" s="1"/>
  <c r="AG24" i="60"/>
  <c r="AF23" i="60"/>
  <c r="AF95" i="113"/>
  <c r="AG40" i="60"/>
  <c r="AH24" i="113"/>
  <c r="AH25" i="113" s="1"/>
  <c r="AH27" i="113"/>
  <c r="AH29" i="113" s="1"/>
  <c r="AH31" i="113" s="1"/>
  <c r="AI13" i="60" s="1"/>
  <c r="AI26" i="113"/>
  <c r="AH33" i="113"/>
  <c r="AR31" i="78"/>
  <c r="AR40" i="78" s="1"/>
  <c r="AQ40" i="78"/>
  <c r="AG42" i="60"/>
  <c r="M14" i="115"/>
  <c r="M14" i="65"/>
  <c r="AH11" i="60"/>
  <c r="AH16" i="60"/>
  <c r="AF68" i="113"/>
  <c r="AG22" i="60"/>
  <c r="AG23" i="60"/>
  <c r="AF24" i="60"/>
  <c r="AG63" i="113"/>
  <c r="J26" i="65"/>
  <c r="J21" i="65"/>
  <c r="I26" i="65"/>
  <c r="I107" i="65" s="1"/>
  <c r="I21" i="65"/>
  <c r="I108" i="65" s="1"/>
  <c r="AF20" i="78"/>
  <c r="J21" i="115"/>
  <c r="J26" i="115"/>
  <c r="AF42" i="60"/>
  <c r="AR33" i="78"/>
  <c r="AR42" i="78" s="1"/>
  <c r="AQ42" i="78"/>
  <c r="I26" i="115"/>
  <c r="I21" i="115"/>
  <c r="AE68" i="113"/>
  <c r="AF22" i="60"/>
  <c r="J44" i="65"/>
  <c r="J39" i="65"/>
  <c r="AF18" i="78"/>
  <c r="J12" i="81"/>
  <c r="I12" i="81"/>
  <c r="AE18" i="78"/>
  <c r="AE107" i="60"/>
  <c r="J44" i="115"/>
  <c r="J39" i="115"/>
  <c r="AF21" i="78" l="1"/>
  <c r="J107" i="65"/>
  <c r="I114" i="115"/>
  <c r="I107" i="115"/>
  <c r="L23" i="65"/>
  <c r="L23" i="115"/>
  <c r="AG25" i="60"/>
  <c r="AG20" i="60"/>
  <c r="L25" i="115"/>
  <c r="L25" i="65"/>
  <c r="AG95" i="113"/>
  <c r="AH40" i="60"/>
  <c r="L17" i="115"/>
  <c r="L12" i="115"/>
  <c r="AF43" i="60"/>
  <c r="AF38" i="60"/>
  <c r="K41" i="115"/>
  <c r="K41" i="65"/>
  <c r="K43" i="65"/>
  <c r="K43" i="115"/>
  <c r="AI17" i="78"/>
  <c r="M8" i="81"/>
  <c r="AI33" i="113"/>
  <c r="AI27" i="113"/>
  <c r="AI29" i="113" s="1"/>
  <c r="AI31" i="113" s="1"/>
  <c r="AJ13" i="60" s="1"/>
  <c r="AJ26" i="113"/>
  <c r="AI24" i="113"/>
  <c r="AI25" i="113" s="1"/>
  <c r="N14" i="115"/>
  <c r="AI16" i="60"/>
  <c r="AI11" i="60"/>
  <c r="N14" i="65"/>
  <c r="J108" i="65"/>
  <c r="AG67" i="113"/>
  <c r="AG66" i="113"/>
  <c r="AG65" i="113"/>
  <c r="J112" i="115"/>
  <c r="M17" i="115"/>
  <c r="M12" i="115"/>
  <c r="AJ80" i="113"/>
  <c r="AI87" i="113"/>
  <c r="AI78" i="113"/>
  <c r="AI79" i="113" s="1"/>
  <c r="AI81" i="113"/>
  <c r="AI83" i="113" s="1"/>
  <c r="AI85" i="113" s="1"/>
  <c r="AI90" i="113" s="1"/>
  <c r="K23" i="115"/>
  <c r="K23" i="65"/>
  <c r="AF25" i="60"/>
  <c r="AF20" i="60"/>
  <c r="K25" i="65"/>
  <c r="K25" i="115"/>
  <c r="AH65" i="113"/>
  <c r="AH67" i="113"/>
  <c r="AH66" i="113"/>
  <c r="K42" i="65"/>
  <c r="K42" i="115"/>
  <c r="AH42" i="60"/>
  <c r="L42" i="115"/>
  <c r="L42" i="65"/>
  <c r="J114" i="115"/>
  <c r="J107" i="115"/>
  <c r="M17" i="65"/>
  <c r="M12" i="65"/>
  <c r="AG43" i="60"/>
  <c r="AH20" i="78" s="1"/>
  <c r="AG38" i="60"/>
  <c r="L41" i="115"/>
  <c r="L41" i="65"/>
  <c r="AE21" i="78"/>
  <c r="AH92" i="113"/>
  <c r="AH94" i="113"/>
  <c r="AH93" i="113"/>
  <c r="AH41" i="60"/>
  <c r="L24" i="115"/>
  <c r="L24" i="65"/>
  <c r="L43" i="65"/>
  <c r="L43" i="115"/>
  <c r="K24" i="65"/>
  <c r="K24" i="115"/>
  <c r="AI60" i="113"/>
  <c r="AI51" i="113"/>
  <c r="AI52" i="113" s="1"/>
  <c r="AI54" i="113"/>
  <c r="AI56" i="113" s="1"/>
  <c r="AI58" i="113" s="1"/>
  <c r="AJ53" i="113"/>
  <c r="AH17" i="78"/>
  <c r="L8" i="81"/>
  <c r="I112" i="115"/>
  <c r="L12" i="65"/>
  <c r="L17" i="65"/>
  <c r="AI41" i="60" l="1"/>
  <c r="AG68" i="113"/>
  <c r="AH22" i="60"/>
  <c r="AH18" i="78"/>
  <c r="AH21" i="78" s="1"/>
  <c r="L12" i="81"/>
  <c r="AI23" i="60"/>
  <c r="AH23" i="60"/>
  <c r="L21" i="115"/>
  <c r="L26" i="115"/>
  <c r="L107" i="115" s="1"/>
  <c r="AI63" i="113"/>
  <c r="AI92" i="113"/>
  <c r="AI94" i="113"/>
  <c r="AI93" i="113"/>
  <c r="AH24" i="60"/>
  <c r="L26" i="65"/>
  <c r="L21" i="65"/>
  <c r="AH68" i="113"/>
  <c r="AI22" i="60"/>
  <c r="N12" i="65"/>
  <c r="N17" i="65"/>
  <c r="M41" i="115"/>
  <c r="M41" i="65"/>
  <c r="AH43" i="60"/>
  <c r="AH38" i="60"/>
  <c r="AJ78" i="113"/>
  <c r="AJ79" i="113" s="1"/>
  <c r="AJ81" i="113"/>
  <c r="AJ83" i="113" s="1"/>
  <c r="AJ85" i="113" s="1"/>
  <c r="AJ90" i="113" s="1"/>
  <c r="AJ87" i="113"/>
  <c r="AK80" i="113"/>
  <c r="AG107" i="60"/>
  <c r="K26" i="65"/>
  <c r="K21" i="65"/>
  <c r="AJ11" i="60"/>
  <c r="AJ16" i="60"/>
  <c r="O14" i="115"/>
  <c r="O14" i="65"/>
  <c r="K21" i="115"/>
  <c r="K26" i="115"/>
  <c r="AJ60" i="113"/>
  <c r="AJ54" i="113"/>
  <c r="AJ56" i="113" s="1"/>
  <c r="AJ58" i="113" s="1"/>
  <c r="AJ63" i="113" s="1"/>
  <c r="AJ51" i="113"/>
  <c r="AJ52" i="113" s="1"/>
  <c r="AK53" i="113"/>
  <c r="AI42" i="60"/>
  <c r="AH95" i="113"/>
  <c r="AI40" i="60"/>
  <c r="AI24" i="60"/>
  <c r="AJ17" i="78"/>
  <c r="N8" i="81"/>
  <c r="N12" i="115"/>
  <c r="N17" i="115"/>
  <c r="K39" i="65"/>
  <c r="K44" i="65"/>
  <c r="M42" i="115"/>
  <c r="M42" i="65"/>
  <c r="M43" i="65"/>
  <c r="M43" i="115"/>
  <c r="K44" i="115"/>
  <c r="K39" i="115"/>
  <c r="L39" i="65"/>
  <c r="L108" i="65" s="1"/>
  <c r="L44" i="65"/>
  <c r="AF107" i="60"/>
  <c r="L39" i="115"/>
  <c r="L44" i="115"/>
  <c r="AG18" i="78"/>
  <c r="AJ33" i="113"/>
  <c r="AJ24" i="113"/>
  <c r="AJ25" i="113" s="1"/>
  <c r="AK26" i="113"/>
  <c r="AJ27" i="113"/>
  <c r="AJ29" i="113" s="1"/>
  <c r="AJ31" i="113" s="1"/>
  <c r="AK13" i="60" s="1"/>
  <c r="K12" i="81"/>
  <c r="AG20" i="78"/>
  <c r="AG21" i="78" s="1"/>
  <c r="L112" i="115" l="1"/>
  <c r="L114" i="115"/>
  <c r="L107" i="65"/>
  <c r="K107" i="65"/>
  <c r="K107" i="115"/>
  <c r="K112" i="115"/>
  <c r="AK33" i="113"/>
  <c r="AK24" i="113"/>
  <c r="AK25" i="113" s="1"/>
  <c r="AL26" i="113"/>
  <c r="AK27" i="113"/>
  <c r="AK29" i="113" s="1"/>
  <c r="AK31" i="113" s="1"/>
  <c r="AL13" i="60" s="1"/>
  <c r="N24" i="65"/>
  <c r="N24" i="115"/>
  <c r="N25" i="115"/>
  <c r="N25" i="65"/>
  <c r="N41" i="115"/>
  <c r="N41" i="65"/>
  <c r="AI38" i="60"/>
  <c r="AI43" i="60"/>
  <c r="AJ42" i="60"/>
  <c r="K108" i="65"/>
  <c r="O12" i="65"/>
  <c r="P12" i="65" s="1"/>
  <c r="O17" i="65"/>
  <c r="P14" i="65"/>
  <c r="AM6" i="44" s="1"/>
  <c r="J14" i="61"/>
  <c r="J16" i="61" s="1"/>
  <c r="AI95" i="113"/>
  <c r="AJ40" i="60"/>
  <c r="O12" i="115"/>
  <c r="O17" i="115"/>
  <c r="P14" i="115"/>
  <c r="AO6" i="44" s="1"/>
  <c r="AI25" i="60"/>
  <c r="N23" i="65"/>
  <c r="AI20" i="60"/>
  <c r="N23" i="115"/>
  <c r="N43" i="65"/>
  <c r="N43" i="115"/>
  <c r="AK17" i="78"/>
  <c r="O8" i="81"/>
  <c r="P8" i="81" s="1"/>
  <c r="G30" i="81" s="1"/>
  <c r="G32" i="81" s="1"/>
  <c r="G34" i="81" s="1"/>
  <c r="G36" i="81" s="1"/>
  <c r="AI20" i="78"/>
  <c r="AI65" i="113"/>
  <c r="AI66" i="113"/>
  <c r="AI67" i="113"/>
  <c r="AK78" i="113"/>
  <c r="AK79" i="113" s="1"/>
  <c r="AL80" i="113"/>
  <c r="AK87" i="113"/>
  <c r="AK81" i="113"/>
  <c r="AK83" i="113" s="1"/>
  <c r="AK85" i="113" s="1"/>
  <c r="AK90" i="113" s="1"/>
  <c r="M25" i="115"/>
  <c r="M25" i="65"/>
  <c r="AJ92" i="113"/>
  <c r="AJ93" i="113"/>
  <c r="AJ94" i="113"/>
  <c r="AJ41" i="60"/>
  <c r="AH20" i="60"/>
  <c r="M23" i="115"/>
  <c r="M23" i="65"/>
  <c r="AH25" i="60"/>
  <c r="K114" i="115"/>
  <c r="M44" i="65"/>
  <c r="M39" i="65"/>
  <c r="AL53" i="113"/>
  <c r="AK60" i="113"/>
  <c r="AK54" i="113"/>
  <c r="AK56" i="113" s="1"/>
  <c r="AK58" i="113" s="1"/>
  <c r="AK63" i="113" s="1"/>
  <c r="AK51" i="113"/>
  <c r="AK52" i="113" s="1"/>
  <c r="M44" i="115"/>
  <c r="M39" i="115"/>
  <c r="N42" i="65"/>
  <c r="N42" i="115"/>
  <c r="AK11" i="60"/>
  <c r="AK16" i="60"/>
  <c r="AJ66" i="113"/>
  <c r="AJ65" i="113"/>
  <c r="AJ67" i="113"/>
  <c r="M24" i="115"/>
  <c r="M24" i="65"/>
  <c r="C12" i="61" l="1"/>
  <c r="F12" i="61" s="1"/>
  <c r="AM4" i="44"/>
  <c r="AJ68" i="113"/>
  <c r="AK22" i="60"/>
  <c r="AK67" i="113"/>
  <c r="AK65" i="113"/>
  <c r="AK66" i="113"/>
  <c r="O43" i="115"/>
  <c r="P43" i="115" s="1"/>
  <c r="O43" i="65"/>
  <c r="P43" i="65" s="1"/>
  <c r="AM35" i="44" s="1"/>
  <c r="M21" i="65"/>
  <c r="M108" i="65" s="1"/>
  <c r="M26" i="65"/>
  <c r="M107" i="65" s="1"/>
  <c r="AJ38" i="60"/>
  <c r="O41" i="115"/>
  <c r="AJ43" i="60"/>
  <c r="AK20" i="78" s="1"/>
  <c r="O41" i="65"/>
  <c r="M26" i="115"/>
  <c r="M114" i="115" s="1"/>
  <c r="M21" i="115"/>
  <c r="N26" i="65"/>
  <c r="N21" i="65"/>
  <c r="AI107" i="60"/>
  <c r="O42" i="115"/>
  <c r="P42" i="115" s="1"/>
  <c r="O42" i="65"/>
  <c r="P42" i="65" s="1"/>
  <c r="AM34" i="44" s="1"/>
  <c r="N39" i="65"/>
  <c r="N44" i="65"/>
  <c r="AL17" i="78"/>
  <c r="AL23" i="78" s="1"/>
  <c r="AK41" i="60"/>
  <c r="Q14" i="115"/>
  <c r="AP6" i="44" s="1"/>
  <c r="P17" i="115"/>
  <c r="AO9" i="44" s="1"/>
  <c r="AJ24" i="60"/>
  <c r="AK23" i="60"/>
  <c r="AJ23" i="60"/>
  <c r="AI18" i="78"/>
  <c r="AI21" i="78" s="1"/>
  <c r="AI68" i="113"/>
  <c r="AJ22" i="60"/>
  <c r="AL51" i="113"/>
  <c r="AL52" i="113" s="1"/>
  <c r="AL60" i="113"/>
  <c r="AL54" i="113"/>
  <c r="AL56" i="113" s="1"/>
  <c r="AL58" i="113" s="1"/>
  <c r="N21" i="115"/>
  <c r="N26" i="115"/>
  <c r="M12" i="81"/>
  <c r="AJ20" i="78"/>
  <c r="AJ18" i="78"/>
  <c r="N12" i="81"/>
  <c r="AL16" i="60"/>
  <c r="AL11" i="60"/>
  <c r="AH107" i="60"/>
  <c r="D14" i="61"/>
  <c r="S28" i="76"/>
  <c r="Q14" i="65"/>
  <c r="AN6" i="44" s="1"/>
  <c r="P17" i="65"/>
  <c r="AM9" i="44" s="1"/>
  <c r="N44" i="115"/>
  <c r="N39" i="115"/>
  <c r="AL24" i="113"/>
  <c r="AL25" i="113" s="1"/>
  <c r="AL27" i="113"/>
  <c r="AL29" i="113" s="1"/>
  <c r="AL31" i="113" s="1"/>
  <c r="AL33" i="113"/>
  <c r="AK42" i="60"/>
  <c r="AK92" i="113"/>
  <c r="AK94" i="113"/>
  <c r="AK93" i="113"/>
  <c r="AJ95" i="113"/>
  <c r="AK40" i="60"/>
  <c r="AL81" i="113"/>
  <c r="AL83" i="113" s="1"/>
  <c r="AL85" i="113" s="1"/>
  <c r="AL87" i="113"/>
  <c r="AL78" i="113"/>
  <c r="AL79" i="113" s="1"/>
  <c r="AK24" i="60"/>
  <c r="P12" i="115"/>
  <c r="AO4" i="44" s="1"/>
  <c r="C16" i="61" l="1"/>
  <c r="AM116" i="44"/>
  <c r="AR116" i="44"/>
  <c r="AS116" i="44"/>
  <c r="AI34" i="113"/>
  <c r="AJ111" i="60" s="1"/>
  <c r="Q43" i="115"/>
  <c r="AP35" i="44" s="1"/>
  <c r="AO35" i="44"/>
  <c r="Q42" i="115"/>
  <c r="AP34" i="44" s="1"/>
  <c r="AO34" i="44"/>
  <c r="M107" i="115"/>
  <c r="AJ21" i="78"/>
  <c r="AK88" i="113"/>
  <c r="AL114" i="60" s="1"/>
  <c r="AH61" i="113"/>
  <c r="AI112" i="60" s="1"/>
  <c r="AI61" i="113"/>
  <c r="AJ112" i="60" s="1"/>
  <c r="AF34" i="113"/>
  <c r="AG111" i="60" s="1"/>
  <c r="AG61" i="113"/>
  <c r="AH112" i="60" s="1"/>
  <c r="AK34" i="113"/>
  <c r="AL111" i="60" s="1"/>
  <c r="N107" i="65"/>
  <c r="AI88" i="113"/>
  <c r="AJ114" i="60" s="1"/>
  <c r="D16" i="61"/>
  <c r="F14" i="61"/>
  <c r="F16" i="61" s="1"/>
  <c r="H16" i="61" s="1"/>
  <c r="AK68" i="113"/>
  <c r="AL22" i="60"/>
  <c r="AL24" i="60"/>
  <c r="N107" i="115"/>
  <c r="N114" i="115"/>
  <c r="AK25" i="60"/>
  <c r="AK20" i="60"/>
  <c r="AE34" i="113"/>
  <c r="AF111" i="60" s="1"/>
  <c r="AL88" i="113"/>
  <c r="AM114" i="60" s="1"/>
  <c r="AA88" i="113"/>
  <c r="AB114" i="60" s="1"/>
  <c r="AB88" i="113"/>
  <c r="AC114" i="60" s="1"/>
  <c r="AD88" i="113"/>
  <c r="AE114" i="60" s="1"/>
  <c r="AC88" i="113"/>
  <c r="AD114" i="60" s="1"/>
  <c r="AE88" i="113"/>
  <c r="AF114" i="60" s="1"/>
  <c r="AF88" i="113"/>
  <c r="AG114" i="60" s="1"/>
  <c r="AL42" i="60"/>
  <c r="AL90" i="113"/>
  <c r="AM80" i="113"/>
  <c r="I43" i="44"/>
  <c r="Q17" i="65"/>
  <c r="AM13" i="60"/>
  <c r="AM26" i="113"/>
  <c r="O44" i="115"/>
  <c r="O39" i="115"/>
  <c r="P41" i="115"/>
  <c r="AO33" i="44" s="1"/>
  <c r="N112" i="115"/>
  <c r="O24" i="115"/>
  <c r="P24" i="115" s="1"/>
  <c r="O24" i="65"/>
  <c r="AL41" i="60"/>
  <c r="AL63" i="113"/>
  <c r="AM53" i="113"/>
  <c r="AL61" i="113"/>
  <c r="AM112" i="60" s="1"/>
  <c r="AB61" i="113"/>
  <c r="AC112" i="60" s="1"/>
  <c r="AA61" i="113"/>
  <c r="AB112" i="60" s="1"/>
  <c r="AC61" i="113"/>
  <c r="AD112" i="60" s="1"/>
  <c r="AD61" i="113"/>
  <c r="AE112" i="60" s="1"/>
  <c r="AE61" i="113"/>
  <c r="AF112" i="60" s="1"/>
  <c r="AG88" i="113"/>
  <c r="AH114" i="60" s="1"/>
  <c r="AK95" i="113"/>
  <c r="AL40" i="60"/>
  <c r="U17" i="65"/>
  <c r="Q107" i="44"/>
  <c r="S107" i="44" s="1"/>
  <c r="D107" i="44" s="1"/>
  <c r="N108" i="65"/>
  <c r="AK61" i="113"/>
  <c r="AL112" i="60" s="1"/>
  <c r="AK43" i="60"/>
  <c r="AK38" i="60"/>
  <c r="AJ34" i="113"/>
  <c r="AK111" i="60" s="1"/>
  <c r="M112" i="115"/>
  <c r="AH88" i="113"/>
  <c r="AI114" i="60" s="1"/>
  <c r="S37" i="76"/>
  <c r="AF61" i="113"/>
  <c r="AG112" i="60" s="1"/>
  <c r="O25" i="115"/>
  <c r="P25" i="115" s="1"/>
  <c r="O25" i="65"/>
  <c r="P25" i="65" s="1"/>
  <c r="AM17" i="44" s="1"/>
  <c r="T31" i="76"/>
  <c r="T41" i="76" s="1"/>
  <c r="Q42" i="65"/>
  <c r="AN34" i="44" s="1"/>
  <c r="Q43" i="65"/>
  <c r="AN35" i="44" s="1"/>
  <c r="U31" i="76"/>
  <c r="U41" i="76" s="1"/>
  <c r="O23" i="115"/>
  <c r="AJ25" i="60"/>
  <c r="O23" i="65"/>
  <c r="AJ20" i="60"/>
  <c r="T17" i="115"/>
  <c r="I67" i="44"/>
  <c r="I81" i="44" s="1"/>
  <c r="C91" i="44" s="1"/>
  <c r="O44" i="65"/>
  <c r="O39" i="65"/>
  <c r="P41" i="65"/>
  <c r="AM33" i="44" s="1"/>
  <c r="AH34" i="113"/>
  <c r="AI111" i="60" s="1"/>
  <c r="AG34" i="113"/>
  <c r="AH111" i="60" s="1"/>
  <c r="AL34" i="113"/>
  <c r="AM111" i="60" s="1"/>
  <c r="AA34" i="113"/>
  <c r="AB111" i="60" s="1"/>
  <c r="AC34" i="113"/>
  <c r="AD111" i="60" s="1"/>
  <c r="AB34" i="113"/>
  <c r="AC111" i="60" s="1"/>
  <c r="AD34" i="113"/>
  <c r="AE111" i="60" s="1"/>
  <c r="AJ61" i="113"/>
  <c r="AK112" i="60" s="1"/>
  <c r="J43" i="44"/>
  <c r="Q17" i="115"/>
  <c r="AP9" i="44" s="1"/>
  <c r="AL20" i="78"/>
  <c r="AL26" i="78" s="1"/>
  <c r="AL23" i="60"/>
  <c r="AJ88" i="113"/>
  <c r="AK114" i="60" s="1"/>
  <c r="E107" i="44" l="1"/>
  <c r="F107" i="44"/>
  <c r="AJ110" i="60"/>
  <c r="AB5" i="80" s="1"/>
  <c r="AT116" i="44"/>
  <c r="Q24" i="115"/>
  <c r="AP16" i="44" s="1"/>
  <c r="AO16" i="44"/>
  <c r="Q25" i="115"/>
  <c r="AP17" i="44" s="1"/>
  <c r="AO17" i="44"/>
  <c r="AN9" i="44"/>
  <c r="T43" i="44"/>
  <c r="AJ107" i="60"/>
  <c r="AB110" i="60"/>
  <c r="T5" i="80" s="1"/>
  <c r="T8" i="80" s="1"/>
  <c r="T9" i="80" s="1"/>
  <c r="T10" i="80" s="1"/>
  <c r="AM110" i="60"/>
  <c r="AE5" i="80" s="1"/>
  <c r="AE7" i="80" s="1"/>
  <c r="AH110" i="60"/>
  <c r="Z5" i="80" s="1"/>
  <c r="Z7" i="80" s="1"/>
  <c r="AL110" i="60"/>
  <c r="AD5" i="80" s="1"/>
  <c r="AD8" i="80" s="1"/>
  <c r="AD9" i="80" s="1"/>
  <c r="AD10" i="80" s="1"/>
  <c r="AB7" i="80"/>
  <c r="AB8" i="80"/>
  <c r="AB9" i="80" s="1"/>
  <c r="AB10" i="80" s="1"/>
  <c r="AB28" i="80" s="1"/>
  <c r="AG110" i="60"/>
  <c r="Y5" i="80" s="1"/>
  <c r="Y8" i="80" s="1"/>
  <c r="Y9" i="80" s="1"/>
  <c r="Y10" i="80" s="1"/>
  <c r="Q25" i="65"/>
  <c r="U29" i="76"/>
  <c r="P113" i="65"/>
  <c r="BA24" i="72"/>
  <c r="J22" i="61"/>
  <c r="O21" i="65"/>
  <c r="P21" i="65" s="1"/>
  <c r="AM13" i="44" s="1"/>
  <c r="O26" i="65"/>
  <c r="O107" i="65" s="1"/>
  <c r="P23" i="65"/>
  <c r="AM15" i="44" s="1"/>
  <c r="AF110" i="60"/>
  <c r="X5" i="80" s="1"/>
  <c r="AK18" i="78"/>
  <c r="O12" i="81"/>
  <c r="P12" i="81" s="1"/>
  <c r="H30" i="81" s="1"/>
  <c r="H32" i="81" s="1"/>
  <c r="H34" i="81" s="1"/>
  <c r="H36" i="81" s="1"/>
  <c r="K36" i="81" s="1"/>
  <c r="AM54" i="113"/>
  <c r="AM56" i="113" s="1"/>
  <c r="AM58" i="113" s="1"/>
  <c r="AM51" i="113"/>
  <c r="AM52" i="113" s="1"/>
  <c r="AN53" i="113"/>
  <c r="AM60" i="113"/>
  <c r="AL92" i="113"/>
  <c r="AL93" i="113"/>
  <c r="AL94" i="113"/>
  <c r="AI110" i="60"/>
  <c r="AA5" i="80" s="1"/>
  <c r="AL43" i="60"/>
  <c r="AL38" i="60"/>
  <c r="P39" i="115"/>
  <c r="AO31" i="44" s="1"/>
  <c r="M43" i="44"/>
  <c r="K43" i="44"/>
  <c r="L43" i="44"/>
  <c r="P44" i="65"/>
  <c r="S31" i="76"/>
  <c r="S41" i="76" s="1"/>
  <c r="Q41" i="65"/>
  <c r="AN33" i="44" s="1"/>
  <c r="AM81" i="113"/>
  <c r="AM83" i="113" s="1"/>
  <c r="AM85" i="113" s="1"/>
  <c r="AM87" i="113"/>
  <c r="AM78" i="113"/>
  <c r="AM79" i="113" s="1"/>
  <c r="AN80" i="113"/>
  <c r="P39" i="65"/>
  <c r="AM31" i="44" s="1"/>
  <c r="O21" i="115"/>
  <c r="O26" i="115"/>
  <c r="P23" i="115"/>
  <c r="AO15" i="44" s="1"/>
  <c r="Z16" i="65"/>
  <c r="Y16" i="65"/>
  <c r="Q41" i="115"/>
  <c r="AP33" i="44" s="1"/>
  <c r="P44" i="115"/>
  <c r="AO36" i="44" s="1"/>
  <c r="AL65" i="113"/>
  <c r="AL67" i="113"/>
  <c r="AL66" i="113"/>
  <c r="AK110" i="60"/>
  <c r="AC5" i="80" s="1"/>
  <c r="AE110" i="60"/>
  <c r="W5" i="80" s="1"/>
  <c r="AM27" i="113"/>
  <c r="AM29" i="113" s="1"/>
  <c r="AM31" i="113" s="1"/>
  <c r="AM33" i="113"/>
  <c r="AN26" i="113"/>
  <c r="AM24" i="113"/>
  <c r="AM25" i="113" s="1"/>
  <c r="AC110" i="60"/>
  <c r="U5" i="80" s="1"/>
  <c r="P24" i="65"/>
  <c r="AM16" i="44" s="1"/>
  <c r="J23" i="61"/>
  <c r="AM16" i="60"/>
  <c r="AM11" i="60"/>
  <c r="AD110" i="60"/>
  <c r="V5" i="80" s="1"/>
  <c r="AK107" i="60"/>
  <c r="AL20" i="60"/>
  <c r="AL25" i="60"/>
  <c r="U44" i="65" l="1"/>
  <c r="AM36" i="44"/>
  <c r="AE8" i="80"/>
  <c r="AE9" i="80" s="1"/>
  <c r="AE10" i="80" s="1"/>
  <c r="AE28" i="80" s="1"/>
  <c r="Q113" i="65"/>
  <c r="S113" i="65" s="1"/>
  <c r="AN17" i="44"/>
  <c r="Z8" i="80"/>
  <c r="Z9" i="80" s="1"/>
  <c r="Z10" i="80" s="1"/>
  <c r="Z56" i="80" s="1"/>
  <c r="T7" i="80"/>
  <c r="P108" i="65"/>
  <c r="AD7" i="80"/>
  <c r="AB56" i="80"/>
  <c r="AB69" i="80" s="1"/>
  <c r="Y7" i="80"/>
  <c r="AE56" i="80"/>
  <c r="O107" i="115"/>
  <c r="O114" i="115"/>
  <c r="P114" i="115" s="1"/>
  <c r="AL107" i="60"/>
  <c r="AC8" i="80"/>
  <c r="AC9" i="80" s="1"/>
  <c r="AC10" i="80" s="1"/>
  <c r="AC7" i="80"/>
  <c r="U68" i="44"/>
  <c r="C58" i="44"/>
  <c r="P43" i="44"/>
  <c r="D23" i="61"/>
  <c r="F23" i="61" s="1"/>
  <c r="Q24" i="65"/>
  <c r="T29" i="76"/>
  <c r="Q18" i="76"/>
  <c r="M18" i="76" s="1"/>
  <c r="P112" i="65"/>
  <c r="T56" i="80"/>
  <c r="T28" i="80"/>
  <c r="AA8" i="80"/>
  <c r="AA9" i="80" s="1"/>
  <c r="AA10" i="80" s="1"/>
  <c r="AA7" i="80"/>
  <c r="U38" i="76"/>
  <c r="U42" i="76" s="1"/>
  <c r="U32" i="76"/>
  <c r="U7" i="80"/>
  <c r="U8" i="80"/>
  <c r="U9" i="80" s="1"/>
  <c r="U10" i="80" s="1"/>
  <c r="D91" i="44"/>
  <c r="C94" i="44"/>
  <c r="C92" i="44"/>
  <c r="O108" i="65"/>
  <c r="AM42" i="60"/>
  <c r="AL18" i="78"/>
  <c r="AL24" i="78" s="1"/>
  <c r="AK21" i="78"/>
  <c r="AL21" i="78" s="1"/>
  <c r="AL27" i="78" s="1"/>
  <c r="AM23" i="60"/>
  <c r="AO80" i="113"/>
  <c r="AN78" i="113"/>
  <c r="AN79" i="113" s="1"/>
  <c r="AN81" i="113"/>
  <c r="AN83" i="113" s="1"/>
  <c r="AN85" i="113" s="1"/>
  <c r="AN90" i="113" s="1"/>
  <c r="AN87" i="113"/>
  <c r="AM41" i="60"/>
  <c r="X8" i="80"/>
  <c r="X9" i="80" s="1"/>
  <c r="X10" i="80" s="1"/>
  <c r="X7" i="80"/>
  <c r="AM24" i="60"/>
  <c r="AL95" i="113"/>
  <c r="AM40" i="60"/>
  <c r="Q23" i="65"/>
  <c r="AN15" i="44" s="1"/>
  <c r="D22" i="61"/>
  <c r="P26" i="65"/>
  <c r="AM18" i="44" s="1"/>
  <c r="S29" i="76"/>
  <c r="P111" i="65"/>
  <c r="Q17" i="76"/>
  <c r="M17" i="76" s="1"/>
  <c r="AO26" i="113"/>
  <c r="AN27" i="113"/>
  <c r="AN29" i="113" s="1"/>
  <c r="AN31" i="113" s="1"/>
  <c r="AO13" i="60" s="1"/>
  <c r="AN24" i="113"/>
  <c r="AN25" i="113" s="1"/>
  <c r="AN33" i="113"/>
  <c r="AL68" i="113"/>
  <c r="AM22" i="60"/>
  <c r="W7" i="80"/>
  <c r="W8" i="80"/>
  <c r="W9" i="80" s="1"/>
  <c r="W10" i="80" s="1"/>
  <c r="P21" i="115"/>
  <c r="O112" i="115"/>
  <c r="I74" i="44"/>
  <c r="T44" i="115"/>
  <c r="AM90" i="113"/>
  <c r="Z28" i="80"/>
  <c r="N43" i="44"/>
  <c r="D58" i="44"/>
  <c r="Q43" i="44"/>
  <c r="O43" i="44"/>
  <c r="AN54" i="113"/>
  <c r="AN56" i="113" s="1"/>
  <c r="AN58" i="113" s="1"/>
  <c r="AN63" i="113" s="1"/>
  <c r="AN51" i="113"/>
  <c r="AN52" i="113" s="1"/>
  <c r="AN60" i="113"/>
  <c r="AO53" i="113"/>
  <c r="C20" i="61"/>
  <c r="V8" i="80"/>
  <c r="V9" i="80" s="1"/>
  <c r="V10" i="80" s="1"/>
  <c r="V7" i="80"/>
  <c r="AN13" i="60"/>
  <c r="J46" i="44"/>
  <c r="Q44" i="115"/>
  <c r="AP36" i="44" s="1"/>
  <c r="I46" i="44"/>
  <c r="L46" i="44" s="1"/>
  <c r="Q44" i="65"/>
  <c r="J24" i="61"/>
  <c r="J59" i="61" s="1"/>
  <c r="Y56" i="80"/>
  <c r="Y28" i="80"/>
  <c r="AM63" i="113"/>
  <c r="AA16" i="65"/>
  <c r="Z43" i="65"/>
  <c r="Y43" i="65"/>
  <c r="P78" i="80"/>
  <c r="P26" i="115"/>
  <c r="AO18" i="44" s="1"/>
  <c r="Q23" i="115"/>
  <c r="AP15" i="44" s="1"/>
  <c r="AS117" i="44" s="1"/>
  <c r="L78" i="80"/>
  <c r="G107" i="44"/>
  <c r="H107" i="44" s="1"/>
  <c r="AD56" i="80"/>
  <c r="AD28" i="80"/>
  <c r="C95" i="44" l="1"/>
  <c r="Q112" i="65"/>
  <c r="AN16" i="44"/>
  <c r="AR117" i="44" s="1"/>
  <c r="AO13" i="44"/>
  <c r="T46" i="44"/>
  <c r="AN36" i="44"/>
  <c r="AB67" i="80"/>
  <c r="R43" i="44"/>
  <c r="AB62" i="80"/>
  <c r="L77" i="80"/>
  <c r="L99" i="80" s="1"/>
  <c r="M99" i="80" s="1"/>
  <c r="P77" i="80"/>
  <c r="W80" i="80" s="1"/>
  <c r="W65" i="80" s="1"/>
  <c r="AN65" i="113"/>
  <c r="AN66" i="113"/>
  <c r="AN67" i="113"/>
  <c r="AM25" i="60"/>
  <c r="AM20" i="60"/>
  <c r="I44" i="44"/>
  <c r="Q26" i="65"/>
  <c r="AN18" i="44" s="1"/>
  <c r="Q111" i="65"/>
  <c r="T38" i="76"/>
  <c r="T42" i="76" s="1"/>
  <c r="T32" i="76"/>
  <c r="AA43" i="65"/>
  <c r="U56" i="80"/>
  <c r="U28" i="80"/>
  <c r="AC56" i="80"/>
  <c r="AC28" i="80"/>
  <c r="AO16" i="60"/>
  <c r="AO11" i="60"/>
  <c r="AP26" i="113"/>
  <c r="AO24" i="113"/>
  <c r="AO25" i="113" s="1"/>
  <c r="AO33" i="113"/>
  <c r="AO27" i="113"/>
  <c r="AO29" i="113" s="1"/>
  <c r="AO31" i="113" s="1"/>
  <c r="AM67" i="113"/>
  <c r="AM66" i="113"/>
  <c r="AM65" i="113"/>
  <c r="M40" i="76"/>
  <c r="J17" i="76"/>
  <c r="P17" i="76"/>
  <c r="C24" i="61"/>
  <c r="C59" i="61" s="1"/>
  <c r="F20" i="61"/>
  <c r="X28" i="80"/>
  <c r="X56" i="80"/>
  <c r="AO51" i="113"/>
  <c r="AO52" i="113" s="1"/>
  <c r="AO60" i="113"/>
  <c r="AP53" i="113"/>
  <c r="AO54" i="113"/>
  <c r="AO56" i="113" s="1"/>
  <c r="AO58" i="113" s="1"/>
  <c r="AO63" i="113" s="1"/>
  <c r="S38" i="76"/>
  <c r="S42" i="76" s="1"/>
  <c r="S32" i="76"/>
  <c r="P46" i="44"/>
  <c r="U71" i="44"/>
  <c r="AM43" i="60"/>
  <c r="AM38" i="60"/>
  <c r="AN11" i="60"/>
  <c r="AN16" i="60"/>
  <c r="S112" i="65"/>
  <c r="AD69" i="80"/>
  <c r="AD62" i="80"/>
  <c r="AD67" i="80"/>
  <c r="V56" i="80"/>
  <c r="V28" i="80"/>
  <c r="AH39" i="44"/>
  <c r="Z67" i="80"/>
  <c r="Z69" i="80"/>
  <c r="Z62" i="80"/>
  <c r="W56" i="80"/>
  <c r="W28" i="80"/>
  <c r="Y67" i="80"/>
  <c r="Y62" i="80"/>
  <c r="Y69" i="80"/>
  <c r="Q26" i="115"/>
  <c r="AP18" i="44" s="1"/>
  <c r="J44" i="44"/>
  <c r="U26" i="65"/>
  <c r="Q108" i="44"/>
  <c r="S108" i="44" s="1"/>
  <c r="D108" i="44" s="1"/>
  <c r="P107" i="65"/>
  <c r="AA28" i="80"/>
  <c r="AA56" i="80"/>
  <c r="AE67" i="80"/>
  <c r="AE69" i="80"/>
  <c r="AE62" i="80"/>
  <c r="T26" i="115"/>
  <c r="I68" i="44"/>
  <c r="AM93" i="113"/>
  <c r="AM92" i="113"/>
  <c r="AM94" i="113"/>
  <c r="D24" i="61"/>
  <c r="D59" i="61" s="1"/>
  <c r="F22" i="61"/>
  <c r="AN94" i="113"/>
  <c r="AN92" i="113"/>
  <c r="AN93" i="113"/>
  <c r="T69" i="80"/>
  <c r="T67" i="80"/>
  <c r="T62" i="80"/>
  <c r="K46" i="44"/>
  <c r="M46" i="44"/>
  <c r="AO78" i="113"/>
  <c r="AO79" i="113" s="1"/>
  <c r="AP80" i="113"/>
  <c r="AO87" i="113"/>
  <c r="AO81" i="113"/>
  <c r="AO83" i="113" s="1"/>
  <c r="AO85" i="113" s="1"/>
  <c r="AO90" i="113" s="1"/>
  <c r="D94" i="44"/>
  <c r="D92" i="44"/>
  <c r="P18" i="76"/>
  <c r="J18" i="76"/>
  <c r="J18" i="91" s="1"/>
  <c r="M18" i="91" s="1"/>
  <c r="P18" i="91" s="1"/>
  <c r="F108" i="44" l="1"/>
  <c r="E108" i="44"/>
  <c r="AR120" i="44"/>
  <c r="AT117" i="44"/>
  <c r="AM117" i="44"/>
  <c r="AN118" i="44" s="1"/>
  <c r="V80" i="80"/>
  <c r="V65" i="80" s="1"/>
  <c r="Q80" i="80"/>
  <c r="Q65" i="80" s="1"/>
  <c r="Q72" i="80" s="1"/>
  <c r="Q85" i="80" s="1"/>
  <c r="P80" i="80"/>
  <c r="P65" i="80" s="1"/>
  <c r="P72" i="80" s="1"/>
  <c r="P85" i="80" s="1"/>
  <c r="O86" i="80"/>
  <c r="O93" i="80" s="1"/>
  <c r="L80" i="80"/>
  <c r="L65" i="80" s="1"/>
  <c r="L72" i="80" s="1"/>
  <c r="L85" i="80" s="1"/>
  <c r="L87" i="80" s="1"/>
  <c r="L89" i="80" s="1"/>
  <c r="O99" i="80"/>
  <c r="P99" i="80" s="1"/>
  <c r="Q99" i="80" s="1"/>
  <c r="R99" i="80" s="1"/>
  <c r="S99" i="80" s="1"/>
  <c r="T99" i="80" s="1"/>
  <c r="U99" i="80" s="1"/>
  <c r="V99" i="80" s="1"/>
  <c r="W99" i="80" s="1"/>
  <c r="X99" i="80" s="1"/>
  <c r="Y99" i="80" s="1"/>
  <c r="Z99" i="80" s="1"/>
  <c r="X80" i="80"/>
  <c r="X65" i="80" s="1"/>
  <c r="Y80" i="80"/>
  <c r="Y65" i="80" s="1"/>
  <c r="Y72" i="80" s="1"/>
  <c r="Y85" i="80" s="1"/>
  <c r="T80" i="80"/>
  <c r="T65" i="80" s="1"/>
  <c r="T72" i="80" s="1"/>
  <c r="T85" i="80" s="1"/>
  <c r="AA80" i="80"/>
  <c r="AA65" i="80" s="1"/>
  <c r="Z80" i="80"/>
  <c r="Z65" i="80" s="1"/>
  <c r="Z72" i="80" s="1"/>
  <c r="Z85" i="80" s="1"/>
  <c r="U80" i="80"/>
  <c r="U65" i="80" s="1"/>
  <c r="S80" i="80"/>
  <c r="S65" i="80" s="1"/>
  <c r="S72" i="80" s="1"/>
  <c r="S85" i="80" s="1"/>
  <c r="D95" i="44"/>
  <c r="E95" i="44" s="1"/>
  <c r="F95" i="44" s="1"/>
  <c r="R80" i="80"/>
  <c r="R65" i="80" s="1"/>
  <c r="R72" i="80" s="1"/>
  <c r="R85" i="80" s="1"/>
  <c r="V67" i="80"/>
  <c r="V62" i="80"/>
  <c r="V69" i="80"/>
  <c r="AN42" i="60"/>
  <c r="X69" i="80"/>
  <c r="X62" i="80"/>
  <c r="X67" i="80"/>
  <c r="F24" i="61"/>
  <c r="AN24" i="60"/>
  <c r="AC67" i="80"/>
  <c r="AC62" i="80"/>
  <c r="AC69" i="80"/>
  <c r="AO94" i="113"/>
  <c r="AO92" i="113"/>
  <c r="AO93" i="113"/>
  <c r="U69" i="80"/>
  <c r="U62" i="80"/>
  <c r="U67" i="80"/>
  <c r="AO24" i="60"/>
  <c r="AM95" i="113"/>
  <c r="AN40" i="60"/>
  <c r="AM107" i="60"/>
  <c r="AP13" i="60"/>
  <c r="AO23" i="60"/>
  <c r="AP81" i="113"/>
  <c r="AP83" i="113" s="1"/>
  <c r="AP85" i="113" s="1"/>
  <c r="AP90" i="113" s="1"/>
  <c r="AQ80" i="113"/>
  <c r="AP78" i="113"/>
  <c r="AP79" i="113" s="1"/>
  <c r="AP87" i="113"/>
  <c r="AN41" i="60"/>
  <c r="Y25" i="65"/>
  <c r="Z25" i="65"/>
  <c r="W67" i="80"/>
  <c r="W69" i="80"/>
  <c r="W62" i="80"/>
  <c r="AN68" i="113"/>
  <c r="AO22" i="60"/>
  <c r="AQ26" i="113"/>
  <c r="AP24" i="113"/>
  <c r="AP25" i="113" s="1"/>
  <c r="AP27" i="113"/>
  <c r="AP29" i="113" s="1"/>
  <c r="AP31" i="113" s="1"/>
  <c r="AQ13" i="60" s="1"/>
  <c r="AP33" i="113"/>
  <c r="N46" i="44"/>
  <c r="O46" i="44"/>
  <c r="Q46" i="44"/>
  <c r="R46" i="44" s="1"/>
  <c r="AO41" i="60"/>
  <c r="P40" i="76"/>
  <c r="AN95" i="113"/>
  <c r="AO40" i="60"/>
  <c r="M44" i="44"/>
  <c r="K44" i="44"/>
  <c r="J17" i="91"/>
  <c r="J40" i="76"/>
  <c r="S111" i="65"/>
  <c r="Q114" i="65"/>
  <c r="N99" i="80"/>
  <c r="N80" i="80" s="1"/>
  <c r="N65" i="80" s="1"/>
  <c r="N72" i="80" s="1"/>
  <c r="N85" i="80" s="1"/>
  <c r="N87" i="80" s="1"/>
  <c r="N89" i="80" s="1"/>
  <c r="M80" i="80"/>
  <c r="M65" i="80" s="1"/>
  <c r="M72" i="80" s="1"/>
  <c r="M85" i="80" s="1"/>
  <c r="M87" i="80" s="1"/>
  <c r="M89" i="80" s="1"/>
  <c r="AO42" i="60"/>
  <c r="T44" i="44"/>
  <c r="BA25" i="72"/>
  <c r="AO67" i="113"/>
  <c r="AO66" i="113"/>
  <c r="AO65" i="113"/>
  <c r="AM68" i="113"/>
  <c r="AN22" i="60"/>
  <c r="L44" i="44"/>
  <c r="AM111" i="44" s="1"/>
  <c r="AM113" i="44" s="1"/>
  <c r="I50" i="44"/>
  <c r="AA67" i="80"/>
  <c r="AA69" i="80"/>
  <c r="AA62" i="80"/>
  <c r="AQ53" i="113"/>
  <c r="AP54" i="113"/>
  <c r="AP56" i="113" s="1"/>
  <c r="AP58" i="113" s="1"/>
  <c r="AP63" i="113" s="1"/>
  <c r="AP60" i="113"/>
  <c r="AP51" i="113"/>
  <c r="AP52" i="113" s="1"/>
  <c r="AN23" i="60"/>
  <c r="AO118" i="44" l="1"/>
  <c r="AP118" i="44" s="1"/>
  <c r="AN117" i="44"/>
  <c r="AN116" i="44"/>
  <c r="AN119" i="44"/>
  <c r="AA72" i="80"/>
  <c r="AA85" i="80" s="1"/>
  <c r="AM101" i="44"/>
  <c r="AM103" i="44" s="1"/>
  <c r="AA25" i="65"/>
  <c r="X72" i="80"/>
  <c r="X85" i="80" s="1"/>
  <c r="X84" i="80" s="1"/>
  <c r="X92" i="80" s="1"/>
  <c r="P86" i="80"/>
  <c r="Q86" i="80" s="1"/>
  <c r="R86" i="80" s="1"/>
  <c r="R93" i="80" s="1"/>
  <c r="S93" i="80" s="1"/>
  <c r="T93" i="80" s="1"/>
  <c r="R84" i="80"/>
  <c r="R92" i="80" s="1"/>
  <c r="S92" i="80" s="1"/>
  <c r="T92" i="80" s="1"/>
  <c r="U72" i="80"/>
  <c r="U85" i="80" s="1"/>
  <c r="V72" i="80"/>
  <c r="V85" i="80" s="1"/>
  <c r="R111" i="65"/>
  <c r="Q118" i="65"/>
  <c r="R113" i="65"/>
  <c r="R112" i="65"/>
  <c r="AP16" i="60"/>
  <c r="AP11" i="60"/>
  <c r="AO68" i="113"/>
  <c r="AP22" i="60"/>
  <c r="O44" i="44"/>
  <c r="N44" i="44"/>
  <c r="Q44" i="44"/>
  <c r="P93" i="80"/>
  <c r="Q93" i="80" s="1"/>
  <c r="O80" i="80"/>
  <c r="O65" i="80" s="1"/>
  <c r="O72" i="80" s="1"/>
  <c r="O85" i="80" s="1"/>
  <c r="AQ16" i="60"/>
  <c r="AQ11" i="60"/>
  <c r="W72" i="80"/>
  <c r="W85" i="80" s="1"/>
  <c r="G108" i="44"/>
  <c r="H108" i="44" s="1"/>
  <c r="AP65" i="113"/>
  <c r="AP66" i="113"/>
  <c r="AP67" i="113"/>
  <c r="AQ27" i="113"/>
  <c r="AQ29" i="113" s="1"/>
  <c r="AQ31" i="113" s="1"/>
  <c r="AR13" i="60" s="1"/>
  <c r="AQ24" i="113"/>
  <c r="AQ25" i="113" s="1"/>
  <c r="AR26" i="113"/>
  <c r="AQ33" i="113"/>
  <c r="AQ51" i="113"/>
  <c r="AQ52" i="113" s="1"/>
  <c r="AQ54" i="113"/>
  <c r="AQ56" i="113" s="1"/>
  <c r="AQ58" i="113" s="1"/>
  <c r="AQ63" i="113" s="1"/>
  <c r="AR53" i="113"/>
  <c r="AQ60" i="113"/>
  <c r="AN38" i="60"/>
  <c r="AN43" i="60"/>
  <c r="AP23" i="60"/>
  <c r="J40" i="91"/>
  <c r="M17" i="91"/>
  <c r="AP41" i="60"/>
  <c r="AP24" i="60"/>
  <c r="AO95" i="113"/>
  <c r="AP40" i="60"/>
  <c r="AP42" i="60"/>
  <c r="H24" i="61"/>
  <c r="F59" i="61"/>
  <c r="H63" i="61" s="1"/>
  <c r="AO20" i="60"/>
  <c r="AO25" i="60"/>
  <c r="AO38" i="60"/>
  <c r="AO43" i="60"/>
  <c r="AQ78" i="113"/>
  <c r="AQ79" i="113" s="1"/>
  <c r="AQ81" i="113"/>
  <c r="AQ83" i="113" s="1"/>
  <c r="AQ85" i="113" s="1"/>
  <c r="AQ90" i="113" s="1"/>
  <c r="AQ87" i="113"/>
  <c r="AR80" i="113"/>
  <c r="AN20" i="60"/>
  <c r="AN25" i="60"/>
  <c r="AP94" i="113"/>
  <c r="AP93" i="113"/>
  <c r="AP92" i="113"/>
  <c r="U69" i="44"/>
  <c r="P44" i="44"/>
  <c r="L50" i="44"/>
  <c r="L84" i="80"/>
  <c r="L92" i="80" s="1"/>
  <c r="R87" i="80" l="1"/>
  <c r="R89" i="80" s="1"/>
  <c r="AO119" i="44"/>
  <c r="AO116" i="44"/>
  <c r="AO117" i="44"/>
  <c r="Q87" i="80"/>
  <c r="Q89" i="80" s="1"/>
  <c r="S86" i="80"/>
  <c r="S87" i="80" s="1"/>
  <c r="S89" i="80" s="1"/>
  <c r="P87" i="80"/>
  <c r="P89" i="80" s="1"/>
  <c r="R98" i="80"/>
  <c r="R103" i="80" s="1"/>
  <c r="AN106" i="44"/>
  <c r="AN107" i="44"/>
  <c r="AN108" i="44"/>
  <c r="AO107" i="60"/>
  <c r="U84" i="80"/>
  <c r="U92" i="80" s="1"/>
  <c r="V92" i="80" s="1"/>
  <c r="W92" i="80" s="1"/>
  <c r="X98" i="80"/>
  <c r="Y92" i="80"/>
  <c r="Z92" i="80" s="1"/>
  <c r="U75" i="44"/>
  <c r="AR11" i="60"/>
  <c r="AR16" i="60"/>
  <c r="O87" i="80"/>
  <c r="O89" i="80" s="1"/>
  <c r="O84" i="80"/>
  <c r="O92" i="80" s="1"/>
  <c r="AQ24" i="60"/>
  <c r="AR87" i="113"/>
  <c r="AR81" i="113"/>
  <c r="AR83" i="113" s="1"/>
  <c r="AR85" i="113" s="1"/>
  <c r="AR78" i="113"/>
  <c r="AR79" i="113" s="1"/>
  <c r="AS80" i="113"/>
  <c r="AQ23" i="60"/>
  <c r="R97" i="80"/>
  <c r="AP68" i="113"/>
  <c r="AQ22" i="60"/>
  <c r="AQ94" i="113"/>
  <c r="AQ92" i="113"/>
  <c r="AQ93" i="113"/>
  <c r="AP43" i="60"/>
  <c r="AP38" i="60"/>
  <c r="AS26" i="113"/>
  <c r="AR33" i="113"/>
  <c r="AR24" i="113"/>
  <c r="AR25" i="113" s="1"/>
  <c r="AR27" i="113"/>
  <c r="AR29" i="113" s="1"/>
  <c r="AR31" i="113" s="1"/>
  <c r="L98" i="80"/>
  <c r="L97" i="80"/>
  <c r="M92" i="80"/>
  <c r="N92" i="80" s="1"/>
  <c r="AN107" i="60"/>
  <c r="AP25" i="60"/>
  <c r="AP20" i="60"/>
  <c r="AP95" i="113"/>
  <c r="AQ40" i="60"/>
  <c r="AQ41" i="60"/>
  <c r="AR60" i="113"/>
  <c r="AR51" i="113"/>
  <c r="AR52" i="113" s="1"/>
  <c r="AR54" i="113"/>
  <c r="AR56" i="113" s="1"/>
  <c r="AR58" i="113" s="1"/>
  <c r="AS53" i="113"/>
  <c r="R44" i="44"/>
  <c r="AQ42" i="60"/>
  <c r="M40" i="91"/>
  <c r="P17" i="91"/>
  <c r="AQ66" i="113"/>
  <c r="AQ65" i="113"/>
  <c r="AQ67" i="113"/>
  <c r="AH41" i="44"/>
  <c r="T86" i="80" l="1"/>
  <c r="AP108" i="44"/>
  <c r="AU108" i="44"/>
  <c r="AP107" i="44"/>
  <c r="AU107" i="44"/>
  <c r="AP106" i="44"/>
  <c r="AU106" i="44"/>
  <c r="AP117" i="44"/>
  <c r="AU117" i="44"/>
  <c r="AP116" i="44"/>
  <c r="AU116" i="44"/>
  <c r="AP119" i="44"/>
  <c r="AU119" i="44"/>
  <c r="S98" i="80"/>
  <c r="T98" i="80" s="1"/>
  <c r="U98" i="80"/>
  <c r="U103" i="80" s="1"/>
  <c r="AR41" i="60"/>
  <c r="AR90" i="113"/>
  <c r="AR24" i="60"/>
  <c r="AQ95" i="113"/>
  <c r="AR40" i="60"/>
  <c r="AS13" i="60"/>
  <c r="U86" i="80"/>
  <c r="T87" i="80"/>
  <c r="T89" i="80" s="1"/>
  <c r="AT53" i="113"/>
  <c r="AS51" i="113"/>
  <c r="AS52" i="113" s="1"/>
  <c r="AS54" i="113"/>
  <c r="AS56" i="113" s="1"/>
  <c r="AS58" i="113" s="1"/>
  <c r="AS63" i="113" s="1"/>
  <c r="AS60" i="113"/>
  <c r="AR63" i="113"/>
  <c r="AQ68" i="113"/>
  <c r="AR22" i="60"/>
  <c r="AR42" i="60"/>
  <c r="AR23" i="60"/>
  <c r="AQ25" i="60"/>
  <c r="AQ20" i="60"/>
  <c r="S103" i="80"/>
  <c r="Z52" i="60"/>
  <c r="T17" i="60"/>
  <c r="M97" i="80"/>
  <c r="AS33" i="113"/>
  <c r="AS24" i="113"/>
  <c r="AS25" i="113" s="1"/>
  <c r="AT26" i="113"/>
  <c r="AS27" i="113"/>
  <c r="AS29" i="113" s="1"/>
  <c r="AS31" i="113" s="1"/>
  <c r="AT13" i="60" s="1"/>
  <c r="Y98" i="80"/>
  <c r="Z98" i="80" s="1"/>
  <c r="X103" i="80"/>
  <c r="AT80" i="113"/>
  <c r="AS81" i="113"/>
  <c r="AS83" i="113" s="1"/>
  <c r="AS85" i="113" s="1"/>
  <c r="AS90" i="113" s="1"/>
  <c r="AS78" i="113"/>
  <c r="AS79" i="113" s="1"/>
  <c r="AS87" i="113"/>
  <c r="AQ38" i="60"/>
  <c r="AQ43" i="60"/>
  <c r="L103" i="80"/>
  <c r="M98" i="80"/>
  <c r="N98" i="80" s="1"/>
  <c r="AP107" i="60"/>
  <c r="Z17" i="60"/>
  <c r="S97" i="80"/>
  <c r="O98" i="80"/>
  <c r="P92" i="80"/>
  <c r="Q92" i="80" s="1"/>
  <c r="O97" i="80"/>
  <c r="V98" i="80" l="1"/>
  <c r="W98" i="80" s="1"/>
  <c r="AA17" i="60"/>
  <c r="T97" i="80"/>
  <c r="AB17" i="60" s="1"/>
  <c r="AT33" i="113"/>
  <c r="AT24" i="113"/>
  <c r="AT25" i="113" s="1"/>
  <c r="AU26" i="113"/>
  <c r="AT27" i="113"/>
  <c r="AT29" i="113" s="1"/>
  <c r="AT31" i="113" s="1"/>
  <c r="AU13" i="60" s="1"/>
  <c r="AC52" i="60"/>
  <c r="V103" i="80"/>
  <c r="M103" i="80"/>
  <c r="T52" i="60"/>
  <c r="AR67" i="113"/>
  <c r="AR65" i="113"/>
  <c r="AR66" i="113"/>
  <c r="U17" i="60"/>
  <c r="N97" i="80"/>
  <c r="V17" i="60" s="1"/>
  <c r="AS16" i="60"/>
  <c r="AS11" i="60"/>
  <c r="AR94" i="113"/>
  <c r="AR93" i="113"/>
  <c r="AR92" i="113"/>
  <c r="AQ107" i="60"/>
  <c r="T18" i="60"/>
  <c r="U11" i="72" s="1"/>
  <c r="T26" i="60"/>
  <c r="AS67" i="113"/>
  <c r="AS66" i="113"/>
  <c r="AS65" i="113"/>
  <c r="W17" i="60"/>
  <c r="P97" i="80"/>
  <c r="AT78" i="113"/>
  <c r="AT79" i="113" s="1"/>
  <c r="AT81" i="113"/>
  <c r="AT83" i="113" s="1"/>
  <c r="AT85" i="113" s="1"/>
  <c r="AT90" i="113" s="1"/>
  <c r="AU80" i="113"/>
  <c r="AT87" i="113"/>
  <c r="AT16" i="60"/>
  <c r="AT11" i="60"/>
  <c r="E53" i="65"/>
  <c r="E54" i="65" s="1"/>
  <c r="Z60" i="60"/>
  <c r="Z53" i="60"/>
  <c r="E53" i="115"/>
  <c r="E54" i="115" s="1"/>
  <c r="AR25" i="60"/>
  <c r="AR20" i="60"/>
  <c r="AT51" i="113"/>
  <c r="AT52" i="113" s="1"/>
  <c r="AT54" i="113"/>
  <c r="AT56" i="113" s="1"/>
  <c r="AT58" i="113" s="1"/>
  <c r="AT63" i="113" s="1"/>
  <c r="AT60" i="113"/>
  <c r="AU53" i="113"/>
  <c r="O103" i="80"/>
  <c r="P98" i="80"/>
  <c r="Q98" i="80" s="1"/>
  <c r="AS94" i="113"/>
  <c r="AS93" i="113"/>
  <c r="AS92" i="113"/>
  <c r="T103" i="80"/>
  <c r="AB52" i="60" s="1"/>
  <c r="AA52" i="60"/>
  <c r="AR38" i="60"/>
  <c r="AR43" i="60"/>
  <c r="V86" i="80"/>
  <c r="U93" i="80"/>
  <c r="U87" i="80"/>
  <c r="U89" i="80" s="1"/>
  <c r="Z18" i="60"/>
  <c r="AB11" i="72" s="1"/>
  <c r="Z26" i="60"/>
  <c r="E18" i="65"/>
  <c r="E19" i="65" s="1"/>
  <c r="E18" i="115"/>
  <c r="E19" i="115" s="1"/>
  <c r="AF52" i="60"/>
  <c r="Y103" i="80"/>
  <c r="AR107" i="60" l="1"/>
  <c r="G53" i="65"/>
  <c r="G54" i="65" s="1"/>
  <c r="G53" i="115"/>
  <c r="G54" i="115" s="1"/>
  <c r="AB53" i="60"/>
  <c r="AB60" i="60"/>
  <c r="V26" i="60"/>
  <c r="V18" i="60"/>
  <c r="W11" i="72" s="1"/>
  <c r="AT41" i="60"/>
  <c r="U26" i="60"/>
  <c r="U18" i="60"/>
  <c r="V11" i="72" s="1"/>
  <c r="AT42" i="60"/>
  <c r="E61" i="115"/>
  <c r="E62" i="115" s="1"/>
  <c r="E61" i="65"/>
  <c r="E62" i="65" s="1"/>
  <c r="Z61" i="60"/>
  <c r="P103" i="80"/>
  <c r="W52" i="60"/>
  <c r="X17" i="60"/>
  <c r="Q97" i="80"/>
  <c r="Y17" i="60" s="1"/>
  <c r="AR95" i="113"/>
  <c r="AS40" i="60"/>
  <c r="V93" i="80"/>
  <c r="W93" i="80" s="1"/>
  <c r="U97" i="80"/>
  <c r="AV53" i="113"/>
  <c r="AU54" i="113"/>
  <c r="AU56" i="113" s="1"/>
  <c r="AU58" i="113" s="1"/>
  <c r="AU63" i="113" s="1"/>
  <c r="AU60" i="113"/>
  <c r="AU51" i="113"/>
  <c r="AU52" i="113" s="1"/>
  <c r="W18" i="60"/>
  <c r="X11" i="72" s="1"/>
  <c r="W26" i="60"/>
  <c r="AS41" i="60"/>
  <c r="AS23" i="60"/>
  <c r="K53" i="65"/>
  <c r="K54" i="65" s="1"/>
  <c r="K53" i="115"/>
  <c r="K54" i="115" s="1"/>
  <c r="AF53" i="60"/>
  <c r="AF60" i="60"/>
  <c r="AT92" i="113"/>
  <c r="AT93" i="113"/>
  <c r="AT94" i="113"/>
  <c r="U52" i="60"/>
  <c r="N103" i="80"/>
  <c r="V52" i="60" s="1"/>
  <c r="AS95" i="113"/>
  <c r="AT40" i="60"/>
  <c r="T27" i="60"/>
  <c r="T35" i="60"/>
  <c r="Z27" i="60"/>
  <c r="Z35" i="60"/>
  <c r="E27" i="115"/>
  <c r="E28" i="115" s="1"/>
  <c r="E27" i="65"/>
  <c r="E28" i="65" s="1"/>
  <c r="AU16" i="60"/>
  <c r="AU11" i="60"/>
  <c r="AU27" i="113"/>
  <c r="AU29" i="113" s="1"/>
  <c r="AU31" i="113" s="1"/>
  <c r="AV13" i="60" s="1"/>
  <c r="AU24" i="113"/>
  <c r="AU25" i="113" s="1"/>
  <c r="AU33" i="113"/>
  <c r="AV26" i="113"/>
  <c r="W86" i="80"/>
  <c r="V87" i="80"/>
  <c r="V89" i="80" s="1"/>
  <c r="AS42" i="60"/>
  <c r="AR68" i="113"/>
  <c r="AS22" i="60"/>
  <c r="AT67" i="113"/>
  <c r="AT66" i="113"/>
  <c r="AT65" i="113"/>
  <c r="AS24" i="60"/>
  <c r="AB26" i="60"/>
  <c r="AB18" i="60"/>
  <c r="AD11" i="72" s="1"/>
  <c r="G18" i="115"/>
  <c r="G19" i="115" s="1"/>
  <c r="G18" i="65"/>
  <c r="G19" i="65" s="1"/>
  <c r="AD52" i="60"/>
  <c r="W103" i="80"/>
  <c r="AE52" i="60" s="1"/>
  <c r="H53" i="65"/>
  <c r="H54" i="65" s="1"/>
  <c r="H53" i="115"/>
  <c r="H54" i="115" s="1"/>
  <c r="AC53" i="60"/>
  <c r="AC60" i="60"/>
  <c r="AS68" i="113"/>
  <c r="AT22" i="60"/>
  <c r="F18" i="115"/>
  <c r="F19" i="115" s="1"/>
  <c r="F18" i="65"/>
  <c r="F19" i="65" s="1"/>
  <c r="AA18" i="60"/>
  <c r="AC11" i="72" s="1"/>
  <c r="AA26" i="60"/>
  <c r="AT23" i="60"/>
  <c r="Z103" i="80"/>
  <c r="AH52" i="60" s="1"/>
  <c r="AG52" i="60"/>
  <c r="AA60" i="60"/>
  <c r="F53" i="115"/>
  <c r="F54" i="115" s="1"/>
  <c r="F53" i="65"/>
  <c r="F54" i="65" s="1"/>
  <c r="AA53" i="60"/>
  <c r="AV80" i="113"/>
  <c r="AU78" i="113"/>
  <c r="AU79" i="113" s="1"/>
  <c r="AU81" i="113"/>
  <c r="AU83" i="113" s="1"/>
  <c r="AU85" i="113" s="1"/>
  <c r="AU90" i="113" s="1"/>
  <c r="AU87" i="113"/>
  <c r="AT24" i="60"/>
  <c r="T53" i="60"/>
  <c r="T60" i="60"/>
  <c r="T61" i="60" s="1"/>
  <c r="AE60" i="60" l="1"/>
  <c r="AE53" i="60"/>
  <c r="J53" i="115"/>
  <c r="J54" i="115" s="1"/>
  <c r="J53" i="65"/>
  <c r="J54" i="65" s="1"/>
  <c r="I53" i="115"/>
  <c r="I54" i="115" s="1"/>
  <c r="I53" i="65"/>
  <c r="I54" i="65" s="1"/>
  <c r="AD53" i="60"/>
  <c r="AD60" i="60"/>
  <c r="M53" i="65"/>
  <c r="M54" i="65" s="1"/>
  <c r="M53" i="115"/>
  <c r="M54" i="115" s="1"/>
  <c r="AH53" i="60"/>
  <c r="AH60" i="60"/>
  <c r="U27" i="60"/>
  <c r="U35" i="60"/>
  <c r="G27" i="65"/>
  <c r="G28" i="65" s="1"/>
  <c r="AB27" i="60"/>
  <c r="AB35" i="60"/>
  <c r="G27" i="115"/>
  <c r="G28" i="115" s="1"/>
  <c r="D18" i="65"/>
  <c r="D19" i="65" s="1"/>
  <c r="Y26" i="60"/>
  <c r="D18" i="115"/>
  <c r="D19" i="115" s="1"/>
  <c r="Y18" i="60"/>
  <c r="AA11" i="72" s="1"/>
  <c r="AU92" i="113"/>
  <c r="AU94" i="113"/>
  <c r="AU93" i="113"/>
  <c r="AU42" i="60"/>
  <c r="W35" i="60"/>
  <c r="W27" i="60"/>
  <c r="X26" i="60"/>
  <c r="X18" i="60"/>
  <c r="Y11" i="72" s="1"/>
  <c r="AU41" i="60"/>
  <c r="W60" i="60"/>
  <c r="W61" i="60" s="1"/>
  <c r="W53" i="60"/>
  <c r="AV87" i="113"/>
  <c r="AV81" i="113"/>
  <c r="AV83" i="113" s="1"/>
  <c r="AV85" i="113" s="1"/>
  <c r="AV90" i="113" s="1"/>
  <c r="AW80" i="113"/>
  <c r="AV78" i="113"/>
  <c r="AV79" i="113" s="1"/>
  <c r="H61" i="115"/>
  <c r="H62" i="115" s="1"/>
  <c r="AC61" i="60"/>
  <c r="H61" i="65"/>
  <c r="H62" i="65" s="1"/>
  <c r="E36" i="115"/>
  <c r="E37" i="115" s="1"/>
  <c r="E36" i="65"/>
  <c r="E37" i="65" s="1"/>
  <c r="Z44" i="60"/>
  <c r="Z36" i="60"/>
  <c r="AB13" i="72" s="1"/>
  <c r="AT95" i="113"/>
  <c r="AU40" i="60"/>
  <c r="X52" i="60"/>
  <c r="Q103" i="80"/>
  <c r="Y52" i="60" s="1"/>
  <c r="V27" i="60"/>
  <c r="V35" i="60"/>
  <c r="X86" i="80"/>
  <c r="W87" i="80"/>
  <c r="W89" i="80" s="1"/>
  <c r="AB12" i="72"/>
  <c r="AF61" i="60"/>
  <c r="K61" i="65"/>
  <c r="K62" i="65" s="1"/>
  <c r="K61" i="115"/>
  <c r="K62" i="115" s="1"/>
  <c r="G61" i="115"/>
  <c r="G62" i="115" s="1"/>
  <c r="AB61" i="60"/>
  <c r="G61" i="65"/>
  <c r="G62" i="65" s="1"/>
  <c r="AU24" i="60"/>
  <c r="U12" i="72"/>
  <c r="F61" i="115"/>
  <c r="F62" i="115" s="1"/>
  <c r="AA61" i="60"/>
  <c r="F61" i="65"/>
  <c r="F62" i="65" s="1"/>
  <c r="V60" i="60"/>
  <c r="V61" i="60" s="1"/>
  <c r="V53" i="60"/>
  <c r="AT20" i="60"/>
  <c r="AT25" i="60"/>
  <c r="U60" i="60"/>
  <c r="U61" i="60" s="1"/>
  <c r="U53" i="60"/>
  <c r="AT68" i="113"/>
  <c r="AU22" i="60"/>
  <c r="AU65" i="113"/>
  <c r="AU66" i="113"/>
  <c r="AU67" i="113"/>
  <c r="F27" i="65"/>
  <c r="F28" i="65" s="1"/>
  <c r="AA27" i="60"/>
  <c r="AA35" i="60"/>
  <c r="F27" i="115"/>
  <c r="F28" i="115" s="1"/>
  <c r="AU23" i="60"/>
  <c r="AV27" i="113"/>
  <c r="AV29" i="113" s="1"/>
  <c r="AV31" i="113" s="1"/>
  <c r="AW13" i="60" s="1"/>
  <c r="AW26" i="113"/>
  <c r="AV24" i="113"/>
  <c r="AV25" i="113" s="1"/>
  <c r="AV33" i="113"/>
  <c r="T44" i="60"/>
  <c r="T45" i="60" s="1"/>
  <c r="U14" i="72" s="1"/>
  <c r="T36" i="60"/>
  <c r="AV54" i="113"/>
  <c r="AV56" i="113" s="1"/>
  <c r="AV58" i="113" s="1"/>
  <c r="AV63" i="113" s="1"/>
  <c r="AV60" i="113"/>
  <c r="AW53" i="113"/>
  <c r="AV51" i="113"/>
  <c r="AV52" i="113" s="1"/>
  <c r="V97" i="80"/>
  <c r="AC17" i="60"/>
  <c r="AS20" i="60"/>
  <c r="AS25" i="60"/>
  <c r="AT38" i="60"/>
  <c r="AT43" i="60"/>
  <c r="AG53" i="60"/>
  <c r="AG60" i="60"/>
  <c r="L53" i="65"/>
  <c r="L54" i="65" s="1"/>
  <c r="L53" i="115"/>
  <c r="L54" i="115" s="1"/>
  <c r="AV16" i="60"/>
  <c r="AV11" i="60"/>
  <c r="AS43" i="60"/>
  <c r="AS38" i="60"/>
  <c r="AT107" i="60" l="1"/>
  <c r="U57" i="64"/>
  <c r="U58" i="64" s="1"/>
  <c r="AV67" i="113"/>
  <c r="AV65" i="113"/>
  <c r="AV66" i="113"/>
  <c r="D27" i="65"/>
  <c r="D28" i="65" s="1"/>
  <c r="D27" i="115"/>
  <c r="D28" i="115" s="1"/>
  <c r="Y27" i="60"/>
  <c r="Y35" i="60"/>
  <c r="E45" i="115"/>
  <c r="E46" i="115" s="1"/>
  <c r="Z45" i="60"/>
  <c r="AA57" i="64" s="1"/>
  <c r="E45" i="65"/>
  <c r="E46" i="65" s="1"/>
  <c r="X12" i="72"/>
  <c r="W36" i="60"/>
  <c r="X13" i="72" s="1"/>
  <c r="W44" i="60"/>
  <c r="W45" i="60" s="1"/>
  <c r="X14" i="72" s="1"/>
  <c r="G36" i="115"/>
  <c r="G37" i="115" s="1"/>
  <c r="G36" i="65"/>
  <c r="G37" i="65" s="1"/>
  <c r="AB44" i="60"/>
  <c r="AB36" i="60"/>
  <c r="AD13" i="72" s="1"/>
  <c r="M61" i="115"/>
  <c r="M62" i="115" s="1"/>
  <c r="M61" i="65"/>
  <c r="M62" i="65" s="1"/>
  <c r="AH61" i="60"/>
  <c r="Y86" i="80"/>
  <c r="X93" i="80"/>
  <c r="X87" i="80"/>
  <c r="X89" i="80" s="1"/>
  <c r="AD12" i="72"/>
  <c r="AD17" i="60"/>
  <c r="W97" i="80"/>
  <c r="AE17" i="60" s="1"/>
  <c r="AW33" i="113"/>
  <c r="AX26" i="113"/>
  <c r="AW24" i="113"/>
  <c r="AW25" i="113" s="1"/>
  <c r="AW27" i="113"/>
  <c r="AW29" i="113" s="1"/>
  <c r="AW31" i="113" s="1"/>
  <c r="AX13" i="60" s="1"/>
  <c r="V44" i="60"/>
  <c r="V45" i="60" s="1"/>
  <c r="W14" i="72" s="1"/>
  <c r="V36" i="60"/>
  <c r="W13" i="72" s="1"/>
  <c r="AW16" i="60"/>
  <c r="AW11" i="60"/>
  <c r="W12" i="72"/>
  <c r="Y60" i="60"/>
  <c r="D53" i="65"/>
  <c r="D54" i="65" s="1"/>
  <c r="Y53" i="60"/>
  <c r="D53" i="115"/>
  <c r="D54" i="115" s="1"/>
  <c r="AV41" i="60"/>
  <c r="V12" i="72"/>
  <c r="AE61" i="60"/>
  <c r="J61" i="65"/>
  <c r="J62" i="65" s="1"/>
  <c r="J61" i="115"/>
  <c r="J62" i="115" s="1"/>
  <c r="U13" i="72"/>
  <c r="AV24" i="60"/>
  <c r="AV23" i="60"/>
  <c r="AU68" i="113"/>
  <c r="AV22" i="60"/>
  <c r="AC18" i="60"/>
  <c r="AE11" i="72" s="1"/>
  <c r="H18" i="65"/>
  <c r="H19" i="65" s="1"/>
  <c r="H18" i="115"/>
  <c r="H19" i="115" s="1"/>
  <c r="AC26" i="60"/>
  <c r="AU20" i="60"/>
  <c r="AU25" i="60"/>
  <c r="T108" i="60"/>
  <c r="T102" i="60" s="1"/>
  <c r="L61" i="115"/>
  <c r="L62" i="115" s="1"/>
  <c r="L61" i="65"/>
  <c r="L62" i="65" s="1"/>
  <c r="AG61" i="60"/>
  <c r="U36" i="60"/>
  <c r="V13" i="72" s="1"/>
  <c r="U44" i="60"/>
  <c r="U45" i="60" s="1"/>
  <c r="V14" i="72" s="1"/>
  <c r="X53" i="60"/>
  <c r="X60" i="60"/>
  <c r="X61" i="60" s="1"/>
  <c r="AV42" i="60"/>
  <c r="I61" i="65"/>
  <c r="I62" i="65" s="1"/>
  <c r="I61" i="115"/>
  <c r="I62" i="115" s="1"/>
  <c r="AD61" i="60"/>
  <c r="X35" i="60"/>
  <c r="X27" i="60"/>
  <c r="AU43" i="60"/>
  <c r="AU38" i="60"/>
  <c r="AW81" i="113"/>
  <c r="AW83" i="113" s="1"/>
  <c r="AW85" i="113" s="1"/>
  <c r="AW90" i="113" s="1"/>
  <c r="AX80" i="113"/>
  <c r="AW87" i="113"/>
  <c r="AW78" i="113"/>
  <c r="AW79" i="113" s="1"/>
  <c r="AU95" i="113"/>
  <c r="AV40" i="60"/>
  <c r="AS107" i="60"/>
  <c r="AX53" i="113"/>
  <c r="AW60" i="113"/>
  <c r="AW51" i="113"/>
  <c r="AW52" i="113" s="1"/>
  <c r="AW54" i="113"/>
  <c r="AW56" i="113" s="1"/>
  <c r="AW58" i="113" s="1"/>
  <c r="AW63" i="113" s="1"/>
  <c r="F36" i="65"/>
  <c r="F37" i="65" s="1"/>
  <c r="F36" i="115"/>
  <c r="F37" i="115" s="1"/>
  <c r="AA36" i="60"/>
  <c r="AC13" i="72" s="1"/>
  <c r="AA44" i="60"/>
  <c r="AV92" i="113"/>
  <c r="AV94" i="113"/>
  <c r="AV93" i="113"/>
  <c r="AC12" i="72"/>
  <c r="U15" i="72" l="1"/>
  <c r="U23" i="72" s="1"/>
  <c r="W57" i="64"/>
  <c r="X57" i="64"/>
  <c r="X58" i="64" s="1"/>
  <c r="V57" i="64"/>
  <c r="V58" i="64" s="1"/>
  <c r="U99" i="60"/>
  <c r="V18" i="72" s="1"/>
  <c r="V108" i="60"/>
  <c r="V102" i="60" s="1"/>
  <c r="W25" i="72" s="1"/>
  <c r="U108" i="60"/>
  <c r="U102" i="60" s="1"/>
  <c r="V25" i="72" s="1"/>
  <c r="W15" i="72"/>
  <c r="I18" i="115"/>
  <c r="I19" i="115" s="1"/>
  <c r="AD26" i="60"/>
  <c r="I18" i="65"/>
  <c r="I19" i="65" s="1"/>
  <c r="AD18" i="60"/>
  <c r="AF11" i="72" s="1"/>
  <c r="E103" i="65"/>
  <c r="E109" i="65"/>
  <c r="AV38" i="60"/>
  <c r="AV43" i="60"/>
  <c r="Y12" i="72"/>
  <c r="W108" i="60"/>
  <c r="W102" i="60" s="1"/>
  <c r="X25" i="72" s="1"/>
  <c r="AA12" i="72"/>
  <c r="AX81" i="113"/>
  <c r="AX83" i="113" s="1"/>
  <c r="AX85" i="113" s="1"/>
  <c r="AX78" i="113"/>
  <c r="AX79" i="113" s="1"/>
  <c r="AX87" i="113"/>
  <c r="AV95" i="113"/>
  <c r="AW40" i="60"/>
  <c r="AE18" i="60"/>
  <c r="AG11" i="72" s="1"/>
  <c r="AE26" i="60"/>
  <c r="J18" i="65"/>
  <c r="J19" i="65" s="1"/>
  <c r="J18" i="115"/>
  <c r="J19" i="115" s="1"/>
  <c r="G45" i="65"/>
  <c r="G46" i="65" s="1"/>
  <c r="G45" i="115"/>
  <c r="G46" i="115" s="1"/>
  <c r="AB45" i="60"/>
  <c r="AC57" i="64" s="1"/>
  <c r="Z108" i="60"/>
  <c r="Z102" i="60" s="1"/>
  <c r="AB25" i="72" s="1"/>
  <c r="AB14" i="72"/>
  <c r="X44" i="60"/>
  <c r="X45" i="60" s="1"/>
  <c r="Y14" i="72" s="1"/>
  <c r="X36" i="60"/>
  <c r="Y13" i="72" s="1"/>
  <c r="AC27" i="60"/>
  <c r="H27" i="65"/>
  <c r="H28" i="65" s="1"/>
  <c r="AC35" i="60"/>
  <c r="H27" i="115"/>
  <c r="H28" i="115" s="1"/>
  <c r="V15" i="72"/>
  <c r="E103" i="115"/>
  <c r="E109" i="115"/>
  <c r="F45" i="65"/>
  <c r="F46" i="65" s="1"/>
  <c r="F45" i="115"/>
  <c r="F46" i="115" s="1"/>
  <c r="AA45" i="60"/>
  <c r="AB57" i="64" s="1"/>
  <c r="D36" i="115"/>
  <c r="D37" i="115" s="1"/>
  <c r="D36" i="65"/>
  <c r="D37" i="65" s="1"/>
  <c r="Y44" i="60"/>
  <c r="Y36" i="60"/>
  <c r="Y93" i="80"/>
  <c r="Z93" i="80" s="1"/>
  <c r="X97" i="80"/>
  <c r="AW65" i="113"/>
  <c r="AW66" i="113"/>
  <c r="AW67" i="113"/>
  <c r="AW92" i="113"/>
  <c r="AW93" i="113"/>
  <c r="AW94" i="113"/>
  <c r="AX11" i="60"/>
  <c r="AX16" i="60"/>
  <c r="Z86" i="80"/>
  <c r="Z87" i="80" s="1"/>
  <c r="Z89" i="80" s="1"/>
  <c r="Y87" i="80"/>
  <c r="Y89" i="80" s="1"/>
  <c r="AW23" i="60"/>
  <c r="AV20" i="60"/>
  <c r="AV25" i="60"/>
  <c r="D61" i="65"/>
  <c r="D62" i="65" s="1"/>
  <c r="D61" i="115"/>
  <c r="D62" i="115" s="1"/>
  <c r="Y61" i="60"/>
  <c r="AV68" i="113"/>
  <c r="AW22" i="60"/>
  <c r="AW41" i="60"/>
  <c r="AU107" i="60"/>
  <c r="AX27" i="113"/>
  <c r="AX29" i="113" s="1"/>
  <c r="AX31" i="113" s="1"/>
  <c r="AX33" i="113"/>
  <c r="AX24" i="113"/>
  <c r="AX25" i="113" s="1"/>
  <c r="AW24" i="60"/>
  <c r="AW42" i="60"/>
  <c r="AX51" i="113"/>
  <c r="AX52" i="113" s="1"/>
  <c r="AX54" i="113"/>
  <c r="AX56" i="113" s="1"/>
  <c r="AX58" i="113" s="1"/>
  <c r="AX60" i="113"/>
  <c r="U25" i="72"/>
  <c r="T103" i="60"/>
  <c r="X15" i="72"/>
  <c r="AW88" i="113" l="1"/>
  <c r="AX114" i="60" s="1"/>
  <c r="AB15" i="72"/>
  <c r="U28" i="72"/>
  <c r="V22" i="72"/>
  <c r="V23" i="72" s="1"/>
  <c r="V28" i="72" s="1"/>
  <c r="X99" i="60"/>
  <c r="Y18" i="72" s="1"/>
  <c r="Y22" i="72" s="1"/>
  <c r="U101" i="60"/>
  <c r="U103" i="60" s="1"/>
  <c r="V99" i="60"/>
  <c r="W18" i="72" s="1"/>
  <c r="W22" i="72" s="1"/>
  <c r="W23" i="72" s="1"/>
  <c r="W28" i="72" s="1"/>
  <c r="Y57" i="64"/>
  <c r="Y58" i="64" s="1"/>
  <c r="AT34" i="113"/>
  <c r="AU111" i="60" s="1"/>
  <c r="AS61" i="113"/>
  <c r="AT112" i="60" s="1"/>
  <c r="AR34" i="113"/>
  <c r="AS111" i="60" s="1"/>
  <c r="AS34" i="113"/>
  <c r="AT111" i="60" s="1"/>
  <c r="AS88" i="113"/>
  <c r="AT114" i="60" s="1"/>
  <c r="AW34" i="113"/>
  <c r="AX111" i="60" s="1"/>
  <c r="AU61" i="113"/>
  <c r="AV112" i="60" s="1"/>
  <c r="G109" i="65"/>
  <c r="G103" i="65"/>
  <c r="AX90" i="113"/>
  <c r="AY80" i="113"/>
  <c r="AU88" i="113"/>
  <c r="AV114" i="60" s="1"/>
  <c r="AA108" i="60"/>
  <c r="AA102" i="60" s="1"/>
  <c r="AC25" i="72" s="1"/>
  <c r="AC14" i="72"/>
  <c r="AE27" i="60"/>
  <c r="J27" i="65"/>
  <c r="J28" i="65" s="1"/>
  <c r="AE35" i="60"/>
  <c r="J27" i="115"/>
  <c r="J28" i="115" s="1"/>
  <c r="AW25" i="60"/>
  <c r="AW20" i="60"/>
  <c r="AX41" i="60"/>
  <c r="AQ88" i="113"/>
  <c r="AR114" i="60" s="1"/>
  <c r="F109" i="115"/>
  <c r="F103" i="115"/>
  <c r="Y15" i="72"/>
  <c r="AW95" i="113"/>
  <c r="AX40" i="60"/>
  <c r="AT88" i="113"/>
  <c r="AU114" i="60" s="1"/>
  <c r="F103" i="65"/>
  <c r="F109" i="65"/>
  <c r="AA99" i="60"/>
  <c r="AA58" i="64"/>
  <c r="AW38" i="60"/>
  <c r="AW43" i="60"/>
  <c r="AX24" i="60"/>
  <c r="AR88" i="113"/>
  <c r="AS114" i="60" s="1"/>
  <c r="AQ34" i="113"/>
  <c r="AR111" i="60" s="1"/>
  <c r="AX34" i="113"/>
  <c r="AY111" i="60" s="1"/>
  <c r="AN34" i="113"/>
  <c r="AO111" i="60" s="1"/>
  <c r="AM34" i="113"/>
  <c r="AN111" i="60" s="1"/>
  <c r="AP34" i="113"/>
  <c r="AQ111" i="60" s="1"/>
  <c r="AO34" i="113"/>
  <c r="AP111" i="60" s="1"/>
  <c r="AU34" i="113"/>
  <c r="AV111" i="60" s="1"/>
  <c r="AV34" i="113"/>
  <c r="AW111" i="60" s="1"/>
  <c r="AX23" i="60"/>
  <c r="AV107" i="60"/>
  <c r="AX63" i="113"/>
  <c r="AY53" i="113"/>
  <c r="AF17" i="60"/>
  <c r="Y97" i="80"/>
  <c r="AW61" i="113"/>
  <c r="AX112" i="60" s="1"/>
  <c r="W58" i="64"/>
  <c r="W99" i="60"/>
  <c r="AE12" i="72"/>
  <c r="AX42" i="60"/>
  <c r="X108" i="60"/>
  <c r="X102" i="60" s="1"/>
  <c r="Y25" i="72" s="1"/>
  <c r="AY13" i="60"/>
  <c r="AY26" i="113"/>
  <c r="AW68" i="113"/>
  <c r="AX22" i="60"/>
  <c r="AA13" i="72"/>
  <c r="AB108" i="60"/>
  <c r="AB102" i="60" s="1"/>
  <c r="AD25" i="72" s="1"/>
  <c r="AD14" i="72"/>
  <c r="AX61" i="113"/>
  <c r="AY112" i="60" s="1"/>
  <c r="AM61" i="113"/>
  <c r="AN112" i="60" s="1"/>
  <c r="AN61" i="113"/>
  <c r="AO112" i="60" s="1"/>
  <c r="AO61" i="113"/>
  <c r="AP112" i="60" s="1"/>
  <c r="AP61" i="113"/>
  <c r="AQ112" i="60" s="1"/>
  <c r="AQ61" i="113"/>
  <c r="AR112" i="60" s="1"/>
  <c r="AT61" i="113"/>
  <c r="AU112" i="60" s="1"/>
  <c r="AR61" i="113"/>
  <c r="AS112" i="60" s="1"/>
  <c r="D45" i="65"/>
  <c r="D46" i="65" s="1"/>
  <c r="D109" i="65" s="1"/>
  <c r="Y45" i="60"/>
  <c r="Z57" i="64" s="1"/>
  <c r="D45" i="115"/>
  <c r="D46" i="115" s="1"/>
  <c r="G109" i="115"/>
  <c r="G103" i="115"/>
  <c r="AC44" i="60"/>
  <c r="AC36" i="60"/>
  <c r="AE13" i="72" s="1"/>
  <c r="H36" i="65"/>
  <c r="H37" i="65" s="1"/>
  <c r="H36" i="115"/>
  <c r="H37" i="115" s="1"/>
  <c r="AX88" i="113"/>
  <c r="AY114" i="60" s="1"/>
  <c r="AN88" i="113"/>
  <c r="AO114" i="60" s="1"/>
  <c r="AM88" i="113"/>
  <c r="AN114" i="60" s="1"/>
  <c r="AP88" i="113"/>
  <c r="AQ114" i="60" s="1"/>
  <c r="AO88" i="113"/>
  <c r="AP114" i="60" s="1"/>
  <c r="AV88" i="113"/>
  <c r="AW114" i="60" s="1"/>
  <c r="AD35" i="60"/>
  <c r="AD27" i="60"/>
  <c r="I27" i="65"/>
  <c r="I28" i="65" s="1"/>
  <c r="I27" i="115"/>
  <c r="I28" i="115" s="1"/>
  <c r="AV61" i="113"/>
  <c r="AW112" i="60" s="1"/>
  <c r="AT110" i="60" l="1"/>
  <c r="AL5" i="80" s="1"/>
  <c r="X101" i="60"/>
  <c r="X103" i="60" s="1"/>
  <c r="V101" i="60"/>
  <c r="V103" i="60" s="1"/>
  <c r="Y99" i="60"/>
  <c r="Y101" i="60" s="1"/>
  <c r="AX110" i="60"/>
  <c r="AP5" i="80" s="1"/>
  <c r="AP7" i="80" s="1"/>
  <c r="AS110" i="60"/>
  <c r="AK5" i="80" s="1"/>
  <c r="AK7" i="80" s="1"/>
  <c r="AW110" i="60"/>
  <c r="AO5" i="80" s="1"/>
  <c r="AO8" i="80" s="1"/>
  <c r="AO9" i="80" s="1"/>
  <c r="AO10" i="80" s="1"/>
  <c r="AU110" i="60"/>
  <c r="AM5" i="80" s="1"/>
  <c r="AM8" i="80" s="1"/>
  <c r="AM9" i="80" s="1"/>
  <c r="AM10" i="80" s="1"/>
  <c r="AR110" i="60"/>
  <c r="AJ5" i="80" s="1"/>
  <c r="AJ8" i="80" s="1"/>
  <c r="AJ9" i="80" s="1"/>
  <c r="AJ10" i="80" s="1"/>
  <c r="D103" i="65"/>
  <c r="AW107" i="60"/>
  <c r="AY11" i="60"/>
  <c r="AY16" i="60"/>
  <c r="D109" i="115"/>
  <c r="AF18" i="60"/>
  <c r="AH11" i="72" s="1"/>
  <c r="AF26" i="60"/>
  <c r="K18" i="115"/>
  <c r="K19" i="115" s="1"/>
  <c r="K18" i="65"/>
  <c r="K19" i="65" s="1"/>
  <c r="AY110" i="60"/>
  <c r="AQ5" i="80" s="1"/>
  <c r="J36" i="115"/>
  <c r="J37" i="115" s="1"/>
  <c r="J36" i="65"/>
  <c r="J37" i="65" s="1"/>
  <c r="AE36" i="60"/>
  <c r="AE44" i="60"/>
  <c r="H45" i="115"/>
  <c r="H46" i="115" s="1"/>
  <c r="AC45" i="60"/>
  <c r="AD57" i="64" s="1"/>
  <c r="H45" i="65"/>
  <c r="H46" i="65" s="1"/>
  <c r="AF12" i="72"/>
  <c r="AC15" i="72"/>
  <c r="AQ110" i="60"/>
  <c r="AI5" i="80" s="1"/>
  <c r="Y108" i="60"/>
  <c r="Y102" i="60" s="1"/>
  <c r="AA25" i="72" s="1"/>
  <c r="AA14" i="72"/>
  <c r="AC99" i="60"/>
  <c r="AC58" i="64"/>
  <c r="AG17" i="60"/>
  <c r="Z97" i="80"/>
  <c r="AH17" i="60" s="1"/>
  <c r="AN110" i="60"/>
  <c r="AF5" i="80" s="1"/>
  <c r="AD15" i="72"/>
  <c r="AO110" i="60"/>
  <c r="AG5" i="80" s="1"/>
  <c r="AY51" i="113"/>
  <c r="AY52" i="113" s="1"/>
  <c r="AY60" i="113"/>
  <c r="AY54" i="113"/>
  <c r="AY56" i="113" s="1"/>
  <c r="AY58" i="113" s="1"/>
  <c r="AZ53" i="113"/>
  <c r="D103" i="115"/>
  <c r="X18" i="72"/>
  <c r="X22" i="72" s="1"/>
  <c r="X23" i="72" s="1"/>
  <c r="X28" i="72" s="1"/>
  <c r="W101" i="60"/>
  <c r="W103" i="60" s="1"/>
  <c r="AX65" i="113"/>
  <c r="AX67" i="113"/>
  <c r="AX66" i="113"/>
  <c r="AC18" i="72"/>
  <c r="F100" i="65"/>
  <c r="F102" i="65" s="1"/>
  <c r="F104" i="65" s="1"/>
  <c r="F100" i="115"/>
  <c r="AA101" i="60"/>
  <c r="Y23" i="72"/>
  <c r="Y28" i="72" s="1"/>
  <c r="AX20" i="60"/>
  <c r="AX25" i="60"/>
  <c r="AG12" i="72"/>
  <c r="AD36" i="60"/>
  <c r="AF13" i="72" s="1"/>
  <c r="I36" i="65"/>
  <c r="I37" i="65" s="1"/>
  <c r="I36" i="115"/>
  <c r="I37" i="115" s="1"/>
  <c r="AD44" i="60"/>
  <c r="AB58" i="64"/>
  <c r="AB99" i="60"/>
  <c r="AZ26" i="113"/>
  <c r="AY24" i="113"/>
  <c r="AY25" i="113" s="1"/>
  <c r="AY33" i="113"/>
  <c r="AY27" i="113"/>
  <c r="AY29" i="113" s="1"/>
  <c r="AY31" i="113" s="1"/>
  <c r="AX43" i="60"/>
  <c r="AX38" i="60"/>
  <c r="AL7" i="80"/>
  <c r="AL8" i="80"/>
  <c r="AL9" i="80" s="1"/>
  <c r="AL10" i="80" s="1"/>
  <c r="AV110" i="60"/>
  <c r="AN5" i="80" s="1"/>
  <c r="AY81" i="113"/>
  <c r="AY83" i="113" s="1"/>
  <c r="AY85" i="113" s="1"/>
  <c r="AY87" i="113"/>
  <c r="AY78" i="113"/>
  <c r="AY79" i="113" s="1"/>
  <c r="AZ80" i="113"/>
  <c r="AP110" i="60"/>
  <c r="AH5" i="80" s="1"/>
  <c r="AX92" i="113"/>
  <c r="AX94" i="113"/>
  <c r="AX93" i="113"/>
  <c r="AC22" i="72" l="1"/>
  <c r="AC23" i="72" s="1"/>
  <c r="AC28" i="72" s="1"/>
  <c r="AA15" i="72"/>
  <c r="AM7" i="80"/>
  <c r="D100" i="65"/>
  <c r="D102" i="65" s="1"/>
  <c r="AO7" i="80"/>
  <c r="D100" i="115"/>
  <c r="AA18" i="72"/>
  <c r="AX107" i="60"/>
  <c r="AP8" i="80"/>
  <c r="AP9" i="80" s="1"/>
  <c r="AP10" i="80" s="1"/>
  <c r="AP28" i="80" s="1"/>
  <c r="AK8" i="80"/>
  <c r="AK9" i="80" s="1"/>
  <c r="AK10" i="80" s="1"/>
  <c r="AK56" i="80" s="1"/>
  <c r="AJ7" i="80"/>
  <c r="AX95" i="113"/>
  <c r="AY40" i="60"/>
  <c r="M18" i="65"/>
  <c r="M19" i="65" s="1"/>
  <c r="M18" i="115"/>
  <c r="M19" i="115" s="1"/>
  <c r="AH18" i="60"/>
  <c r="AJ11" i="72" s="1"/>
  <c r="AH26" i="60"/>
  <c r="I45" i="65"/>
  <c r="I46" i="65" s="1"/>
  <c r="I45" i="115"/>
  <c r="I46" i="115" s="1"/>
  <c r="AD45" i="60"/>
  <c r="AE57" i="64" s="1"/>
  <c r="AZ78" i="113"/>
  <c r="AZ79" i="113" s="1"/>
  <c r="AZ81" i="113"/>
  <c r="AZ83" i="113" s="1"/>
  <c r="AZ85" i="113" s="1"/>
  <c r="AZ90" i="113" s="1"/>
  <c r="BA80" i="113"/>
  <c r="AZ87" i="113"/>
  <c r="Z99" i="60"/>
  <c r="Z58" i="64"/>
  <c r="AY23" i="60"/>
  <c r="AF35" i="60"/>
  <c r="AF27" i="60"/>
  <c r="K27" i="115"/>
  <c r="K28" i="115" s="1"/>
  <c r="K27" i="65"/>
  <c r="K28" i="65" s="1"/>
  <c r="AY90" i="113"/>
  <c r="AX68" i="113"/>
  <c r="AY22" i="60"/>
  <c r="Y103" i="60"/>
  <c r="H103" i="65"/>
  <c r="H109" i="65"/>
  <c r="AZ13" i="60"/>
  <c r="AE14" i="72"/>
  <c r="AC108" i="60"/>
  <c r="AC102" i="60" s="1"/>
  <c r="AE25" i="72" s="1"/>
  <c r="AO56" i="80"/>
  <c r="AO28" i="80"/>
  <c r="BA53" i="113"/>
  <c r="AZ60" i="113"/>
  <c r="AZ51" i="113"/>
  <c r="AZ52" i="113" s="1"/>
  <c r="AZ54" i="113"/>
  <c r="AZ56" i="113" s="1"/>
  <c r="AZ58" i="113" s="1"/>
  <c r="AZ63" i="113" s="1"/>
  <c r="AY63" i="113"/>
  <c r="L18" i="115"/>
  <c r="L19" i="115" s="1"/>
  <c r="L18" i="65"/>
  <c r="L19" i="65" s="1"/>
  <c r="AG26" i="60"/>
  <c r="AG18" i="60"/>
  <c r="AI11" i="72" s="1"/>
  <c r="H100" i="65"/>
  <c r="H102" i="65" s="1"/>
  <c r="AE18" i="72"/>
  <c r="H100" i="115"/>
  <c r="AC101" i="60"/>
  <c r="AG8" i="80"/>
  <c r="AG9" i="80" s="1"/>
  <c r="AG10" i="80" s="1"/>
  <c r="AG7" i="80"/>
  <c r="AY24" i="60"/>
  <c r="AJ28" i="80"/>
  <c r="AJ56" i="80"/>
  <c r="AI7" i="80"/>
  <c r="AI8" i="80"/>
  <c r="AI9" i="80" s="1"/>
  <c r="AI10" i="80" s="1"/>
  <c r="AN8" i="80"/>
  <c r="AN9" i="80" s="1"/>
  <c r="AN10" i="80" s="1"/>
  <c r="AN7" i="80"/>
  <c r="H103" i="115"/>
  <c r="H109" i="115"/>
  <c r="AY41" i="60"/>
  <c r="J45" i="115"/>
  <c r="J46" i="115" s="1"/>
  <c r="J45" i="65"/>
  <c r="J46" i="65" s="1"/>
  <c r="AE45" i="60"/>
  <c r="AF57" i="64" s="1"/>
  <c r="AM28" i="80"/>
  <c r="AM56" i="80"/>
  <c r="AY42" i="60"/>
  <c r="AZ27" i="113"/>
  <c r="AZ29" i="113" s="1"/>
  <c r="AZ31" i="113" s="1"/>
  <c r="BA13" i="60" s="1"/>
  <c r="AZ24" i="113"/>
  <c r="AZ25" i="113" s="1"/>
  <c r="AZ33" i="113"/>
  <c r="BA26" i="113"/>
  <c r="AF8" i="80"/>
  <c r="AF9" i="80" s="1"/>
  <c r="AF10" i="80" s="1"/>
  <c r="AF7" i="80"/>
  <c r="AB78" i="80"/>
  <c r="AG13" i="72"/>
  <c r="G100" i="115"/>
  <c r="G100" i="65"/>
  <c r="G102" i="65" s="1"/>
  <c r="G104" i="65" s="1"/>
  <c r="AD18" i="72"/>
  <c r="AB101" i="60"/>
  <c r="AA103" i="60"/>
  <c r="AH8" i="80"/>
  <c r="AH9" i="80" s="1"/>
  <c r="AH10" i="80" s="1"/>
  <c r="AH7" i="80"/>
  <c r="AL56" i="80"/>
  <c r="AL28" i="80"/>
  <c r="AQ8" i="80"/>
  <c r="AQ9" i="80" s="1"/>
  <c r="AQ10" i="80" s="1"/>
  <c r="AQ7" i="80"/>
  <c r="AD22" i="72" l="1"/>
  <c r="AD23" i="72" s="1"/>
  <c r="AD28" i="72" s="1"/>
  <c r="AA22" i="72"/>
  <c r="AA23" i="72" s="1"/>
  <c r="AA28" i="72" s="1"/>
  <c r="AE22" i="72"/>
  <c r="AP56" i="80"/>
  <c r="AK28" i="80"/>
  <c r="H104" i="65"/>
  <c r="AP69" i="80"/>
  <c r="AP67" i="80"/>
  <c r="AP62" i="80"/>
  <c r="AO62" i="80"/>
  <c r="AO67" i="80"/>
  <c r="AO69" i="80"/>
  <c r="AZ92" i="113"/>
  <c r="AZ94" i="113"/>
  <c r="AZ93" i="113"/>
  <c r="AJ69" i="80"/>
  <c r="AJ62" i="80"/>
  <c r="AJ67" i="80"/>
  <c r="AH12" i="72"/>
  <c r="L27" i="65"/>
  <c r="L28" i="65" s="1"/>
  <c r="AG27" i="60"/>
  <c r="L27" i="115"/>
  <c r="L28" i="115" s="1"/>
  <c r="AG35" i="60"/>
  <c r="AD99" i="60"/>
  <c r="AD58" i="64"/>
  <c r="K36" i="65"/>
  <c r="K37" i="65" s="1"/>
  <c r="AF44" i="60"/>
  <c r="AF36" i="60"/>
  <c r="K36" i="115"/>
  <c r="K37" i="115" s="1"/>
  <c r="AF14" i="72"/>
  <c r="AD108" i="60"/>
  <c r="AD102" i="60" s="1"/>
  <c r="AF25" i="72" s="1"/>
  <c r="AH28" i="80"/>
  <c r="AH56" i="80"/>
  <c r="AG14" i="72"/>
  <c r="AE108" i="60"/>
  <c r="AE102" i="60" s="1"/>
  <c r="I109" i="115"/>
  <c r="I103" i="115"/>
  <c r="AB77" i="80"/>
  <c r="AG80" i="80" s="1"/>
  <c r="AG65" i="80" s="1"/>
  <c r="J109" i="65"/>
  <c r="J103" i="65"/>
  <c r="AE15" i="72"/>
  <c r="AY25" i="60"/>
  <c r="AY20" i="60"/>
  <c r="I103" i="65"/>
  <c r="I109" i="65"/>
  <c r="AF28" i="80"/>
  <c r="AF56" i="80"/>
  <c r="J103" i="115"/>
  <c r="J109" i="115"/>
  <c r="D104" i="65"/>
  <c r="M27" i="115"/>
  <c r="M28" i="115" s="1"/>
  <c r="M27" i="65"/>
  <c r="M28" i="65" s="1"/>
  <c r="AH27" i="60"/>
  <c r="AH35" i="60"/>
  <c r="AB103" i="60"/>
  <c r="AN56" i="80"/>
  <c r="AN28" i="80"/>
  <c r="AY67" i="113"/>
  <c r="AY65" i="113"/>
  <c r="AY66" i="113"/>
  <c r="AI28" i="80"/>
  <c r="AI56" i="80"/>
  <c r="AC103" i="60"/>
  <c r="AB18" i="72"/>
  <c r="E100" i="65"/>
  <c r="E100" i="115"/>
  <c r="Z101" i="60"/>
  <c r="AY38" i="60"/>
  <c r="AY43" i="60"/>
  <c r="AK67" i="80"/>
  <c r="AK69" i="80"/>
  <c r="AK62" i="80"/>
  <c r="AL62" i="80"/>
  <c r="AL67" i="80"/>
  <c r="AL69" i="80"/>
  <c r="AM67" i="80"/>
  <c r="AM69" i="80"/>
  <c r="AM62" i="80"/>
  <c r="AQ56" i="80"/>
  <c r="AQ28" i="80"/>
  <c r="BA33" i="113"/>
  <c r="BB26" i="113"/>
  <c r="BA24" i="113"/>
  <c r="BA25" i="113" s="1"/>
  <c r="BA27" i="113"/>
  <c r="BA29" i="113" s="1"/>
  <c r="BA31" i="113" s="1"/>
  <c r="BB13" i="60" s="1"/>
  <c r="AZ65" i="113"/>
  <c r="AZ67" i="113"/>
  <c r="AZ66" i="113"/>
  <c r="AG56" i="80"/>
  <c r="AG28" i="80"/>
  <c r="AZ11" i="60"/>
  <c r="AZ16" i="60"/>
  <c r="BA16" i="60"/>
  <c r="BA11" i="60"/>
  <c r="BA60" i="113"/>
  <c r="BA54" i="113"/>
  <c r="BA56" i="113" s="1"/>
  <c r="BA58" i="113" s="1"/>
  <c r="BA63" i="113" s="1"/>
  <c r="BA51" i="113"/>
  <c r="BA52" i="113" s="1"/>
  <c r="BB53" i="113"/>
  <c r="AY93" i="113"/>
  <c r="AY94" i="113"/>
  <c r="AY92" i="113"/>
  <c r="BA87" i="113"/>
  <c r="BA78" i="113"/>
  <c r="BA79" i="113" s="1"/>
  <c r="BA81" i="113"/>
  <c r="BA83" i="113" s="1"/>
  <c r="BA85" i="113" s="1"/>
  <c r="BB80" i="113"/>
  <c r="AE23" i="72" l="1"/>
  <c r="AE28" i="72" s="1"/>
  <c r="AB80" i="80"/>
  <c r="AB65" i="80" s="1"/>
  <c r="AB72" i="80" s="1"/>
  <c r="AB85" i="80" s="1"/>
  <c r="AC80" i="80"/>
  <c r="AC65" i="80" s="1"/>
  <c r="AC72" i="80" s="1"/>
  <c r="AC85" i="80" s="1"/>
  <c r="AY95" i="113"/>
  <c r="AZ40" i="60"/>
  <c r="AZ42" i="60"/>
  <c r="AG62" i="80"/>
  <c r="AG69" i="80"/>
  <c r="AG67" i="80"/>
  <c r="AJ12" i="72"/>
  <c r="AI80" i="80"/>
  <c r="AI65" i="80" s="1"/>
  <c r="AQ67" i="80"/>
  <c r="AQ62" i="80"/>
  <c r="AQ69" i="80"/>
  <c r="Z103" i="60"/>
  <c r="AZ23" i="60"/>
  <c r="BA66" i="113"/>
  <c r="BA65" i="113"/>
  <c r="BA67" i="113"/>
  <c r="AJ80" i="80"/>
  <c r="AJ65" i="80" s="1"/>
  <c r="AJ72" i="80" s="1"/>
  <c r="AJ85" i="80" s="1"/>
  <c r="AZ24" i="60"/>
  <c r="BA90" i="113"/>
  <c r="AZ68" i="113"/>
  <c r="BA22" i="60"/>
  <c r="BB27" i="113"/>
  <c r="BB29" i="113" s="1"/>
  <c r="BB31" i="113" s="1"/>
  <c r="BC13" i="60" s="1"/>
  <c r="BC26" i="113"/>
  <c r="BB24" i="113"/>
  <c r="BB25" i="113" s="1"/>
  <c r="BB33" i="113"/>
  <c r="AF62" i="80"/>
  <c r="AF67" i="80"/>
  <c r="AF69" i="80"/>
  <c r="AA86" i="80"/>
  <c r="AA99" i="80"/>
  <c r="AB99" i="80" s="1"/>
  <c r="AC99" i="80" s="1"/>
  <c r="AD99" i="80" s="1"/>
  <c r="AE99" i="80" s="1"/>
  <c r="AF99" i="80" s="1"/>
  <c r="AG99" i="80" s="1"/>
  <c r="AH99" i="80" s="1"/>
  <c r="AI99" i="80" s="1"/>
  <c r="AJ99" i="80" s="1"/>
  <c r="AK99" i="80" s="1"/>
  <c r="AL99" i="80" s="1"/>
  <c r="AH80" i="80"/>
  <c r="AH65" i="80" s="1"/>
  <c r="AI12" i="72"/>
  <c r="M36" i="65"/>
  <c r="M37" i="65" s="1"/>
  <c r="AH44" i="60"/>
  <c r="AH36" i="60"/>
  <c r="AJ13" i="72" s="1"/>
  <c r="M36" i="115"/>
  <c r="M37" i="115" s="1"/>
  <c r="AF15" i="72"/>
  <c r="AZ41" i="60"/>
  <c r="AY107" i="60"/>
  <c r="AH13" i="72"/>
  <c r="BB51" i="113"/>
  <c r="BB52" i="113" s="1"/>
  <c r="BC53" i="113"/>
  <c r="BB54" i="113"/>
  <c r="BB56" i="113" s="1"/>
  <c r="BB58" i="113" s="1"/>
  <c r="BB63" i="113" s="1"/>
  <c r="BB60" i="113"/>
  <c r="K45" i="65"/>
  <c r="K46" i="65" s="1"/>
  <c r="K45" i="115"/>
  <c r="K46" i="115" s="1"/>
  <c r="AF45" i="60"/>
  <c r="AG57" i="64" s="1"/>
  <c r="AL80" i="80"/>
  <c r="AL65" i="80" s="1"/>
  <c r="AL72" i="80" s="1"/>
  <c r="AL85" i="80" s="1"/>
  <c r="AY68" i="113"/>
  <c r="AZ22" i="60"/>
  <c r="AF58" i="64"/>
  <c r="AF99" i="60"/>
  <c r="BB81" i="113"/>
  <c r="BB83" i="113" s="1"/>
  <c r="BB85" i="113" s="1"/>
  <c r="BB90" i="113" s="1"/>
  <c r="BB78" i="113"/>
  <c r="BB79" i="113" s="1"/>
  <c r="BB87" i="113"/>
  <c r="BC80" i="113"/>
  <c r="E102" i="65"/>
  <c r="AG25" i="72"/>
  <c r="BA23" i="60"/>
  <c r="AM80" i="80"/>
  <c r="AM65" i="80" s="1"/>
  <c r="AM72" i="80" s="1"/>
  <c r="AM85" i="80" s="1"/>
  <c r="AB22" i="72"/>
  <c r="BA24" i="60"/>
  <c r="AK80" i="80"/>
  <c r="AK65" i="80" s="1"/>
  <c r="AK72" i="80" s="1"/>
  <c r="AK85" i="80" s="1"/>
  <c r="AN69" i="80"/>
  <c r="AN67" i="80"/>
  <c r="AN62" i="80"/>
  <c r="AF80" i="80"/>
  <c r="AF65" i="80" s="1"/>
  <c r="AH67" i="80"/>
  <c r="AH69" i="80"/>
  <c r="AH62" i="80"/>
  <c r="AO18" i="72"/>
  <c r="AO22" i="72" s="1"/>
  <c r="I100" i="65"/>
  <c r="I102" i="65" s="1"/>
  <c r="I104" i="65" s="1"/>
  <c r="I100" i="115"/>
  <c r="AF18" i="72"/>
  <c r="AD101" i="60"/>
  <c r="BA41" i="60"/>
  <c r="BB16" i="60"/>
  <c r="BB11" i="60"/>
  <c r="AD80" i="80"/>
  <c r="AD65" i="80" s="1"/>
  <c r="AD72" i="80" s="1"/>
  <c r="AD85" i="80" s="1"/>
  <c r="AG44" i="60"/>
  <c r="L36" i="65"/>
  <c r="L37" i="65" s="1"/>
  <c r="AG36" i="60"/>
  <c r="AI13" i="72" s="1"/>
  <c r="L36" i="115"/>
  <c r="L37" i="115" s="1"/>
  <c r="BA42" i="60"/>
  <c r="AE80" i="80"/>
  <c r="AE65" i="80" s="1"/>
  <c r="AE72" i="80" s="1"/>
  <c r="AE85" i="80" s="1"/>
  <c r="AI62" i="80"/>
  <c r="AI67" i="80"/>
  <c r="AI69" i="80"/>
  <c r="AE99" i="60"/>
  <c r="AE58" i="64"/>
  <c r="AZ95" i="113"/>
  <c r="BA40" i="60"/>
  <c r="AG15" i="72"/>
  <c r="AF22" i="72" l="1"/>
  <c r="AF23" i="72" s="1"/>
  <c r="AF28" i="72" s="1"/>
  <c r="AG72" i="80"/>
  <c r="AG85" i="80" s="1"/>
  <c r="AA84" i="80"/>
  <c r="AA92" i="80" s="1"/>
  <c r="AB92" i="80" s="1"/>
  <c r="AC92" i="80" s="1"/>
  <c r="BC81" i="113"/>
  <c r="BC83" i="113" s="1"/>
  <c r="BC85" i="113" s="1"/>
  <c r="BC90" i="113" s="1"/>
  <c r="BD80" i="113"/>
  <c r="BC78" i="113"/>
  <c r="BC79" i="113" s="1"/>
  <c r="BC87" i="113"/>
  <c r="AF72" i="80"/>
  <c r="AF85" i="80" s="1"/>
  <c r="AD84" i="80" s="1"/>
  <c r="AD92" i="80" s="1"/>
  <c r="BB66" i="113"/>
  <c r="BB65" i="113"/>
  <c r="BB67" i="113"/>
  <c r="BC60" i="113"/>
  <c r="BC54" i="113"/>
  <c r="BC56" i="113" s="1"/>
  <c r="BC58" i="113" s="1"/>
  <c r="BC63" i="113" s="1"/>
  <c r="BD53" i="113"/>
  <c r="BC51" i="113"/>
  <c r="BC52" i="113" s="1"/>
  <c r="M45" i="65"/>
  <c r="M46" i="65" s="1"/>
  <c r="AH45" i="60"/>
  <c r="AI57" i="64" s="1"/>
  <c r="M45" i="115"/>
  <c r="M46" i="115" s="1"/>
  <c r="AJ84" i="80"/>
  <c r="AJ92" i="80" s="1"/>
  <c r="AH14" i="72"/>
  <c r="AF108" i="60"/>
  <c r="AF102" i="60" s="1"/>
  <c r="BC27" i="113"/>
  <c r="BC29" i="113" s="1"/>
  <c r="BC31" i="113" s="1"/>
  <c r="BC33" i="113"/>
  <c r="BD26" i="113"/>
  <c r="BC24" i="113"/>
  <c r="BC25" i="113" s="1"/>
  <c r="K109" i="65"/>
  <c r="K103" i="65"/>
  <c r="J100" i="115"/>
  <c r="AG18" i="72"/>
  <c r="J100" i="65"/>
  <c r="J102" i="65" s="1"/>
  <c r="J104" i="65" s="1"/>
  <c r="AE101" i="60"/>
  <c r="BB94" i="113"/>
  <c r="BB92" i="113"/>
  <c r="BB93" i="113"/>
  <c r="K100" i="115"/>
  <c r="AH18" i="72"/>
  <c r="K100" i="65"/>
  <c r="K102" i="65" s="1"/>
  <c r="AF101" i="60"/>
  <c r="AZ20" i="60"/>
  <c r="AZ25" i="60"/>
  <c r="BA92" i="113"/>
  <c r="BA94" i="113"/>
  <c r="BA93" i="113"/>
  <c r="AD103" i="60"/>
  <c r="AZ43" i="60"/>
  <c r="AZ38" i="60"/>
  <c r="BA43" i="60"/>
  <c r="BA38" i="60"/>
  <c r="E104" i="65"/>
  <c r="K103" i="115"/>
  <c r="K109" i="115"/>
  <c r="AH72" i="80"/>
  <c r="AH85" i="80" s="1"/>
  <c r="BC16" i="60"/>
  <c r="BC11" i="60"/>
  <c r="BB24" i="60"/>
  <c r="AI72" i="80"/>
  <c r="AI85" i="80" s="1"/>
  <c r="BA68" i="113"/>
  <c r="BB22" i="60"/>
  <c r="L45" i="65"/>
  <c r="L46" i="65" s="1"/>
  <c r="L45" i="115"/>
  <c r="L46" i="115" s="1"/>
  <c r="AG45" i="60"/>
  <c r="AH57" i="64" s="1"/>
  <c r="AA93" i="80"/>
  <c r="AB93" i="80" s="1"/>
  <c r="AC93" i="80" s="1"/>
  <c r="AB86" i="80"/>
  <c r="AA87" i="80"/>
  <c r="AA89" i="80" s="1"/>
  <c r="BA25" i="60"/>
  <c r="BA20" i="60"/>
  <c r="BB23" i="60"/>
  <c r="AB23" i="72"/>
  <c r="AB28" i="72" s="1"/>
  <c r="AH22" i="72" l="1"/>
  <c r="AA98" i="80"/>
  <c r="AA103" i="80" s="1"/>
  <c r="AG84" i="80"/>
  <c r="AG92" i="80" s="1"/>
  <c r="AH92" i="80" s="1"/>
  <c r="AI92" i="80" s="1"/>
  <c r="K104" i="65"/>
  <c r="AA97" i="80"/>
  <c r="AB97" i="80" s="1"/>
  <c r="AZ107" i="60"/>
  <c r="BB20" i="60"/>
  <c r="BB25" i="60"/>
  <c r="BD60" i="113"/>
  <c r="BD54" i="113"/>
  <c r="BD56" i="113" s="1"/>
  <c r="BD58" i="113" s="1"/>
  <c r="BD63" i="113" s="1"/>
  <c r="BE53" i="113"/>
  <c r="BD51" i="113"/>
  <c r="BD52" i="113" s="1"/>
  <c r="M103" i="65"/>
  <c r="M109" i="65"/>
  <c r="AH25" i="72"/>
  <c r="AH15" i="72"/>
  <c r="BB41" i="60"/>
  <c r="BD87" i="113"/>
  <c r="BD81" i="113"/>
  <c r="BD83" i="113" s="1"/>
  <c r="BD85" i="113" s="1"/>
  <c r="BD90" i="113" s="1"/>
  <c r="BD78" i="113"/>
  <c r="BD79" i="113" s="1"/>
  <c r="BE80" i="113"/>
  <c r="BB42" i="60"/>
  <c r="BB68" i="113"/>
  <c r="BC22" i="60"/>
  <c r="BA95" i="113"/>
  <c r="BB40" i="60"/>
  <c r="AJ98" i="80"/>
  <c r="AK92" i="80"/>
  <c r="AL92" i="80" s="1"/>
  <c r="BC23" i="60"/>
  <c r="AJ14" i="72"/>
  <c r="AH108" i="60"/>
  <c r="AH102" i="60" s="1"/>
  <c r="AJ25" i="72" s="1"/>
  <c r="BC65" i="113"/>
  <c r="BC66" i="113"/>
  <c r="BC67" i="113"/>
  <c r="AF103" i="60"/>
  <c r="AG22" i="72"/>
  <c r="BC24" i="60"/>
  <c r="BA107" i="60"/>
  <c r="BC92" i="113"/>
  <c r="BC93" i="113"/>
  <c r="BC94" i="113"/>
  <c r="AC86" i="80"/>
  <c r="AB87" i="80"/>
  <c r="AB89" i="80" s="1"/>
  <c r="BC41" i="60"/>
  <c r="BE26" i="113"/>
  <c r="BD27" i="113"/>
  <c r="BD29" i="113" s="1"/>
  <c r="BD31" i="113" s="1"/>
  <c r="BE13" i="60" s="1"/>
  <c r="BD33" i="113"/>
  <c r="BD24" i="113"/>
  <c r="BD25" i="113" s="1"/>
  <c r="AG99" i="60"/>
  <c r="AG58" i="64"/>
  <c r="AD98" i="80"/>
  <c r="AE92" i="80"/>
  <c r="AF92" i="80" s="1"/>
  <c r="AI14" i="72"/>
  <c r="AG108" i="60"/>
  <c r="AG102" i="60" s="1"/>
  <c r="AI25" i="72" s="1"/>
  <c r="BB95" i="113"/>
  <c r="BC40" i="60"/>
  <c r="L103" i="115"/>
  <c r="L109" i="115"/>
  <c r="BC42" i="60"/>
  <c r="BD13" i="60"/>
  <c r="L103" i="65"/>
  <c r="L109" i="65"/>
  <c r="AE103" i="60"/>
  <c r="M109" i="115"/>
  <c r="M103" i="115"/>
  <c r="AH23" i="72" l="1"/>
  <c r="AH28" i="72" s="1"/>
  <c r="AG98" i="80"/>
  <c r="AG103" i="80" s="1"/>
  <c r="AB98" i="80"/>
  <c r="AC98" i="80" s="1"/>
  <c r="AI17" i="60"/>
  <c r="AI18" i="60" s="1"/>
  <c r="AK11" i="72" s="1"/>
  <c r="BF53" i="113"/>
  <c r="BE51" i="113"/>
  <c r="BE52" i="113" s="1"/>
  <c r="BE60" i="113"/>
  <c r="BE54" i="113"/>
  <c r="BE56" i="113" s="1"/>
  <c r="BE58" i="113" s="1"/>
  <c r="BE63" i="113" s="1"/>
  <c r="AH58" i="64"/>
  <c r="AH99" i="60"/>
  <c r="AG23" i="72"/>
  <c r="AG28" i="72" s="1"/>
  <c r="BE78" i="113"/>
  <c r="BE79" i="113" s="1"/>
  <c r="BE81" i="113"/>
  <c r="BE83" i="113" s="1"/>
  <c r="BE85" i="113" s="1"/>
  <c r="BE90" i="113" s="1"/>
  <c r="BE87" i="113"/>
  <c r="BF80" i="113"/>
  <c r="BD65" i="113"/>
  <c r="BD67" i="113"/>
  <c r="BD66" i="113"/>
  <c r="AI15" i="72"/>
  <c r="BD92" i="113"/>
  <c r="BD94" i="113"/>
  <c r="BD93" i="113"/>
  <c r="BD23" i="60"/>
  <c r="BB43" i="60"/>
  <c r="BB38" i="60"/>
  <c r="BB107" i="60" s="1"/>
  <c r="AE98" i="80"/>
  <c r="AF98" i="80" s="1"/>
  <c r="AD103" i="80"/>
  <c r="BC68" i="113"/>
  <c r="BD22" i="60"/>
  <c r="BC95" i="113"/>
  <c r="BD40" i="60"/>
  <c r="BE11" i="60"/>
  <c r="BE16" i="60"/>
  <c r="BE27" i="113"/>
  <c r="BE29" i="113" s="1"/>
  <c r="BE31" i="113" s="1"/>
  <c r="BF13" i="60" s="1"/>
  <c r="BE24" i="113"/>
  <c r="BE25" i="113" s="1"/>
  <c r="BF26" i="113"/>
  <c r="BE33" i="113"/>
  <c r="BD24" i="60"/>
  <c r="AJ103" i="80"/>
  <c r="AK98" i="80"/>
  <c r="AL98" i="80" s="1"/>
  <c r="AC97" i="80"/>
  <c r="AK17" i="60" s="1"/>
  <c r="AJ17" i="60"/>
  <c r="AB103" i="80"/>
  <c r="AI52" i="60"/>
  <c r="BC38" i="60"/>
  <c r="BC43" i="60"/>
  <c r="L100" i="65"/>
  <c r="L100" i="115"/>
  <c r="AI18" i="72"/>
  <c r="AG101" i="60"/>
  <c r="AD86" i="80"/>
  <c r="AC87" i="80"/>
  <c r="AC89" i="80" s="1"/>
  <c r="AI99" i="60"/>
  <c r="AI58" i="64"/>
  <c r="BC25" i="60"/>
  <c r="BC20" i="60"/>
  <c r="BD16" i="60"/>
  <c r="BD11" i="60"/>
  <c r="BD42" i="60"/>
  <c r="BD41" i="60"/>
  <c r="AJ15" i="72"/>
  <c r="AH98" i="80"/>
  <c r="AI98" i="80" s="1"/>
  <c r="N18" i="65" l="1"/>
  <c r="N19" i="65" s="1"/>
  <c r="N18" i="115"/>
  <c r="N19" i="115" s="1"/>
  <c r="AI26" i="60"/>
  <c r="AI35" i="60" s="1"/>
  <c r="BC107" i="60"/>
  <c r="AK18" i="60"/>
  <c r="AK26" i="60"/>
  <c r="BD68" i="113"/>
  <c r="BE22" i="60"/>
  <c r="BE94" i="113"/>
  <c r="BE93" i="113"/>
  <c r="BE92" i="113"/>
  <c r="AD93" i="80"/>
  <c r="AE86" i="80"/>
  <c r="AD87" i="80"/>
  <c r="AD89" i="80" s="1"/>
  <c r="BF24" i="113"/>
  <c r="BF25" i="113" s="1"/>
  <c r="BF27" i="113"/>
  <c r="BF29" i="113" s="1"/>
  <c r="BF31" i="113" s="1"/>
  <c r="BG13" i="60" s="1"/>
  <c r="BF33" i="113"/>
  <c r="BG26" i="113"/>
  <c r="BD95" i="113"/>
  <c r="BE40" i="60"/>
  <c r="AE103" i="80"/>
  <c r="AL52" i="60"/>
  <c r="AG103" i="60"/>
  <c r="AI27" i="60"/>
  <c r="N27" i="65"/>
  <c r="N28" i="65" s="1"/>
  <c r="AI22" i="72"/>
  <c r="AO52" i="60"/>
  <c r="AH103" i="80"/>
  <c r="M100" i="65"/>
  <c r="M102" i="65" s="1"/>
  <c r="M104" i="65" s="1"/>
  <c r="M100" i="115"/>
  <c r="AJ18" i="72"/>
  <c r="AH101" i="60"/>
  <c r="L102" i="65"/>
  <c r="AI53" i="60"/>
  <c r="N53" i="115"/>
  <c r="N54" i="115" s="1"/>
  <c r="AI60" i="60"/>
  <c r="N53" i="65"/>
  <c r="N54" i="65" s="1"/>
  <c r="AK103" i="80"/>
  <c r="AR52" i="60"/>
  <c r="BE42" i="60"/>
  <c r="BF16" i="60"/>
  <c r="BF11" i="60"/>
  <c r="AJ52" i="60"/>
  <c r="AC103" i="80"/>
  <c r="AK52" i="60" s="1"/>
  <c r="BE23" i="60"/>
  <c r="BE65" i="113"/>
  <c r="BE66" i="113"/>
  <c r="BE67" i="113"/>
  <c r="O18" i="65"/>
  <c r="O19" i="65" s="1"/>
  <c r="P19" i="65" s="1"/>
  <c r="AJ26" i="60"/>
  <c r="O18" i="115"/>
  <c r="O19" i="115" s="1"/>
  <c r="P19" i="115" s="1"/>
  <c r="AO11" i="44" s="1"/>
  <c r="AJ18" i="60"/>
  <c r="AL11" i="72" s="1"/>
  <c r="BD43" i="60"/>
  <c r="BD38" i="60"/>
  <c r="BE24" i="60"/>
  <c r="BF87" i="113"/>
  <c r="BF81" i="113"/>
  <c r="BF83" i="113" s="1"/>
  <c r="BF85" i="113" s="1"/>
  <c r="BF90" i="113" s="1"/>
  <c r="BF78" i="113"/>
  <c r="BF79" i="113" s="1"/>
  <c r="BG80" i="113"/>
  <c r="BG53" i="113"/>
  <c r="BF51" i="113"/>
  <c r="BF52" i="113" s="1"/>
  <c r="BF60" i="113"/>
  <c r="BF54" i="113"/>
  <c r="BF56" i="113" s="1"/>
  <c r="BF58" i="113" s="1"/>
  <c r="BF63" i="113" s="1"/>
  <c r="N100" i="115"/>
  <c r="N100" i="65"/>
  <c r="N102" i="65" s="1"/>
  <c r="AK18" i="72"/>
  <c r="AI101" i="60"/>
  <c r="BD20" i="60"/>
  <c r="BD25" i="60"/>
  <c r="BE41" i="60"/>
  <c r="N27" i="115" l="1"/>
  <c r="N28" i="115" s="1"/>
  <c r="AJ22" i="72"/>
  <c r="AJ23" i="72" s="1"/>
  <c r="AJ28" i="72" s="1"/>
  <c r="AK22" i="72"/>
  <c r="S12" i="65"/>
  <c r="AM11" i="44"/>
  <c r="BD107" i="60"/>
  <c r="BF65" i="113"/>
  <c r="BF67" i="113"/>
  <c r="BF66" i="113"/>
  <c r="BE20" i="60"/>
  <c r="BE25" i="60"/>
  <c r="BH26" i="113"/>
  <c r="BG33" i="113"/>
  <c r="BG24" i="113"/>
  <c r="BG25" i="113" s="1"/>
  <c r="BG27" i="113"/>
  <c r="BG29" i="113" s="1"/>
  <c r="BG31" i="113" s="1"/>
  <c r="BH13" i="60" s="1"/>
  <c r="BE68" i="113"/>
  <c r="BF22" i="60"/>
  <c r="AR60" i="60"/>
  <c r="AR61" i="60" s="1"/>
  <c r="AR53" i="60"/>
  <c r="AS52" i="60"/>
  <c r="AL103" i="80"/>
  <c r="AT52" i="60" s="1"/>
  <c r="N36" i="65"/>
  <c r="N37" i="65" s="1"/>
  <c r="AI36" i="60"/>
  <c r="N36" i="115"/>
  <c r="N37" i="115" s="1"/>
  <c r="AI44" i="60"/>
  <c r="BG16" i="60"/>
  <c r="BG11" i="60"/>
  <c r="AK27" i="60"/>
  <c r="AK35" i="60"/>
  <c r="BF92" i="113"/>
  <c r="BF94" i="113"/>
  <c r="BF93" i="113"/>
  <c r="AM11" i="72"/>
  <c r="AK12" i="72"/>
  <c r="V43" i="44"/>
  <c r="S12" i="115"/>
  <c r="AK60" i="60"/>
  <c r="AK61" i="60" s="1"/>
  <c r="AK53" i="60"/>
  <c r="O27" i="65"/>
  <c r="O28" i="65" s="1"/>
  <c r="P28" i="65" s="1"/>
  <c r="O27" i="115"/>
  <c r="O28" i="115" s="1"/>
  <c r="P28" i="115" s="1"/>
  <c r="AO20" i="44" s="1"/>
  <c r="AJ35" i="60"/>
  <c r="AJ27" i="60"/>
  <c r="AJ60" i="60"/>
  <c r="AJ53" i="60"/>
  <c r="O53" i="65"/>
  <c r="O54" i="65" s="1"/>
  <c r="P54" i="65" s="1"/>
  <c r="AM46" i="44" s="1"/>
  <c r="O53" i="115"/>
  <c r="O54" i="115" s="1"/>
  <c r="P54" i="115" s="1"/>
  <c r="AI61" i="60"/>
  <c r="N61" i="115"/>
  <c r="N62" i="115" s="1"/>
  <c r="N61" i="65"/>
  <c r="N62" i="65" s="1"/>
  <c r="AF86" i="80"/>
  <c r="AE87" i="80"/>
  <c r="AE89" i="80" s="1"/>
  <c r="BF41" i="60"/>
  <c r="BF24" i="60"/>
  <c r="AI23" i="72"/>
  <c r="AI28" i="72" s="1"/>
  <c r="BG51" i="113"/>
  <c r="BG52" i="113" s="1"/>
  <c r="BG54" i="113"/>
  <c r="BG56" i="113" s="1"/>
  <c r="BG58" i="113" s="1"/>
  <c r="BG63" i="113" s="1"/>
  <c r="BH53" i="113"/>
  <c r="BG60" i="113"/>
  <c r="BF23" i="60"/>
  <c r="BG78" i="113"/>
  <c r="BG79" i="113" s="1"/>
  <c r="BG81" i="113"/>
  <c r="BG83" i="113" s="1"/>
  <c r="BG85" i="113" s="1"/>
  <c r="BG90" i="113" s="1"/>
  <c r="BG87" i="113"/>
  <c r="BH80" i="113"/>
  <c r="AI103" i="80"/>
  <c r="AQ52" i="60" s="1"/>
  <c r="AP52" i="60"/>
  <c r="AL53" i="60"/>
  <c r="AL60" i="60"/>
  <c r="AL61" i="60" s="1"/>
  <c r="AE93" i="80"/>
  <c r="AF93" i="80" s="1"/>
  <c r="AD97" i="80"/>
  <c r="AO53" i="60"/>
  <c r="AO60" i="60"/>
  <c r="AO61" i="60" s="1"/>
  <c r="AF103" i="80"/>
  <c r="AN52" i="60" s="1"/>
  <c r="AM52" i="60"/>
  <c r="BE95" i="113"/>
  <c r="BF40" i="60"/>
  <c r="L104" i="65"/>
  <c r="BE43" i="60"/>
  <c r="BE38" i="60"/>
  <c r="BF42" i="60"/>
  <c r="AH103" i="60"/>
  <c r="AO46" i="44" l="1"/>
  <c r="S21" i="65"/>
  <c r="AM20" i="44"/>
  <c r="AK13" i="72"/>
  <c r="AL12" i="72"/>
  <c r="AT53" i="60"/>
  <c r="AT60" i="60"/>
  <c r="AT61" i="60" s="1"/>
  <c r="BF43" i="60"/>
  <c r="BF38" i="60"/>
  <c r="AK44" i="60"/>
  <c r="AK45" i="60" s="1"/>
  <c r="AL57" i="64" s="1"/>
  <c r="AK36" i="60"/>
  <c r="AP53" i="60"/>
  <c r="AP60" i="60"/>
  <c r="AP61" i="60" s="1"/>
  <c r="AM53" i="60"/>
  <c r="AM60" i="60"/>
  <c r="AM61" i="60" s="1"/>
  <c r="AQ60" i="60"/>
  <c r="AQ61" i="60" s="1"/>
  <c r="AQ53" i="60"/>
  <c r="AN53" i="60"/>
  <c r="AN60" i="60"/>
  <c r="AN61" i="60" s="1"/>
  <c r="BF20" i="60"/>
  <c r="BF25" i="60"/>
  <c r="BG23" i="60"/>
  <c r="BH87" i="113"/>
  <c r="BH78" i="113"/>
  <c r="BH79" i="113" s="1"/>
  <c r="BH81" i="113"/>
  <c r="BH83" i="113" s="1"/>
  <c r="BH85" i="113" s="1"/>
  <c r="BH90" i="113" s="1"/>
  <c r="BI80" i="113"/>
  <c r="AI45" i="60"/>
  <c r="N45" i="115"/>
  <c r="N46" i="115" s="1"/>
  <c r="N103" i="115" s="1"/>
  <c r="N45" i="65"/>
  <c r="N46" i="65" s="1"/>
  <c r="N109" i="65" s="1"/>
  <c r="BG24" i="60"/>
  <c r="BF68" i="113"/>
  <c r="BG22" i="60"/>
  <c r="AJ61" i="60"/>
  <c r="O61" i="65"/>
  <c r="O62" i="65" s="1"/>
  <c r="O61" i="115"/>
  <c r="O62" i="115" s="1"/>
  <c r="P62" i="115" s="1"/>
  <c r="AE97" i="80"/>
  <c r="AL17" i="60"/>
  <c r="BI53" i="113"/>
  <c r="BH60" i="113"/>
  <c r="BH51" i="113"/>
  <c r="BH52" i="113" s="1"/>
  <c r="BH54" i="113"/>
  <c r="BH56" i="113" s="1"/>
  <c r="BH58" i="113" s="1"/>
  <c r="BH63" i="113" s="1"/>
  <c r="V44" i="44"/>
  <c r="S21" i="115"/>
  <c r="BF95" i="113"/>
  <c r="BG40" i="60"/>
  <c r="BG65" i="113"/>
  <c r="BG67" i="113"/>
  <c r="BG66" i="113"/>
  <c r="AG86" i="80"/>
  <c r="AF87" i="80"/>
  <c r="AF89" i="80" s="1"/>
  <c r="BG92" i="113"/>
  <c r="BG93" i="113"/>
  <c r="BG94" i="113"/>
  <c r="C69" i="44"/>
  <c r="BE107" i="60"/>
  <c r="C67" i="44"/>
  <c r="I107" i="44" s="1"/>
  <c r="D67" i="44"/>
  <c r="D81" i="44" s="1"/>
  <c r="W43" i="44"/>
  <c r="BH11" i="60"/>
  <c r="BH16" i="60"/>
  <c r="BG41" i="60"/>
  <c r="AJ44" i="60"/>
  <c r="O36" i="115"/>
  <c r="O37" i="115" s="1"/>
  <c r="P37" i="115" s="1"/>
  <c r="AO29" i="44" s="1"/>
  <c r="O36" i="65"/>
  <c r="O37" i="65" s="1"/>
  <c r="P37" i="65" s="1"/>
  <c r="AJ36" i="60"/>
  <c r="BG42" i="60"/>
  <c r="AS53" i="60"/>
  <c r="AS60" i="60"/>
  <c r="AS61" i="60" s="1"/>
  <c r="BH24" i="113"/>
  <c r="BH25" i="113" s="1"/>
  <c r="BH33" i="113"/>
  <c r="BI26" i="113"/>
  <c r="BH27" i="113"/>
  <c r="BH29" i="113" s="1"/>
  <c r="BH31" i="113" s="1"/>
  <c r="BI13" i="60" s="1"/>
  <c r="L81" i="44" l="1"/>
  <c r="C81" i="44"/>
  <c r="AO54" i="44"/>
  <c r="S30" i="65"/>
  <c r="AM29" i="44"/>
  <c r="AI108" i="60"/>
  <c r="AI102" i="60" s="1"/>
  <c r="AK25" i="72" s="1"/>
  <c r="AJ57" i="64"/>
  <c r="C68" i="44"/>
  <c r="D68" i="44"/>
  <c r="W44" i="44"/>
  <c r="AH42" i="44" s="1"/>
  <c r="AH86" i="80"/>
  <c r="AG93" i="80"/>
  <c r="AG87" i="80"/>
  <c r="AG89" i="80" s="1"/>
  <c r="N103" i="65"/>
  <c r="N104" i="65" s="1"/>
  <c r="BF107" i="60"/>
  <c r="BH24" i="60"/>
  <c r="N109" i="115"/>
  <c r="BH93" i="113"/>
  <c r="BH92" i="113"/>
  <c r="BH94" i="113"/>
  <c r="V45" i="44"/>
  <c r="S30" i="115"/>
  <c r="BG43" i="60"/>
  <c r="BG38" i="60"/>
  <c r="AK108" i="60"/>
  <c r="AK102" i="60" s="1"/>
  <c r="O45" i="115"/>
  <c r="O46" i="115" s="1"/>
  <c r="O103" i="115" s="1"/>
  <c r="P103" i="115" s="1"/>
  <c r="AO95" i="44" s="1"/>
  <c r="AJ45" i="60"/>
  <c r="O45" i="65"/>
  <c r="O46" i="65" s="1"/>
  <c r="P46" i="65" s="1"/>
  <c r="BH42" i="60"/>
  <c r="AL26" i="60"/>
  <c r="AL18" i="60"/>
  <c r="AM12" i="72"/>
  <c r="BH65" i="113"/>
  <c r="BH67" i="113"/>
  <c r="BH66" i="113"/>
  <c r="E67" i="44"/>
  <c r="E81" i="44" s="1"/>
  <c r="J107" i="44"/>
  <c r="AK14" i="72"/>
  <c r="BH23" i="60"/>
  <c r="BI60" i="113"/>
  <c r="BI51" i="113"/>
  <c r="BI52" i="113" s="1"/>
  <c r="BJ53" i="113"/>
  <c r="BI54" i="113"/>
  <c r="BI56" i="113" s="1"/>
  <c r="BI58" i="113" s="1"/>
  <c r="BI63" i="113" s="1"/>
  <c r="BG25" i="60"/>
  <c r="BG20" i="60"/>
  <c r="AL13" i="72"/>
  <c r="BG68" i="113"/>
  <c r="BH22" i="60"/>
  <c r="BJ80" i="113"/>
  <c r="BI87" i="113"/>
  <c r="BI81" i="113"/>
  <c r="BI83" i="113" s="1"/>
  <c r="BI85" i="113" s="1"/>
  <c r="BI90" i="113" s="1"/>
  <c r="BI78" i="113"/>
  <c r="BI79" i="113" s="1"/>
  <c r="BI16" i="60"/>
  <c r="BI11" i="60"/>
  <c r="BH41" i="60"/>
  <c r="AF97" i="80"/>
  <c r="AN17" i="60" s="1"/>
  <c r="AM17" i="60"/>
  <c r="BI24" i="113"/>
  <c r="BI25" i="113" s="1"/>
  <c r="BJ26" i="113"/>
  <c r="BI33" i="113"/>
  <c r="BI27" i="113"/>
  <c r="BI29" i="113" s="1"/>
  <c r="BI31" i="113" s="1"/>
  <c r="BJ13" i="60" s="1"/>
  <c r="BG95" i="113"/>
  <c r="BH40" i="60"/>
  <c r="AL99" i="60"/>
  <c r="AL101" i="60" s="1"/>
  <c r="AL58" i="64"/>
  <c r="AB49" i="44"/>
  <c r="AH40" i="44"/>
  <c r="P62" i="65"/>
  <c r="AM54" i="44" s="1"/>
  <c r="J81" i="44" l="1"/>
  <c r="C70" i="44"/>
  <c r="F81" i="44"/>
  <c r="H81" i="44"/>
  <c r="K81" i="44" s="1"/>
  <c r="AM13" i="72"/>
  <c r="AI103" i="60"/>
  <c r="S39" i="65"/>
  <c r="AM38" i="44"/>
  <c r="AJ108" i="60"/>
  <c r="AJ102" i="60" s="1"/>
  <c r="AL25" i="72" s="1"/>
  <c r="AM25" i="72" s="1"/>
  <c r="AK57" i="64"/>
  <c r="O103" i="65"/>
  <c r="P103" i="65" s="1"/>
  <c r="AM95" i="44" s="1"/>
  <c r="O109" i="65"/>
  <c r="P46" i="115"/>
  <c r="O109" i="115"/>
  <c r="BJ81" i="113"/>
  <c r="BJ83" i="113" s="1"/>
  <c r="BJ85" i="113" s="1"/>
  <c r="BJ87" i="113"/>
  <c r="BJ78" i="113"/>
  <c r="BJ79" i="113" s="1"/>
  <c r="AL35" i="60"/>
  <c r="AL27" i="60"/>
  <c r="E68" i="44"/>
  <c r="P109" i="65"/>
  <c r="C72" i="44"/>
  <c r="I109" i="44" s="1"/>
  <c r="V47" i="44"/>
  <c r="BH43" i="60"/>
  <c r="BH38" i="60"/>
  <c r="D71" i="44"/>
  <c r="C71" i="44"/>
  <c r="W45" i="44"/>
  <c r="BJ11" i="60"/>
  <c r="BJ16" i="60"/>
  <c r="AJ58" i="64"/>
  <c r="AJ99" i="60"/>
  <c r="BI42" i="60"/>
  <c r="AN18" i="60"/>
  <c r="AN26" i="60"/>
  <c r="BI24" i="60"/>
  <c r="BH68" i="113"/>
  <c r="BI22" i="60"/>
  <c r="BI92" i="113"/>
  <c r="BI94" i="113"/>
  <c r="BI93" i="113"/>
  <c r="BI67" i="113"/>
  <c r="BI65" i="113"/>
  <c r="BI66" i="113"/>
  <c r="AK15" i="72"/>
  <c r="AK23" i="72" s="1"/>
  <c r="AK28" i="72" s="1"/>
  <c r="AL14" i="72"/>
  <c r="BH95" i="113"/>
  <c r="BI40" i="60"/>
  <c r="AH93" i="80"/>
  <c r="AI93" i="80" s="1"/>
  <c r="AG97" i="80"/>
  <c r="BJ27" i="113"/>
  <c r="BJ29" i="113" s="1"/>
  <c r="BJ31" i="113" s="1"/>
  <c r="BJ24" i="113"/>
  <c r="BJ25" i="113" s="1"/>
  <c r="BJ33" i="113"/>
  <c r="BJ51" i="113"/>
  <c r="BJ52" i="113" s="1"/>
  <c r="BJ60" i="113"/>
  <c r="BJ54" i="113"/>
  <c r="BJ56" i="113" s="1"/>
  <c r="BJ58" i="113" s="1"/>
  <c r="BI41" i="60"/>
  <c r="AI86" i="80"/>
  <c r="AH87" i="80"/>
  <c r="AH89" i="80" s="1"/>
  <c r="K107" i="44"/>
  <c r="BH20" i="60"/>
  <c r="BH25" i="60"/>
  <c r="F67" i="44"/>
  <c r="H67" i="44"/>
  <c r="AM18" i="60"/>
  <c r="AM26" i="60"/>
  <c r="BI23" i="60"/>
  <c r="BG107" i="60"/>
  <c r="AL15" i="72" l="1"/>
  <c r="AM15" i="72" s="1"/>
  <c r="BI88" i="113"/>
  <c r="BJ114" i="60" s="1"/>
  <c r="BE34" i="113"/>
  <c r="BF111" i="60" s="1"/>
  <c r="V46" i="44"/>
  <c r="D74" i="44" s="1"/>
  <c r="J108" i="44" s="1"/>
  <c r="AO38" i="44"/>
  <c r="BG88" i="113"/>
  <c r="BH114" i="60" s="1"/>
  <c r="BE88" i="113"/>
  <c r="BF114" i="60" s="1"/>
  <c r="BF61" i="113"/>
  <c r="BG112" i="60" s="1"/>
  <c r="BI61" i="113"/>
  <c r="BJ112" i="60" s="1"/>
  <c r="BG61" i="113"/>
  <c r="BH112" i="60" s="1"/>
  <c r="P109" i="115"/>
  <c r="BD61" i="113"/>
  <c r="BE112" i="60" s="1"/>
  <c r="S39" i="115"/>
  <c r="C73" i="44"/>
  <c r="C82" i="44" s="1"/>
  <c r="BJ23" i="60"/>
  <c r="BK13" i="60"/>
  <c r="BK26" i="113"/>
  <c r="P46" i="76"/>
  <c r="P46" i="91"/>
  <c r="AL36" i="60"/>
  <c r="AL44" i="60"/>
  <c r="AL45" i="60" s="1"/>
  <c r="AM57" i="64" s="1"/>
  <c r="AH97" i="80"/>
  <c r="AO17" i="60"/>
  <c r="BH107" i="60"/>
  <c r="BJ90" i="113"/>
  <c r="BK80" i="113"/>
  <c r="BG34" i="113"/>
  <c r="BH111" i="60" s="1"/>
  <c r="BI68" i="113"/>
  <c r="BJ22" i="60"/>
  <c r="AJ86" i="80"/>
  <c r="AI87" i="80"/>
  <c r="AI89" i="80" s="1"/>
  <c r="BJ24" i="60"/>
  <c r="BI25" i="60"/>
  <c r="BI20" i="60"/>
  <c r="AL18" i="72"/>
  <c r="O100" i="65"/>
  <c r="O100" i="115"/>
  <c r="AJ101" i="60"/>
  <c r="E71" i="44"/>
  <c r="BJ41" i="60"/>
  <c r="BJ42" i="60"/>
  <c r="BJ88" i="113"/>
  <c r="BK114" i="60" s="1"/>
  <c r="AY88" i="113"/>
  <c r="AZ114" i="60" s="1"/>
  <c r="AZ88" i="113"/>
  <c r="BA114" i="60" s="1"/>
  <c r="BB88" i="113"/>
  <c r="BC114" i="60" s="1"/>
  <c r="BA88" i="113"/>
  <c r="BB114" i="60" s="1"/>
  <c r="BF88" i="113"/>
  <c r="BG114" i="60" s="1"/>
  <c r="BH88" i="113"/>
  <c r="BI114" i="60" s="1"/>
  <c r="BD88" i="113"/>
  <c r="BE114" i="60" s="1"/>
  <c r="BJ63" i="113"/>
  <c r="BK53" i="113"/>
  <c r="BI43" i="60"/>
  <c r="BI38" i="60"/>
  <c r="BI95" i="113"/>
  <c r="BJ40" i="60"/>
  <c r="BJ61" i="113"/>
  <c r="BK112" i="60" s="1"/>
  <c r="AZ61" i="113"/>
  <c r="BA112" i="60" s="1"/>
  <c r="AY61" i="113"/>
  <c r="AZ112" i="60" s="1"/>
  <c r="BB61" i="113"/>
  <c r="BC112" i="60" s="1"/>
  <c r="BA61" i="113"/>
  <c r="BB112" i="60" s="1"/>
  <c r="BC61" i="113"/>
  <c r="BD112" i="60" s="1"/>
  <c r="BI34" i="113"/>
  <c r="BJ111" i="60" s="1"/>
  <c r="BC88" i="113"/>
  <c r="BD114" i="60" s="1"/>
  <c r="AK58" i="64"/>
  <c r="AK99" i="60"/>
  <c r="AK101" i="60" s="1"/>
  <c r="AK103" i="60" s="1"/>
  <c r="BE61" i="113"/>
  <c r="BF112" i="60" s="1"/>
  <c r="AM14" i="72"/>
  <c r="AN35" i="60"/>
  <c r="AN27" i="60"/>
  <c r="AM27" i="60"/>
  <c r="AM35" i="60"/>
  <c r="BH61" i="113"/>
  <c r="BI112" i="60" s="1"/>
  <c r="L107" i="44"/>
  <c r="BH34" i="113"/>
  <c r="BI111" i="60" s="1"/>
  <c r="BJ34" i="113"/>
  <c r="BK111" i="60" s="1"/>
  <c r="AZ34" i="113"/>
  <c r="BA111" i="60" s="1"/>
  <c r="AY34" i="113"/>
  <c r="AZ111" i="60" s="1"/>
  <c r="BB34" i="113"/>
  <c r="BC111" i="60" s="1"/>
  <c r="BA34" i="113"/>
  <c r="BB111" i="60" s="1"/>
  <c r="BC34" i="113"/>
  <c r="BD111" i="60" s="1"/>
  <c r="BD34" i="113"/>
  <c r="BE111" i="60" s="1"/>
  <c r="BF34" i="113"/>
  <c r="BG111" i="60" s="1"/>
  <c r="H68" i="44"/>
  <c r="F68" i="44"/>
  <c r="J82" i="44" l="1"/>
  <c r="V53" i="44"/>
  <c r="AB50" i="44"/>
  <c r="W46" i="44"/>
  <c r="C74" i="44"/>
  <c r="BF110" i="60"/>
  <c r="AX5" i="80" s="1"/>
  <c r="AX8" i="80" s="1"/>
  <c r="AX9" i="80" s="1"/>
  <c r="AX10" i="80" s="1"/>
  <c r="AZ110" i="60"/>
  <c r="AR5" i="80" s="1"/>
  <c r="AR7" i="80" s="1"/>
  <c r="BJ110" i="60"/>
  <c r="BB5" i="80" s="1"/>
  <c r="BB8" i="80" s="1"/>
  <c r="BB9" i="80" s="1"/>
  <c r="BB10" i="80" s="1"/>
  <c r="BH110" i="60"/>
  <c r="AZ5" i="80" s="1"/>
  <c r="AZ7" i="80" s="1"/>
  <c r="BE110" i="60"/>
  <c r="AW5" i="80" s="1"/>
  <c r="AW7" i="80" s="1"/>
  <c r="BI107" i="60"/>
  <c r="BD110" i="60"/>
  <c r="AV5" i="80" s="1"/>
  <c r="AV7" i="80" s="1"/>
  <c r="BB110" i="60"/>
  <c r="AT5" i="80" s="1"/>
  <c r="AT8" i="80" s="1"/>
  <c r="AT9" i="80" s="1"/>
  <c r="AT10" i="80" s="1"/>
  <c r="BJ38" i="60"/>
  <c r="BJ43" i="60"/>
  <c r="AJ103" i="60"/>
  <c r="AO18" i="60"/>
  <c r="AO26" i="60"/>
  <c r="P100" i="115"/>
  <c r="BJ20" i="60"/>
  <c r="BJ25" i="60"/>
  <c r="BK60" i="113"/>
  <c r="BK54" i="113"/>
  <c r="BK56" i="113" s="1"/>
  <c r="BK58" i="113" s="1"/>
  <c r="BK51" i="113"/>
  <c r="BK52" i="113" s="1"/>
  <c r="BL53" i="113"/>
  <c r="BK78" i="113"/>
  <c r="BK79" i="113" s="1"/>
  <c r="BK81" i="113"/>
  <c r="BK83" i="113" s="1"/>
  <c r="BK85" i="113" s="1"/>
  <c r="BL80" i="113"/>
  <c r="BK87" i="113"/>
  <c r="BG110" i="60"/>
  <c r="AY5" i="80" s="1"/>
  <c r="BK11" i="60"/>
  <c r="BK16" i="60"/>
  <c r="AM44" i="60"/>
  <c r="AM45" i="60" s="1"/>
  <c r="AN57" i="64" s="1"/>
  <c r="AM36" i="60"/>
  <c r="BA110" i="60"/>
  <c r="AS5" i="80" s="1"/>
  <c r="AN36" i="60"/>
  <c r="AN44" i="60"/>
  <c r="AN45" i="60" s="1"/>
  <c r="AO57" i="64" s="1"/>
  <c r="AI97" i="80"/>
  <c r="AQ17" i="60" s="1"/>
  <c r="AP17" i="60"/>
  <c r="BK110" i="60"/>
  <c r="BC5" i="80" s="1"/>
  <c r="O102" i="65"/>
  <c r="P100" i="65"/>
  <c r="AL108" i="60"/>
  <c r="AL102" i="60" s="1"/>
  <c r="AL103" i="60" s="1"/>
  <c r="BI110" i="60"/>
  <c r="BA5" i="80" s="1"/>
  <c r="AL22" i="72"/>
  <c r="AM18" i="72"/>
  <c r="BA26" i="72" s="1"/>
  <c r="BK24" i="113"/>
  <c r="BK25" i="113" s="1"/>
  <c r="BK27" i="113"/>
  <c r="BK29" i="113" s="1"/>
  <c r="BK31" i="113" s="1"/>
  <c r="BL26" i="113"/>
  <c r="BK33" i="113"/>
  <c r="BJ65" i="113"/>
  <c r="BJ67" i="113"/>
  <c r="BJ66" i="113"/>
  <c r="BJ92" i="113"/>
  <c r="BJ93" i="113"/>
  <c r="BJ94" i="113"/>
  <c r="H71" i="44"/>
  <c r="F71" i="44"/>
  <c r="AK86" i="80"/>
  <c r="AJ93" i="80"/>
  <c r="AJ87" i="80"/>
  <c r="AJ89" i="80" s="1"/>
  <c r="BC110" i="60"/>
  <c r="AU5" i="80" s="1"/>
  <c r="AX7" i="80" l="1"/>
  <c r="C83" i="44"/>
  <c r="I108" i="44"/>
  <c r="E74" i="44"/>
  <c r="AM92" i="44"/>
  <c r="AR124" i="44"/>
  <c r="AO92" i="44"/>
  <c r="AS124" i="44"/>
  <c r="AZ8" i="80"/>
  <c r="AZ9" i="80" s="1"/>
  <c r="AZ10" i="80" s="1"/>
  <c r="AZ28" i="80" s="1"/>
  <c r="AW8" i="80"/>
  <c r="AW9" i="80" s="1"/>
  <c r="AW10" i="80" s="1"/>
  <c r="AW28" i="80" s="1"/>
  <c r="BB7" i="80"/>
  <c r="AR8" i="80"/>
  <c r="AR9" i="80" s="1"/>
  <c r="AR10" i="80" s="1"/>
  <c r="AR28" i="80" s="1"/>
  <c r="AV8" i="80"/>
  <c r="AV9" i="80" s="1"/>
  <c r="AV10" i="80" s="1"/>
  <c r="AV28" i="80" s="1"/>
  <c r="BJ107" i="60"/>
  <c r="AT7" i="80"/>
  <c r="AL23" i="72"/>
  <c r="AL28" i="72" s="1"/>
  <c r="AM22" i="72"/>
  <c r="AM23" i="72" s="1"/>
  <c r="AM28" i="72" s="1"/>
  <c r="BA29" i="72" s="1"/>
  <c r="BA28" i="72" s="1"/>
  <c r="BL13" i="60"/>
  <c r="AM108" i="60"/>
  <c r="AM102" i="60" s="1"/>
  <c r="BK90" i="113"/>
  <c r="AM99" i="60"/>
  <c r="AM58" i="64"/>
  <c r="L52" i="44"/>
  <c r="P43" i="76"/>
  <c r="BL51" i="113"/>
  <c r="BL52" i="113" s="1"/>
  <c r="BM53" i="113"/>
  <c r="BL60" i="113"/>
  <c r="BL54" i="113"/>
  <c r="BL56" i="113" s="1"/>
  <c r="BL58" i="113" s="1"/>
  <c r="BL63" i="113" s="1"/>
  <c r="M52" i="44"/>
  <c r="P43" i="91"/>
  <c r="AK93" i="80"/>
  <c r="AL93" i="80" s="1"/>
  <c r="AJ97" i="80"/>
  <c r="AL86" i="80"/>
  <c r="AL87" i="80" s="1"/>
  <c r="AL89" i="80" s="1"/>
  <c r="AK87" i="80"/>
  <c r="AK89" i="80" s="1"/>
  <c r="BC7" i="80"/>
  <c r="BC8" i="80"/>
  <c r="BC9" i="80" s="1"/>
  <c r="BC10" i="80" s="1"/>
  <c r="BK63" i="113"/>
  <c r="AO27" i="60"/>
  <c r="AO35" i="60"/>
  <c r="AS7" i="80"/>
  <c r="AS8" i="80"/>
  <c r="AS9" i="80" s="1"/>
  <c r="AS10" i="80" s="1"/>
  <c r="AU7" i="80"/>
  <c r="AU8" i="80"/>
  <c r="AU9" i="80" s="1"/>
  <c r="AU10" i="80" s="1"/>
  <c r="BL33" i="113"/>
  <c r="BL24" i="113"/>
  <c r="BL25" i="113" s="1"/>
  <c r="BL27" i="113"/>
  <c r="BL29" i="113" s="1"/>
  <c r="BL31" i="113" s="1"/>
  <c r="BM13" i="60" s="1"/>
  <c r="BM26" i="113"/>
  <c r="BA7" i="80"/>
  <c r="BA8" i="80"/>
  <c r="BA9" i="80" s="1"/>
  <c r="BA10" i="80" s="1"/>
  <c r="BL78" i="113"/>
  <c r="BL79" i="113" s="1"/>
  <c r="BL81" i="113"/>
  <c r="BL83" i="113" s="1"/>
  <c r="BL85" i="113" s="1"/>
  <c r="BL90" i="113" s="1"/>
  <c r="BM80" i="113"/>
  <c r="BL87" i="113"/>
  <c r="AN78" i="80"/>
  <c r="AX56" i="80"/>
  <c r="AX28" i="80"/>
  <c r="BK42" i="60"/>
  <c r="AT56" i="80"/>
  <c r="AT28" i="80"/>
  <c r="BK41" i="60"/>
  <c r="O104" i="65"/>
  <c r="P104" i="65" s="1"/>
  <c r="AM96" i="44" s="1"/>
  <c r="P102" i="65"/>
  <c r="AM94" i="44" s="1"/>
  <c r="BJ95" i="113"/>
  <c r="BK40" i="60"/>
  <c r="AP18" i="60"/>
  <c r="AP26" i="60"/>
  <c r="F74" i="44"/>
  <c r="H74" i="44"/>
  <c r="AY8" i="80"/>
  <c r="AY9" i="80" s="1"/>
  <c r="AY10" i="80" s="1"/>
  <c r="AY7" i="80"/>
  <c r="BK23" i="60"/>
  <c r="AQ26" i="60"/>
  <c r="AQ18" i="60"/>
  <c r="BK24" i="60"/>
  <c r="AN108" i="60"/>
  <c r="AN102" i="60" s="1"/>
  <c r="BJ68" i="113"/>
  <c r="BK22" i="60"/>
  <c r="BB56" i="80"/>
  <c r="BB28" i="80"/>
  <c r="J83" i="44" l="1"/>
  <c r="K108" i="44"/>
  <c r="AT124" i="44"/>
  <c r="AW56" i="80"/>
  <c r="AW62" i="80" s="1"/>
  <c r="AZ56" i="80"/>
  <c r="AV56" i="80"/>
  <c r="AV62" i="80" s="1"/>
  <c r="AR56" i="80"/>
  <c r="AR67" i="80" s="1"/>
  <c r="AN77" i="80"/>
  <c r="AS80" i="80" s="1"/>
  <c r="AS65" i="80" s="1"/>
  <c r="BL92" i="113"/>
  <c r="BL94" i="113"/>
  <c r="BL93" i="113"/>
  <c r="BA28" i="80"/>
  <c r="BA56" i="80"/>
  <c r="BM33" i="113"/>
  <c r="BM27" i="113"/>
  <c r="BM29" i="113" s="1"/>
  <c r="BM31" i="113" s="1"/>
  <c r="BN13" i="60" s="1"/>
  <c r="BM24" i="113"/>
  <c r="BM25" i="113" s="1"/>
  <c r="BN26" i="113"/>
  <c r="AR17" i="60"/>
  <c r="AK97" i="80"/>
  <c r="AM101" i="60"/>
  <c r="AQ35" i="60"/>
  <c r="AQ27" i="60"/>
  <c r="BM11" i="60"/>
  <c r="BM16" i="60"/>
  <c r="AO36" i="60"/>
  <c r="AO44" i="60"/>
  <c r="AO45" i="60" s="1"/>
  <c r="AP57" i="64" s="1"/>
  <c r="BB62" i="80"/>
  <c r="BB67" i="80"/>
  <c r="BB69" i="80"/>
  <c r="AZ69" i="80"/>
  <c r="AZ62" i="80"/>
  <c r="AZ67" i="80"/>
  <c r="AX62" i="80"/>
  <c r="AX69" i="80"/>
  <c r="AX67" i="80"/>
  <c r="BK93" i="113"/>
  <c r="BK92" i="113"/>
  <c r="BK94" i="113"/>
  <c r="BK25" i="60"/>
  <c r="BK20" i="60"/>
  <c r="N52" i="44"/>
  <c r="P56" i="44" s="1"/>
  <c r="D76" i="44"/>
  <c r="J112" i="44" s="1"/>
  <c r="O52" i="44"/>
  <c r="C76" i="44"/>
  <c r="I112" i="44" s="1"/>
  <c r="I113" i="44" s="1"/>
  <c r="U77" i="44"/>
  <c r="U78" i="44" s="1"/>
  <c r="L53" i="44"/>
  <c r="C55" i="44" s="1"/>
  <c r="AP35" i="60"/>
  <c r="AP27" i="60"/>
  <c r="BK65" i="113"/>
  <c r="BK66" i="113"/>
  <c r="BK67" i="113"/>
  <c r="BL67" i="113"/>
  <c r="BL65" i="113"/>
  <c r="BL66" i="113"/>
  <c r="AN58" i="64"/>
  <c r="AN99" i="60"/>
  <c r="AN101" i="60" s="1"/>
  <c r="AN103" i="60" s="1"/>
  <c r="BN80" i="113"/>
  <c r="BM81" i="113"/>
  <c r="BM83" i="113" s="1"/>
  <c r="BM85" i="113" s="1"/>
  <c r="BM90" i="113" s="1"/>
  <c r="BM78" i="113"/>
  <c r="BM79" i="113" s="1"/>
  <c r="BM87" i="113"/>
  <c r="AU28" i="80"/>
  <c r="AU56" i="80"/>
  <c r="BC28" i="80"/>
  <c r="BC56" i="80"/>
  <c r="BN53" i="113"/>
  <c r="BM51" i="113"/>
  <c r="BM52" i="113" s="1"/>
  <c r="BM54" i="113"/>
  <c r="BM56" i="113" s="1"/>
  <c r="BM58" i="113" s="1"/>
  <c r="BM63" i="113" s="1"/>
  <c r="BM60" i="113"/>
  <c r="BL16" i="60"/>
  <c r="BL11" i="60"/>
  <c r="AO58" i="64"/>
  <c r="AO99" i="60"/>
  <c r="AO101" i="60" s="1"/>
  <c r="BK43" i="60"/>
  <c r="BK38" i="60"/>
  <c r="AT67" i="80"/>
  <c r="AT69" i="80"/>
  <c r="AT62" i="80"/>
  <c r="AS28" i="80"/>
  <c r="AS56" i="80"/>
  <c r="AY56" i="80"/>
  <c r="AY28" i="80"/>
  <c r="P44" i="76"/>
  <c r="P48" i="76"/>
  <c r="AN80" i="80" l="1"/>
  <c r="AN65" i="80" s="1"/>
  <c r="AN72" i="80" s="1"/>
  <c r="AN85" i="80" s="1"/>
  <c r="AW69" i="80"/>
  <c r="K112" i="44"/>
  <c r="L112" i="44" s="1"/>
  <c r="L108" i="44"/>
  <c r="AV69" i="80"/>
  <c r="AW67" i="80"/>
  <c r="AV67" i="80"/>
  <c r="AG47" i="44"/>
  <c r="O56" i="44"/>
  <c r="AR62" i="80"/>
  <c r="AR69" i="80"/>
  <c r="AO80" i="80"/>
  <c r="AO65" i="80" s="1"/>
  <c r="AO72" i="80" s="1"/>
  <c r="AO85" i="80" s="1"/>
  <c r="AM84" i="80" s="1"/>
  <c r="AM92" i="80" s="1"/>
  <c r="AX80" i="80"/>
  <c r="AX65" i="80" s="1"/>
  <c r="AX72" i="80" s="1"/>
  <c r="AX85" i="80" s="1"/>
  <c r="AR80" i="80"/>
  <c r="AR65" i="80" s="1"/>
  <c r="AY80" i="80"/>
  <c r="AY65" i="80" s="1"/>
  <c r="AQ80" i="80"/>
  <c r="AQ65" i="80" s="1"/>
  <c r="AQ72" i="80" s="1"/>
  <c r="AQ85" i="80" s="1"/>
  <c r="AP80" i="80"/>
  <c r="AP65" i="80" s="1"/>
  <c r="AP72" i="80" s="1"/>
  <c r="AP85" i="80" s="1"/>
  <c r="AM86" i="80"/>
  <c r="AN86" i="80" s="1"/>
  <c r="AU80" i="80"/>
  <c r="AU65" i="80" s="1"/>
  <c r="AW80" i="80"/>
  <c r="AW65" i="80" s="1"/>
  <c r="AW72" i="80" s="1"/>
  <c r="AW85" i="80" s="1"/>
  <c r="AT80" i="80"/>
  <c r="AT65" i="80" s="1"/>
  <c r="AT72" i="80" s="1"/>
  <c r="AT85" i="80" s="1"/>
  <c r="AM99" i="80"/>
  <c r="AN99" i="80" s="1"/>
  <c r="AO99" i="80" s="1"/>
  <c r="AP99" i="80" s="1"/>
  <c r="AQ99" i="80" s="1"/>
  <c r="AR99" i="80" s="1"/>
  <c r="AS99" i="80" s="1"/>
  <c r="AT99" i="80" s="1"/>
  <c r="AU99" i="80" s="1"/>
  <c r="AV99" i="80" s="1"/>
  <c r="AW99" i="80" s="1"/>
  <c r="AX99" i="80" s="1"/>
  <c r="AV80" i="80"/>
  <c r="AV65" i="80" s="1"/>
  <c r="AO108" i="60"/>
  <c r="AO102" i="60" s="1"/>
  <c r="AO103" i="60" s="1"/>
  <c r="BL95" i="113"/>
  <c r="BM40" i="60"/>
  <c r="AY67" i="80"/>
  <c r="AY62" i="80"/>
  <c r="AY69" i="80"/>
  <c r="BK68" i="113"/>
  <c r="BL22" i="60"/>
  <c r="AM103" i="60"/>
  <c r="F61" i="61"/>
  <c r="F63" i="61" s="1"/>
  <c r="BL42" i="60"/>
  <c r="AL97" i="80"/>
  <c r="AT17" i="60" s="1"/>
  <c r="AS17" i="60"/>
  <c r="BA69" i="80"/>
  <c r="BA62" i="80"/>
  <c r="BA67" i="80"/>
  <c r="AS69" i="80"/>
  <c r="AS62" i="80"/>
  <c r="AS67" i="80"/>
  <c r="BM93" i="113"/>
  <c r="BM94" i="113"/>
  <c r="BM92" i="113"/>
  <c r="BK95" i="113"/>
  <c r="BL40" i="60"/>
  <c r="AR26" i="60"/>
  <c r="AR18" i="60"/>
  <c r="BM65" i="113"/>
  <c r="BM66" i="113"/>
  <c r="BM67" i="113"/>
  <c r="BN78" i="113"/>
  <c r="BN79" i="113" s="1"/>
  <c r="BO80" i="113"/>
  <c r="BN81" i="113"/>
  <c r="BN83" i="113" s="1"/>
  <c r="BN85" i="113" s="1"/>
  <c r="BN90" i="113" s="1"/>
  <c r="BN87" i="113"/>
  <c r="C84" i="44"/>
  <c r="C86" i="44" s="1"/>
  <c r="C78" i="44"/>
  <c r="BL41" i="60"/>
  <c r="BO26" i="113"/>
  <c r="BN27" i="113"/>
  <c r="BN29" i="113" s="1"/>
  <c r="BN31" i="113" s="1"/>
  <c r="BO13" i="60" s="1"/>
  <c r="BN24" i="113"/>
  <c r="BN25" i="113" s="1"/>
  <c r="BN33" i="113"/>
  <c r="BM41" i="60"/>
  <c r="BM42" i="60"/>
  <c r="BN51" i="113"/>
  <c r="BN52" i="113" s="1"/>
  <c r="BN54" i="113"/>
  <c r="BN56" i="113" s="1"/>
  <c r="BN58" i="113" s="1"/>
  <c r="BN63" i="113" s="1"/>
  <c r="BN60" i="113"/>
  <c r="BO53" i="113"/>
  <c r="BN11" i="60"/>
  <c r="BN16" i="60"/>
  <c r="BC67" i="80"/>
  <c r="BC69" i="80"/>
  <c r="BC62" i="80"/>
  <c r="E76" i="44"/>
  <c r="F76" i="44" s="1"/>
  <c r="D84" i="44"/>
  <c r="BM23" i="60"/>
  <c r="BK107" i="60"/>
  <c r="BL68" i="113"/>
  <c r="BM22" i="60"/>
  <c r="BM24" i="60"/>
  <c r="AP44" i="60"/>
  <c r="AP45" i="60" s="1"/>
  <c r="AQ57" i="64" s="1"/>
  <c r="AP36" i="60"/>
  <c r="AU69" i="80"/>
  <c r="AU67" i="80"/>
  <c r="AU62" i="80"/>
  <c r="BL24" i="60"/>
  <c r="AQ36" i="60"/>
  <c r="AQ44" i="60"/>
  <c r="AQ45" i="60" s="1"/>
  <c r="AR57" i="64" s="1"/>
  <c r="BL23" i="60"/>
  <c r="AV72" i="80" l="1"/>
  <c r="AV85" i="80" s="1"/>
  <c r="AR72" i="80"/>
  <c r="AR85" i="80" s="1"/>
  <c r="AM87" i="80"/>
  <c r="AM89" i="80" s="1"/>
  <c r="AS72" i="80"/>
  <c r="AS85" i="80" s="1"/>
  <c r="AM93" i="80"/>
  <c r="AN93" i="80" s="1"/>
  <c r="AO93" i="80" s="1"/>
  <c r="AO86" i="80"/>
  <c r="AP86" i="80" s="1"/>
  <c r="AP87" i="80" s="1"/>
  <c r="AP89" i="80" s="1"/>
  <c r="AN87" i="80"/>
  <c r="AN89" i="80" s="1"/>
  <c r="AU72" i="80"/>
  <c r="AU85" i="80" s="1"/>
  <c r="AY72" i="80"/>
  <c r="AY85" i="80" s="1"/>
  <c r="AV84" i="80"/>
  <c r="AV92" i="80" s="1"/>
  <c r="AW92" i="80" s="1"/>
  <c r="AX92" i="80" s="1"/>
  <c r="AR27" i="60"/>
  <c r="AR35" i="60"/>
  <c r="BL43" i="60"/>
  <c r="BL38" i="60"/>
  <c r="BO51" i="113"/>
  <c r="BO52" i="113" s="1"/>
  <c r="BP53" i="113"/>
  <c r="BO54" i="113"/>
  <c r="BO56" i="113" s="1"/>
  <c r="BO58" i="113" s="1"/>
  <c r="BO60" i="113"/>
  <c r="BL25" i="60"/>
  <c r="BL20" i="60"/>
  <c r="BP80" i="113"/>
  <c r="BO81" i="113"/>
  <c r="BO83" i="113" s="1"/>
  <c r="BO85" i="113" s="1"/>
  <c r="BO78" i="113"/>
  <c r="BO79" i="113" s="1"/>
  <c r="BO87" i="113"/>
  <c r="BM95" i="113"/>
  <c r="BN40" i="60"/>
  <c r="AT26" i="60"/>
  <c r="AT18" i="60"/>
  <c r="AQ108" i="60"/>
  <c r="AQ102" i="60" s="1"/>
  <c r="E84" i="44"/>
  <c r="BN42" i="60"/>
  <c r="BM38" i="60"/>
  <c r="BM43" i="60"/>
  <c r="AM98" i="80"/>
  <c r="AN92" i="80"/>
  <c r="AO92" i="80" s="1"/>
  <c r="AP84" i="80"/>
  <c r="AP92" i="80" s="1"/>
  <c r="BN65" i="113"/>
  <c r="BN67" i="113"/>
  <c r="BN66" i="113"/>
  <c r="BN92" i="113"/>
  <c r="BN93" i="113"/>
  <c r="BN94" i="113"/>
  <c r="AS26" i="60"/>
  <c r="AS18" i="60"/>
  <c r="AP108" i="60"/>
  <c r="AP102" i="60" s="1"/>
  <c r="BO11" i="60"/>
  <c r="BO16" i="60"/>
  <c r="BN24" i="60"/>
  <c r="BN41" i="60"/>
  <c r="BO24" i="113"/>
  <c r="BO25" i="113" s="1"/>
  <c r="BO27" i="113"/>
  <c r="BO29" i="113" s="1"/>
  <c r="BO31" i="113" s="1"/>
  <c r="BP26" i="113"/>
  <c r="BO33" i="113"/>
  <c r="BN23" i="60"/>
  <c r="BM20" i="60"/>
  <c r="BM25" i="60"/>
  <c r="BM68" i="113"/>
  <c r="BN22" i="60"/>
  <c r="AP58" i="64"/>
  <c r="AP99" i="60"/>
  <c r="AP101" i="60" s="1"/>
  <c r="AS84" i="80" l="1"/>
  <c r="AS92" i="80" s="1"/>
  <c r="AS98" i="80" s="1"/>
  <c r="AM97" i="80"/>
  <c r="AU17" i="60" s="1"/>
  <c r="AV98" i="80"/>
  <c r="AW98" i="80" s="1"/>
  <c r="AX98" i="80" s="1"/>
  <c r="AQ86" i="80"/>
  <c r="AR86" i="80" s="1"/>
  <c r="AO87" i="80"/>
  <c r="AO89" i="80" s="1"/>
  <c r="AP93" i="80"/>
  <c r="AQ93" i="80" s="1"/>
  <c r="AR93" i="80" s="1"/>
  <c r="BO42" i="60"/>
  <c r="BO24" i="60"/>
  <c r="BL107" i="60"/>
  <c r="BN68" i="113"/>
  <c r="BO22" i="60"/>
  <c r="AQ58" i="64"/>
  <c r="AQ99" i="60"/>
  <c r="BO41" i="60"/>
  <c r="AM103" i="80"/>
  <c r="AN98" i="80"/>
  <c r="AO98" i="80" s="1"/>
  <c r="BN95" i="113"/>
  <c r="BO40" i="60"/>
  <c r="AT35" i="60"/>
  <c r="AT27" i="60"/>
  <c r="BN43" i="60"/>
  <c r="BN38" i="60"/>
  <c r="AP103" i="60"/>
  <c r="BQ26" i="113"/>
  <c r="BP24" i="113"/>
  <c r="BP25" i="113" s="1"/>
  <c r="BP27" i="113"/>
  <c r="BP29" i="113" s="1"/>
  <c r="BP31" i="113" s="1"/>
  <c r="BQ13" i="60" s="1"/>
  <c r="BP33" i="113"/>
  <c r="BO23" i="60"/>
  <c r="BP13" i="60"/>
  <c r="BM107" i="60"/>
  <c r="BN25" i="60"/>
  <c r="BN20" i="60"/>
  <c r="AR44" i="60"/>
  <c r="AR45" i="60" s="1"/>
  <c r="AS57" i="64" s="1"/>
  <c r="AR36" i="60"/>
  <c r="BO90" i="113"/>
  <c r="AQ92" i="80"/>
  <c r="AR92" i="80" s="1"/>
  <c r="AP98" i="80"/>
  <c r="F84" i="44"/>
  <c r="BP87" i="113"/>
  <c r="BP78" i="113"/>
  <c r="BP79" i="113" s="1"/>
  <c r="BP81" i="113"/>
  <c r="BP83" i="113" s="1"/>
  <c r="BP85" i="113" s="1"/>
  <c r="BP90" i="113" s="1"/>
  <c r="BQ80" i="113"/>
  <c r="BO63" i="113"/>
  <c r="BP54" i="113"/>
  <c r="BP56" i="113" s="1"/>
  <c r="BP58" i="113" s="1"/>
  <c r="BP63" i="113" s="1"/>
  <c r="BP51" i="113"/>
  <c r="BP52" i="113" s="1"/>
  <c r="BP60" i="113"/>
  <c r="BQ53" i="113"/>
  <c r="AS27" i="60"/>
  <c r="AS35" i="60"/>
  <c r="AR99" i="60"/>
  <c r="AR101" i="60" s="1"/>
  <c r="AR58" i="64"/>
  <c r="AP97" i="80" l="1"/>
  <c r="AV103" i="80"/>
  <c r="AN97" i="80"/>
  <c r="AT92" i="80"/>
  <c r="AU92" i="80" s="1"/>
  <c r="AQ87" i="80"/>
  <c r="AQ89" i="80" s="1"/>
  <c r="AR108" i="60"/>
  <c r="AR102" i="60" s="1"/>
  <c r="AR103" i="60" s="1"/>
  <c r="AT36" i="60"/>
  <c r="AT44" i="60"/>
  <c r="AT45" i="60" s="1"/>
  <c r="AU57" i="64" s="1"/>
  <c r="BP65" i="113"/>
  <c r="BP67" i="113"/>
  <c r="BP66" i="113"/>
  <c r="AU26" i="60"/>
  <c r="AU18" i="60"/>
  <c r="BQ24" i="113"/>
  <c r="BQ25" i="113" s="1"/>
  <c r="BQ33" i="113"/>
  <c r="BQ27" i="113"/>
  <c r="BQ29" i="113" s="1"/>
  <c r="BQ31" i="113" s="1"/>
  <c r="BR13" i="60" s="1"/>
  <c r="BR26" i="113"/>
  <c r="AV17" i="60"/>
  <c r="AO97" i="80"/>
  <c r="AW17" i="60" s="1"/>
  <c r="AQ101" i="60"/>
  <c r="AX17" i="60"/>
  <c r="AQ97" i="80"/>
  <c r="BO43" i="60"/>
  <c r="BO38" i="60"/>
  <c r="AQ98" i="80"/>
  <c r="AR98" i="80" s="1"/>
  <c r="AP103" i="80"/>
  <c r="BQ11" i="60"/>
  <c r="BQ16" i="60"/>
  <c r="AS86" i="80"/>
  <c r="AR87" i="80"/>
  <c r="AR89" i="80" s="1"/>
  <c r="BP16" i="60"/>
  <c r="BP11" i="60"/>
  <c r="BN107" i="60"/>
  <c r="AW103" i="80"/>
  <c r="BD52" i="60"/>
  <c r="AS103" i="80"/>
  <c r="AT98" i="80"/>
  <c r="AU98" i="80" s="1"/>
  <c r="AS44" i="60"/>
  <c r="AS45" i="60" s="1"/>
  <c r="AT57" i="64" s="1"/>
  <c r="AS36" i="60"/>
  <c r="BO65" i="113"/>
  <c r="BO66" i="113"/>
  <c r="BO67" i="113"/>
  <c r="BQ87" i="113"/>
  <c r="BQ81" i="113"/>
  <c r="BQ83" i="113" s="1"/>
  <c r="BQ85" i="113" s="1"/>
  <c r="BR80" i="113"/>
  <c r="BQ78" i="113"/>
  <c r="BQ79" i="113" s="1"/>
  <c r="BO94" i="113"/>
  <c r="BO93" i="113"/>
  <c r="BO92" i="113"/>
  <c r="BQ60" i="113"/>
  <c r="BQ51" i="113"/>
  <c r="BQ52" i="113" s="1"/>
  <c r="BQ54" i="113"/>
  <c r="BQ56" i="113" s="1"/>
  <c r="BQ58" i="113" s="1"/>
  <c r="BQ63" i="113" s="1"/>
  <c r="BR53" i="113"/>
  <c r="BP94" i="113"/>
  <c r="BP92" i="113"/>
  <c r="BP93" i="113"/>
  <c r="AU52" i="60"/>
  <c r="AN103" i="80"/>
  <c r="BO25" i="60"/>
  <c r="BO20" i="60"/>
  <c r="AT108" i="60" l="1"/>
  <c r="AT102" i="60" s="1"/>
  <c r="BP24" i="60"/>
  <c r="BP23" i="60"/>
  <c r="AU53" i="60"/>
  <c r="AU60" i="60"/>
  <c r="AU61" i="60" s="1"/>
  <c r="AS108" i="60"/>
  <c r="AS102" i="60" s="1"/>
  <c r="AU35" i="60"/>
  <c r="AU27" i="60"/>
  <c r="BP41" i="60"/>
  <c r="BQ23" i="60"/>
  <c r="BP42" i="60"/>
  <c r="AX26" i="60"/>
  <c r="AX18" i="60"/>
  <c r="BP95" i="113"/>
  <c r="BQ40" i="60"/>
  <c r="BR16" i="60"/>
  <c r="BR11" i="60"/>
  <c r="AV52" i="60"/>
  <c r="AO103" i="80"/>
  <c r="AW52" i="60" s="1"/>
  <c r="BO107" i="60"/>
  <c r="BO95" i="113"/>
  <c r="BP40" i="60"/>
  <c r="AY17" i="60"/>
  <c r="AR97" i="80"/>
  <c r="AZ17" i="60" s="1"/>
  <c r="BQ41" i="60"/>
  <c r="BQ24" i="60"/>
  <c r="AU99" i="60"/>
  <c r="AU101" i="60" s="1"/>
  <c r="AU58" i="64"/>
  <c r="AQ103" i="60"/>
  <c r="BP68" i="113"/>
  <c r="BQ22" i="60"/>
  <c r="BQ42" i="60"/>
  <c r="BR81" i="113"/>
  <c r="BR83" i="113" s="1"/>
  <c r="BR85" i="113" s="1"/>
  <c r="BR90" i="113" s="1"/>
  <c r="BR78" i="113"/>
  <c r="BR79" i="113" s="1"/>
  <c r="BR87" i="113"/>
  <c r="BS80" i="113"/>
  <c r="BR60" i="113"/>
  <c r="BS53" i="113"/>
  <c r="BR54" i="113"/>
  <c r="BR56" i="113" s="1"/>
  <c r="BR58" i="113" s="1"/>
  <c r="BR63" i="113" s="1"/>
  <c r="BR51" i="113"/>
  <c r="BR52" i="113" s="1"/>
  <c r="BQ90" i="113"/>
  <c r="AS99" i="60"/>
  <c r="AS58" i="64"/>
  <c r="AW18" i="60"/>
  <c r="AW26" i="60"/>
  <c r="BQ66" i="113"/>
  <c r="BQ67" i="113"/>
  <c r="BQ65" i="113"/>
  <c r="BA52" i="60"/>
  <c r="AT103" i="80"/>
  <c r="AT86" i="80"/>
  <c r="AS93" i="80"/>
  <c r="AS87" i="80"/>
  <c r="AS89" i="80" s="1"/>
  <c r="AV18" i="60"/>
  <c r="AV26" i="60"/>
  <c r="BD60" i="60"/>
  <c r="BD61" i="60" s="1"/>
  <c r="BD53" i="60"/>
  <c r="AX52" i="60"/>
  <c r="AQ103" i="80"/>
  <c r="BR33" i="113"/>
  <c r="BS26" i="113"/>
  <c r="BR24" i="113"/>
  <c r="BR25" i="113" s="1"/>
  <c r="BR27" i="113"/>
  <c r="BR29" i="113" s="1"/>
  <c r="BR31" i="113" s="1"/>
  <c r="BS13" i="60" s="1"/>
  <c r="BE52" i="60"/>
  <c r="AX103" i="80"/>
  <c r="BF52" i="60" s="1"/>
  <c r="BO68" i="113"/>
  <c r="BP22" i="60"/>
  <c r="AW35" i="60" l="1"/>
  <c r="AW27" i="60"/>
  <c r="BR94" i="113"/>
  <c r="BR93" i="113"/>
  <c r="BR92" i="113"/>
  <c r="AS101" i="60"/>
  <c r="AW53" i="60"/>
  <c r="AW60" i="60"/>
  <c r="AW61" i="60" s="1"/>
  <c r="AT99" i="60"/>
  <c r="AT101" i="60" s="1"/>
  <c r="AT58" i="64"/>
  <c r="BS16" i="60"/>
  <c r="BS11" i="60"/>
  <c r="AT93" i="80"/>
  <c r="AU93" i="80" s="1"/>
  <c r="AS97" i="80"/>
  <c r="BQ20" i="60"/>
  <c r="BQ25" i="60"/>
  <c r="AV60" i="60"/>
  <c r="AV61" i="60" s="1"/>
  <c r="AV53" i="60"/>
  <c r="AU86" i="80"/>
  <c r="AT87" i="80"/>
  <c r="AT89" i="80" s="1"/>
  <c r="BQ92" i="113"/>
  <c r="BQ93" i="113"/>
  <c r="BQ94" i="113"/>
  <c r="BT26" i="113"/>
  <c r="BS33" i="113"/>
  <c r="BS24" i="113"/>
  <c r="BS25" i="113" s="1"/>
  <c r="BS27" i="113"/>
  <c r="BS29" i="113" s="1"/>
  <c r="BS31" i="113" s="1"/>
  <c r="BT13" i="60" s="1"/>
  <c r="BB52" i="60"/>
  <c r="AU103" i="80"/>
  <c r="BC52" i="60" s="1"/>
  <c r="AZ26" i="60"/>
  <c r="AZ18" i="60"/>
  <c r="BP20" i="60"/>
  <c r="BP25" i="60"/>
  <c r="BA53" i="60"/>
  <c r="BA60" i="60"/>
  <c r="BA61" i="60" s="1"/>
  <c r="BR67" i="113"/>
  <c r="BR65" i="113"/>
  <c r="BR66" i="113"/>
  <c r="AY18" i="60"/>
  <c r="AY26" i="60"/>
  <c r="AR103" i="80"/>
  <c r="AZ52" i="60" s="1"/>
  <c r="AY52" i="60"/>
  <c r="BT53" i="113"/>
  <c r="BS54" i="113"/>
  <c r="BS56" i="113" s="1"/>
  <c r="BS58" i="113" s="1"/>
  <c r="BS63" i="113" s="1"/>
  <c r="BS60" i="113"/>
  <c r="BS51" i="113"/>
  <c r="BS52" i="113" s="1"/>
  <c r="AX53" i="60"/>
  <c r="AX60" i="60"/>
  <c r="AX61" i="60" s="1"/>
  <c r="BQ68" i="113"/>
  <c r="BR22" i="60"/>
  <c r="BF53" i="60"/>
  <c r="BF60" i="60"/>
  <c r="BF61" i="60" s="1"/>
  <c r="AV27" i="60"/>
  <c r="AV35" i="60"/>
  <c r="BR24" i="60"/>
  <c r="BS78" i="113"/>
  <c r="BS79" i="113" s="1"/>
  <c r="BS81" i="113"/>
  <c r="BS83" i="113" s="1"/>
  <c r="BS85" i="113" s="1"/>
  <c r="BS90" i="113" s="1"/>
  <c r="BS87" i="113"/>
  <c r="BT80" i="113"/>
  <c r="BP43" i="60"/>
  <c r="BP38" i="60"/>
  <c r="BQ38" i="60"/>
  <c r="BQ43" i="60"/>
  <c r="BR23" i="60"/>
  <c r="AU36" i="60"/>
  <c r="AU44" i="60"/>
  <c r="AU45" i="60" s="1"/>
  <c r="AV57" i="64" s="1"/>
  <c r="BE53" i="60"/>
  <c r="BE60" i="60"/>
  <c r="BE61" i="60" s="1"/>
  <c r="AX35" i="60"/>
  <c r="AX27" i="60"/>
  <c r="BP107" i="60" l="1"/>
  <c r="AT97" i="80"/>
  <c r="BA17" i="60"/>
  <c r="BQ95" i="113"/>
  <c r="BR40" i="60"/>
  <c r="BS41" i="60"/>
  <c r="BS92" i="113"/>
  <c r="BS93" i="113"/>
  <c r="BS94" i="113"/>
  <c r="AY27" i="60"/>
  <c r="AY35" i="60"/>
  <c r="AV86" i="80"/>
  <c r="AU87" i="80"/>
  <c r="AU89" i="80" s="1"/>
  <c r="BC53" i="60"/>
  <c r="BC60" i="60"/>
  <c r="BC61" i="60" s="1"/>
  <c r="AU108" i="60"/>
  <c r="AU102" i="60" s="1"/>
  <c r="AU103" i="60" s="1"/>
  <c r="AT103" i="60"/>
  <c r="AW36" i="60"/>
  <c r="AW44" i="60"/>
  <c r="AW45" i="60" s="1"/>
  <c r="AX57" i="64" s="1"/>
  <c r="BS23" i="60"/>
  <c r="BB60" i="60"/>
  <c r="BB61" i="60" s="1"/>
  <c r="BB53" i="60"/>
  <c r="BS24" i="60"/>
  <c r="BS67" i="113"/>
  <c r="BS66" i="113"/>
  <c r="BS65" i="113"/>
  <c r="BR42" i="60"/>
  <c r="AV58" i="64"/>
  <c r="AV99" i="60"/>
  <c r="BT54" i="113"/>
  <c r="BT56" i="113" s="1"/>
  <c r="BT58" i="113" s="1"/>
  <c r="BT63" i="113" s="1"/>
  <c r="BT51" i="113"/>
  <c r="BT52" i="113" s="1"/>
  <c r="BT60" i="113"/>
  <c r="BU53" i="113"/>
  <c r="BR41" i="60"/>
  <c r="BR95" i="113"/>
  <c r="BS40" i="60"/>
  <c r="BU80" i="113"/>
  <c r="BT81" i="113"/>
  <c r="BT83" i="113" s="1"/>
  <c r="BT85" i="113" s="1"/>
  <c r="BT90" i="113" s="1"/>
  <c r="BT78" i="113"/>
  <c r="BT79" i="113" s="1"/>
  <c r="BT87" i="113"/>
  <c r="AY53" i="60"/>
  <c r="AY60" i="60"/>
  <c r="AY61" i="60" s="1"/>
  <c r="AZ53" i="60"/>
  <c r="AZ60" i="60"/>
  <c r="AZ61" i="60" s="1"/>
  <c r="BS42" i="60"/>
  <c r="AZ27" i="60"/>
  <c r="AZ35" i="60"/>
  <c r="BR25" i="60"/>
  <c r="BR20" i="60"/>
  <c r="BR68" i="113"/>
  <c r="BS22" i="60"/>
  <c r="BT11" i="60"/>
  <c r="BT16" i="60"/>
  <c r="AV44" i="60"/>
  <c r="AV45" i="60" s="1"/>
  <c r="AW57" i="64" s="1"/>
  <c r="AV36" i="60"/>
  <c r="AX44" i="60"/>
  <c r="AX45" i="60" s="1"/>
  <c r="AY57" i="64" s="1"/>
  <c r="AX36" i="60"/>
  <c r="BQ107" i="60"/>
  <c r="BU26" i="113"/>
  <c r="BT24" i="113"/>
  <c r="BT25" i="113" s="1"/>
  <c r="BT33" i="113"/>
  <c r="BT27" i="113"/>
  <c r="BT29" i="113" s="1"/>
  <c r="BT31" i="113" s="1"/>
  <c r="BU13" i="60" s="1"/>
  <c r="AS103" i="60"/>
  <c r="AV108" i="60" l="1"/>
  <c r="AV102" i="60" s="1"/>
  <c r="AX108" i="60"/>
  <c r="AX102" i="60" s="1"/>
  <c r="BS20" i="60"/>
  <c r="BS25" i="60"/>
  <c r="BU78" i="113"/>
  <c r="BU79" i="113" s="1"/>
  <c r="BU81" i="113"/>
  <c r="BU83" i="113" s="1"/>
  <c r="BU85" i="113" s="1"/>
  <c r="BU90" i="113" s="1"/>
  <c r="BV80" i="113"/>
  <c r="BU87" i="113"/>
  <c r="BS68" i="113"/>
  <c r="BT22" i="60"/>
  <c r="BS95" i="113"/>
  <c r="BT40" i="60"/>
  <c r="BA18" i="60"/>
  <c r="BA26" i="60"/>
  <c r="BU16" i="60"/>
  <c r="BU11" i="60"/>
  <c r="BT23" i="60"/>
  <c r="AU97" i="80"/>
  <c r="BC17" i="60" s="1"/>
  <c r="BB17" i="60"/>
  <c r="AW58" i="64"/>
  <c r="AW99" i="60"/>
  <c r="AW101" i="60" s="1"/>
  <c r="AZ44" i="60"/>
  <c r="AZ45" i="60" s="1"/>
  <c r="BA57" i="64" s="1"/>
  <c r="AZ36" i="60"/>
  <c r="BT24" i="60"/>
  <c r="BU51" i="113"/>
  <c r="BU52" i="113" s="1"/>
  <c r="BU54" i="113"/>
  <c r="BU56" i="113" s="1"/>
  <c r="BU58" i="113" s="1"/>
  <c r="BU63" i="113" s="1"/>
  <c r="BU60" i="113"/>
  <c r="BV53" i="113"/>
  <c r="BU27" i="113"/>
  <c r="BU29" i="113" s="1"/>
  <c r="BU31" i="113" s="1"/>
  <c r="BV13" i="60" s="1"/>
  <c r="BU24" i="113"/>
  <c r="BU25" i="113" s="1"/>
  <c r="BV26" i="113"/>
  <c r="BU33" i="113"/>
  <c r="BR43" i="60"/>
  <c r="BR38" i="60"/>
  <c r="BS43" i="60"/>
  <c r="BS38" i="60"/>
  <c r="BT42" i="60"/>
  <c r="AX99" i="60"/>
  <c r="AX101" i="60" s="1"/>
  <c r="AX58" i="64"/>
  <c r="BT41" i="60"/>
  <c r="BT65" i="113"/>
  <c r="BT66" i="113"/>
  <c r="BT67" i="113"/>
  <c r="AW108" i="60"/>
  <c r="AW102" i="60" s="1"/>
  <c r="AV93" i="80"/>
  <c r="AW86" i="80"/>
  <c r="AV87" i="80"/>
  <c r="AV89" i="80" s="1"/>
  <c r="BT93" i="113"/>
  <c r="BT94" i="113"/>
  <c r="BT92" i="113"/>
  <c r="AV101" i="60"/>
  <c r="AY36" i="60"/>
  <c r="AY44" i="60"/>
  <c r="AY45" i="60" s="1"/>
  <c r="AZ57" i="64" s="1"/>
  <c r="AZ108" i="60" l="1"/>
  <c r="AZ102" i="60" s="1"/>
  <c r="BS107" i="60"/>
  <c r="AX103" i="60"/>
  <c r="AW93" i="80"/>
  <c r="AX93" i="80" s="1"/>
  <c r="AV97" i="80"/>
  <c r="BV78" i="113"/>
  <c r="BV79" i="113" s="1"/>
  <c r="BV87" i="113"/>
  <c r="BV81" i="113"/>
  <c r="BV83" i="113" s="1"/>
  <c r="BV85" i="113" s="1"/>
  <c r="BU23" i="60"/>
  <c r="BV16" i="60"/>
  <c r="BV11" i="60"/>
  <c r="BU92" i="113"/>
  <c r="BU94" i="113"/>
  <c r="BU93" i="113"/>
  <c r="BT68" i="113"/>
  <c r="BU22" i="60"/>
  <c r="BA99" i="60"/>
  <c r="BA101" i="60" s="1"/>
  <c r="BA58" i="64"/>
  <c r="BA35" i="60"/>
  <c r="BA27" i="60"/>
  <c r="AV103" i="60"/>
  <c r="AY58" i="64"/>
  <c r="AY99" i="60"/>
  <c r="AY101" i="60" s="1"/>
  <c r="AW103" i="60"/>
  <c r="BV24" i="113"/>
  <c r="BV25" i="113" s="1"/>
  <c r="BV33" i="113"/>
  <c r="BT34" i="113" s="1"/>
  <c r="BU111" i="60" s="1"/>
  <c r="BV27" i="113"/>
  <c r="BV29" i="113" s="1"/>
  <c r="BV31" i="113" s="1"/>
  <c r="BQ34" i="113" s="1"/>
  <c r="BR111" i="60" s="1"/>
  <c r="AZ58" i="64"/>
  <c r="AZ99" i="60"/>
  <c r="AZ101" i="60" s="1"/>
  <c r="BU24" i="60"/>
  <c r="BT95" i="113"/>
  <c r="BU40" i="60"/>
  <c r="BV54" i="113"/>
  <c r="BV56" i="113" s="1"/>
  <c r="BV58" i="113" s="1"/>
  <c r="BV51" i="113"/>
  <c r="BV52" i="113" s="1"/>
  <c r="BV60" i="113"/>
  <c r="BT43" i="60"/>
  <c r="BT38" i="60"/>
  <c r="BU42" i="60"/>
  <c r="BR107" i="60"/>
  <c r="BU41" i="60"/>
  <c r="BU65" i="113"/>
  <c r="BU66" i="113"/>
  <c r="BU67" i="113"/>
  <c r="BB18" i="60"/>
  <c r="BB26" i="60"/>
  <c r="BT20" i="60"/>
  <c r="BT25" i="60"/>
  <c r="AX86" i="80"/>
  <c r="AX87" i="80" s="1"/>
  <c r="AX89" i="80" s="1"/>
  <c r="AW87" i="80"/>
  <c r="AW89" i="80" s="1"/>
  <c r="AY108" i="60"/>
  <c r="AY102" i="60" s="1"/>
  <c r="BC18" i="60"/>
  <c r="BC26" i="60"/>
  <c r="BP61" i="113" l="1"/>
  <c r="BQ112" i="60" s="1"/>
  <c r="BS34" i="113"/>
  <c r="BT111" i="60" s="1"/>
  <c r="BR34" i="113"/>
  <c r="BS111" i="60" s="1"/>
  <c r="AZ103" i="60"/>
  <c r="BR61" i="113"/>
  <c r="BS112" i="60" s="1"/>
  <c r="BT61" i="113"/>
  <c r="BU112" i="60" s="1"/>
  <c r="BS61" i="113"/>
  <c r="BT112" i="60" s="1"/>
  <c r="BU68" i="113"/>
  <c r="BV22" i="60"/>
  <c r="AY103" i="60"/>
  <c r="BV88" i="113"/>
  <c r="BW114" i="60" s="1"/>
  <c r="BK88" i="113"/>
  <c r="BL114" i="60" s="1"/>
  <c r="BL88" i="113"/>
  <c r="BM114" i="60" s="1"/>
  <c r="BM88" i="113"/>
  <c r="BN114" i="60" s="1"/>
  <c r="BQ88" i="113"/>
  <c r="BR114" i="60" s="1"/>
  <c r="BN88" i="113"/>
  <c r="BO114" i="60" s="1"/>
  <c r="BO88" i="113"/>
  <c r="BP114" i="60" s="1"/>
  <c r="BT107" i="60"/>
  <c r="BU88" i="113"/>
  <c r="BV114" i="60" s="1"/>
  <c r="BB27" i="60"/>
  <c r="BB35" i="60"/>
  <c r="BV61" i="113"/>
  <c r="BW112" i="60" s="1"/>
  <c r="BK61" i="113"/>
  <c r="BL112" i="60" s="1"/>
  <c r="BL61" i="113"/>
  <c r="BM112" i="60" s="1"/>
  <c r="BN61" i="113"/>
  <c r="BO112" i="60" s="1"/>
  <c r="BM61" i="113"/>
  <c r="BN112" i="60" s="1"/>
  <c r="BO61" i="113"/>
  <c r="BP112" i="60" s="1"/>
  <c r="BA36" i="60"/>
  <c r="BA44" i="60"/>
  <c r="BA45" i="60" s="1"/>
  <c r="BB57" i="64" s="1"/>
  <c r="BU95" i="113"/>
  <c r="BV40" i="60"/>
  <c r="BR88" i="113"/>
  <c r="BS114" i="60" s="1"/>
  <c r="BS110" i="60" s="1"/>
  <c r="BK5" i="80" s="1"/>
  <c r="BQ61" i="113"/>
  <c r="BR112" i="60" s="1"/>
  <c r="BW13" i="60"/>
  <c r="BW26" i="113"/>
  <c r="BS88" i="113"/>
  <c r="BT114" i="60" s="1"/>
  <c r="BT110" i="60" s="1"/>
  <c r="BL5" i="80" s="1"/>
  <c r="BP34" i="113"/>
  <c r="BQ111" i="60" s="1"/>
  <c r="BC27" i="60"/>
  <c r="BC35" i="60"/>
  <c r="BV24" i="60"/>
  <c r="BU61" i="113"/>
  <c r="BV112" i="60" s="1"/>
  <c r="BV63" i="113"/>
  <c r="BW53" i="113"/>
  <c r="BV34" i="113"/>
  <c r="BW111" i="60" s="1"/>
  <c r="BL34" i="113"/>
  <c r="BM111" i="60" s="1"/>
  <c r="BK34" i="113"/>
  <c r="BL111" i="60" s="1"/>
  <c r="BN34" i="113"/>
  <c r="BO111" i="60" s="1"/>
  <c r="BO34" i="113"/>
  <c r="BP111" i="60" s="1"/>
  <c r="BM34" i="113"/>
  <c r="BN111" i="60" s="1"/>
  <c r="BU34" i="113"/>
  <c r="BV111" i="60" s="1"/>
  <c r="BU20" i="60"/>
  <c r="BU25" i="60"/>
  <c r="BV41" i="60"/>
  <c r="BV42" i="60"/>
  <c r="BV23" i="60"/>
  <c r="BU38" i="60"/>
  <c r="BU43" i="60"/>
  <c r="BT88" i="113"/>
  <c r="BU114" i="60" s="1"/>
  <c r="BU110" i="60" s="1"/>
  <c r="BM5" i="80" s="1"/>
  <c r="BD17" i="60"/>
  <c r="AW97" i="80"/>
  <c r="BP88" i="113"/>
  <c r="BQ114" i="60" s="1"/>
  <c r="BV90" i="113"/>
  <c r="BW80" i="113"/>
  <c r="BN110" i="60" l="1"/>
  <c r="BF5" i="80" s="1"/>
  <c r="BL110" i="60"/>
  <c r="BD5" i="80" s="1"/>
  <c r="BD8" i="80" s="1"/>
  <c r="BD9" i="80" s="1"/>
  <c r="BD10" i="80" s="1"/>
  <c r="BM110" i="60"/>
  <c r="BE5" i="80" s="1"/>
  <c r="BE7" i="80" s="1"/>
  <c r="BU107" i="60"/>
  <c r="BR110" i="60"/>
  <c r="BJ5" i="80" s="1"/>
  <c r="BJ8" i="80" s="1"/>
  <c r="BJ9" i="80" s="1"/>
  <c r="BJ10" i="80" s="1"/>
  <c r="BW110" i="60"/>
  <c r="BO5" i="80" s="1"/>
  <c r="BO8" i="80" s="1"/>
  <c r="BO9" i="80" s="1"/>
  <c r="BO10" i="80" s="1"/>
  <c r="BM7" i="80"/>
  <c r="BM8" i="80"/>
  <c r="BM9" i="80" s="1"/>
  <c r="BM10" i="80" s="1"/>
  <c r="BK8" i="80"/>
  <c r="BK9" i="80" s="1"/>
  <c r="BK10" i="80" s="1"/>
  <c r="BK7" i="80"/>
  <c r="BW33" i="113"/>
  <c r="BW24" i="113"/>
  <c r="BW25" i="113" s="1"/>
  <c r="BW27" i="113"/>
  <c r="BW29" i="113" s="1"/>
  <c r="BW31" i="113" s="1"/>
  <c r="BX13" i="60" s="1"/>
  <c r="BX26" i="113"/>
  <c r="BW16" i="60"/>
  <c r="BW11" i="60"/>
  <c r="BV38" i="60"/>
  <c r="BV43" i="60"/>
  <c r="BB58" i="64"/>
  <c r="BB99" i="60"/>
  <c r="BE17" i="60"/>
  <c r="AX97" i="80"/>
  <c r="BF17" i="60" s="1"/>
  <c r="BD26" i="60"/>
  <c r="BD18" i="60"/>
  <c r="BW60" i="113"/>
  <c r="BX53" i="113"/>
  <c r="BW54" i="113"/>
  <c r="BW56" i="113" s="1"/>
  <c r="BW58" i="113" s="1"/>
  <c r="BW63" i="113" s="1"/>
  <c r="BW51" i="113"/>
  <c r="BW52" i="113" s="1"/>
  <c r="BV66" i="113"/>
  <c r="BV65" i="113"/>
  <c r="BV67" i="113"/>
  <c r="BB44" i="60"/>
  <c r="BB45" i="60" s="1"/>
  <c r="BC57" i="64" s="1"/>
  <c r="BB36" i="60"/>
  <c r="BV110" i="60"/>
  <c r="BN5" i="80" s="1"/>
  <c r="BW87" i="113"/>
  <c r="BW81" i="113"/>
  <c r="BW83" i="113" s="1"/>
  <c r="BW85" i="113" s="1"/>
  <c r="BW90" i="113" s="1"/>
  <c r="BX80" i="113"/>
  <c r="BW78" i="113"/>
  <c r="BW79" i="113" s="1"/>
  <c r="BC36" i="60"/>
  <c r="BC44" i="60"/>
  <c r="BC45" i="60" s="1"/>
  <c r="BD57" i="64" s="1"/>
  <c r="BA108" i="60"/>
  <c r="BA102" i="60" s="1"/>
  <c r="BA103" i="60" s="1"/>
  <c r="BV20" i="60"/>
  <c r="BV25" i="60"/>
  <c r="BV94" i="113"/>
  <c r="BV92" i="113"/>
  <c r="BV93" i="113"/>
  <c r="BL7" i="80"/>
  <c r="BL8" i="80"/>
  <c r="BL9" i="80" s="1"/>
  <c r="BL10" i="80" s="1"/>
  <c r="BP110" i="60"/>
  <c r="BH5" i="80" s="1"/>
  <c r="BQ110" i="60"/>
  <c r="BI5" i="80" s="1"/>
  <c r="BO110" i="60"/>
  <c r="BG5" i="80" s="1"/>
  <c r="BJ7" i="80" l="1"/>
  <c r="BO7" i="80"/>
  <c r="BV107" i="60"/>
  <c r="BC108" i="60"/>
  <c r="BC102" i="60" s="1"/>
  <c r="BE8" i="80"/>
  <c r="BE9" i="80" s="1"/>
  <c r="BE10" i="80" s="1"/>
  <c r="BE28" i="80" s="1"/>
  <c r="BD7" i="80"/>
  <c r="AZ78" i="80"/>
  <c r="BF8" i="80"/>
  <c r="BF9" i="80" s="1"/>
  <c r="BF10" i="80" s="1"/>
  <c r="BF56" i="80" s="1"/>
  <c r="BF7" i="80"/>
  <c r="BD99" i="60"/>
  <c r="BD101" i="60" s="1"/>
  <c r="BX27" i="113"/>
  <c r="BX29" i="113" s="1"/>
  <c r="BX31" i="113" s="1"/>
  <c r="BY13" i="60" s="1"/>
  <c r="BY26" i="113"/>
  <c r="BX33" i="113"/>
  <c r="BX24" i="113"/>
  <c r="BX25" i="113" s="1"/>
  <c r="BM56" i="80"/>
  <c r="BM28" i="80"/>
  <c r="BW24" i="60"/>
  <c r="BV68" i="113"/>
  <c r="BW22" i="60"/>
  <c r="BF18" i="60"/>
  <c r="BF26" i="60"/>
  <c r="BG8" i="80"/>
  <c r="BG9" i="80" s="1"/>
  <c r="BG10" i="80" s="1"/>
  <c r="BG7" i="80"/>
  <c r="BW41" i="60"/>
  <c r="BB108" i="60"/>
  <c r="BB102" i="60" s="1"/>
  <c r="BL28" i="80"/>
  <c r="BL56" i="80"/>
  <c r="BX78" i="113"/>
  <c r="BX79" i="113" s="1"/>
  <c r="BX81" i="113"/>
  <c r="BX83" i="113" s="1"/>
  <c r="BX85" i="113" s="1"/>
  <c r="BX90" i="113" s="1"/>
  <c r="BX87" i="113"/>
  <c r="BY80" i="113"/>
  <c r="BW23" i="60"/>
  <c r="BD56" i="80"/>
  <c r="BD28" i="80"/>
  <c r="BO56" i="80"/>
  <c r="BO28" i="80"/>
  <c r="BW92" i="113"/>
  <c r="BW93" i="113"/>
  <c r="BX41" i="60" s="1"/>
  <c r="BW94" i="113"/>
  <c r="BX42" i="60" s="1"/>
  <c r="BE18" i="60"/>
  <c r="BE26" i="60"/>
  <c r="BK56" i="80"/>
  <c r="BK28" i="80"/>
  <c r="BI7" i="80"/>
  <c r="BI8" i="80"/>
  <c r="BI9" i="80" s="1"/>
  <c r="BI10" i="80" s="1"/>
  <c r="BV95" i="113"/>
  <c r="BW40" i="60"/>
  <c r="BB101" i="60"/>
  <c r="AQ18" i="72"/>
  <c r="AQ22" i="72" s="1"/>
  <c r="BH7" i="80"/>
  <c r="BH8" i="80"/>
  <c r="BH9" i="80" s="1"/>
  <c r="BH10" i="80" s="1"/>
  <c r="BW42" i="60"/>
  <c r="BW67" i="113"/>
  <c r="BX24" i="60" s="1"/>
  <c r="BW65" i="113"/>
  <c r="BW66" i="113"/>
  <c r="BX23" i="60" s="1"/>
  <c r="BJ56" i="80"/>
  <c r="BJ28" i="80"/>
  <c r="BN7" i="80"/>
  <c r="BN8" i="80"/>
  <c r="BN9" i="80" s="1"/>
  <c r="BN10" i="80" s="1"/>
  <c r="BY53" i="113"/>
  <c r="BX60" i="113"/>
  <c r="BX51" i="113"/>
  <c r="BX52" i="113" s="1"/>
  <c r="BX54" i="113"/>
  <c r="BX56" i="113" s="1"/>
  <c r="BX58" i="113" s="1"/>
  <c r="BX63" i="113" s="1"/>
  <c r="BD35" i="60"/>
  <c r="BD27" i="60"/>
  <c r="BX11" i="60"/>
  <c r="BX16" i="60"/>
  <c r="BE56" i="80" l="1"/>
  <c r="BE69" i="80" s="1"/>
  <c r="AZ77" i="80"/>
  <c r="BE80" i="80" s="1"/>
  <c r="BE65" i="80" s="1"/>
  <c r="BD58" i="64"/>
  <c r="BF28" i="80"/>
  <c r="BH80" i="80"/>
  <c r="BH65" i="80" s="1"/>
  <c r="AZ80" i="80"/>
  <c r="AZ65" i="80" s="1"/>
  <c r="AZ72" i="80" s="1"/>
  <c r="AZ85" i="80" s="1"/>
  <c r="BE27" i="60"/>
  <c r="BE35" i="60"/>
  <c r="AY86" i="80"/>
  <c r="BM67" i="80"/>
  <c r="BM62" i="80"/>
  <c r="BM69" i="80"/>
  <c r="BE62" i="80"/>
  <c r="BW68" i="113"/>
  <c r="BX22" i="60"/>
  <c r="BX92" i="113"/>
  <c r="BX93" i="113"/>
  <c r="BY41" i="60" s="1"/>
  <c r="BX94" i="113"/>
  <c r="BY42" i="60" s="1"/>
  <c r="BW95" i="113"/>
  <c r="BX40" i="60"/>
  <c r="BY51" i="113"/>
  <c r="BY52" i="113" s="1"/>
  <c r="BZ53" i="113"/>
  <c r="BY54" i="113"/>
  <c r="BY56" i="113" s="1"/>
  <c r="BY58" i="113" s="1"/>
  <c r="BY63" i="113" s="1"/>
  <c r="BY60" i="113"/>
  <c r="BH56" i="80"/>
  <c r="BH28" i="80"/>
  <c r="BI56" i="80"/>
  <c r="BI28" i="80"/>
  <c r="BO69" i="80"/>
  <c r="BO67" i="80"/>
  <c r="BO62" i="80"/>
  <c r="BD67" i="80"/>
  <c r="BD69" i="80"/>
  <c r="BD62" i="80"/>
  <c r="BG56" i="80"/>
  <c r="BG28" i="80"/>
  <c r="BF69" i="80"/>
  <c r="BF62" i="80"/>
  <c r="BF67" i="80"/>
  <c r="BK62" i="80"/>
  <c r="BK69" i="80"/>
  <c r="BK67" i="80"/>
  <c r="BF27" i="60"/>
  <c r="BF35" i="60"/>
  <c r="BD44" i="60"/>
  <c r="BD45" i="60" s="1"/>
  <c r="BE57" i="64" s="1"/>
  <c r="BD36" i="60"/>
  <c r="BJ69" i="80"/>
  <c r="BJ67" i="80"/>
  <c r="BJ62" i="80"/>
  <c r="BY78" i="113"/>
  <c r="BY79" i="113" s="1"/>
  <c r="BZ80" i="113"/>
  <c r="BY81" i="113"/>
  <c r="BY83" i="113" s="1"/>
  <c r="BY85" i="113" s="1"/>
  <c r="BY90" i="113" s="1"/>
  <c r="BY87" i="113"/>
  <c r="BB103" i="60"/>
  <c r="BW20" i="60"/>
  <c r="BW25" i="60"/>
  <c r="BC99" i="60"/>
  <c r="BC58" i="64"/>
  <c r="BY27" i="113"/>
  <c r="BY29" i="113" s="1"/>
  <c r="BY31" i="113" s="1"/>
  <c r="BZ13" i="60" s="1"/>
  <c r="BY24" i="113"/>
  <c r="BY25" i="113" s="1"/>
  <c r="BY33" i="113"/>
  <c r="BZ26" i="113"/>
  <c r="BX66" i="113"/>
  <c r="BY23" i="60" s="1"/>
  <c r="BX67" i="113"/>
  <c r="BY24" i="60" s="1"/>
  <c r="BX65" i="113"/>
  <c r="BW38" i="60"/>
  <c r="BW43" i="60"/>
  <c r="BY16" i="60"/>
  <c r="BY11" i="60"/>
  <c r="BL67" i="80"/>
  <c r="BL69" i="80"/>
  <c r="BL62" i="80"/>
  <c r="BN28" i="80"/>
  <c r="BN56" i="80"/>
  <c r="BK80" i="80" l="1"/>
  <c r="BK65" i="80" s="1"/>
  <c r="BF80" i="80"/>
  <c r="BF65" i="80" s="1"/>
  <c r="BA80" i="80"/>
  <c r="BA65" i="80" s="1"/>
  <c r="BA72" i="80" s="1"/>
  <c r="BA85" i="80" s="1"/>
  <c r="AY99" i="80"/>
  <c r="AZ99" i="80" s="1"/>
  <c r="BA99" i="80" s="1"/>
  <c r="BB99" i="80" s="1"/>
  <c r="BC99" i="80" s="1"/>
  <c r="BD99" i="80" s="1"/>
  <c r="BE99" i="80" s="1"/>
  <c r="BF99" i="80" s="1"/>
  <c r="BG99" i="80" s="1"/>
  <c r="BH99" i="80" s="1"/>
  <c r="BI99" i="80" s="1"/>
  <c r="BJ99" i="80" s="1"/>
  <c r="BI80" i="80"/>
  <c r="BI65" i="80" s="1"/>
  <c r="BE67" i="80"/>
  <c r="BB80" i="80"/>
  <c r="BB65" i="80" s="1"/>
  <c r="BB72" i="80" s="1"/>
  <c r="BB85" i="80" s="1"/>
  <c r="BJ80" i="80"/>
  <c r="BJ65" i="80" s="1"/>
  <c r="BJ72" i="80" s="1"/>
  <c r="BJ85" i="80" s="1"/>
  <c r="BG80" i="80"/>
  <c r="BG65" i="80" s="1"/>
  <c r="BD80" i="80"/>
  <c r="BD65" i="80" s="1"/>
  <c r="BD72" i="80" s="1"/>
  <c r="BD85" i="80" s="1"/>
  <c r="BC80" i="80"/>
  <c r="BC65" i="80" s="1"/>
  <c r="BC72" i="80" s="1"/>
  <c r="BC85" i="80" s="1"/>
  <c r="BE72" i="80"/>
  <c r="BE85" i="80" s="1"/>
  <c r="BW107" i="60"/>
  <c r="BY65" i="113"/>
  <c r="BY66" i="113"/>
  <c r="BZ23" i="60" s="1"/>
  <c r="BY67" i="113"/>
  <c r="BZ24" i="60" s="1"/>
  <c r="BZ51" i="113"/>
  <c r="BZ52" i="113" s="1"/>
  <c r="CA53" i="113"/>
  <c r="BZ60" i="113"/>
  <c r="BZ54" i="113"/>
  <c r="BZ56" i="113" s="1"/>
  <c r="BZ58" i="113" s="1"/>
  <c r="BZ63" i="113" s="1"/>
  <c r="BN62" i="80"/>
  <c r="BN67" i="80"/>
  <c r="BN69" i="80"/>
  <c r="BX43" i="60"/>
  <c r="BX38" i="60"/>
  <c r="BI67" i="80"/>
  <c r="BI62" i="80"/>
  <c r="BI69" i="80"/>
  <c r="BD108" i="60"/>
  <c r="BD102" i="60" s="1"/>
  <c r="BF72" i="80"/>
  <c r="BF85" i="80" s="1"/>
  <c r="BX95" i="113"/>
  <c r="BY40" i="60"/>
  <c r="BZ81" i="113"/>
  <c r="BZ83" i="113" s="1"/>
  <c r="BZ85" i="113" s="1"/>
  <c r="BZ90" i="113" s="1"/>
  <c r="BZ78" i="113"/>
  <c r="BZ79" i="113" s="1"/>
  <c r="CA80" i="113"/>
  <c r="BZ87" i="113"/>
  <c r="BC101" i="60"/>
  <c r="BG67" i="80"/>
  <c r="BG62" i="80"/>
  <c r="BG69" i="80"/>
  <c r="AY87" i="80"/>
  <c r="AY89" i="80" s="1"/>
  <c r="AY93" i="80"/>
  <c r="AZ93" i="80" s="1"/>
  <c r="BA93" i="80" s="1"/>
  <c r="AZ86" i="80"/>
  <c r="BA86" i="80" s="1"/>
  <c r="BB86" i="80" s="1"/>
  <c r="BK72" i="80"/>
  <c r="BK85" i="80" s="1"/>
  <c r="AY84" i="80"/>
  <c r="AY92" i="80" s="1"/>
  <c r="BH62" i="80"/>
  <c r="BH69" i="80"/>
  <c r="BH67" i="80"/>
  <c r="BE44" i="60"/>
  <c r="BE45" i="60" s="1"/>
  <c r="BF57" i="64" s="1"/>
  <c r="BE36" i="60"/>
  <c r="BX68" i="113"/>
  <c r="BY22" i="60"/>
  <c r="BF44" i="60"/>
  <c r="BF45" i="60" s="1"/>
  <c r="BG57" i="64" s="1"/>
  <c r="BF36" i="60"/>
  <c r="BX20" i="60"/>
  <c r="BX25" i="60"/>
  <c r="BZ16" i="60"/>
  <c r="BZ11" i="60"/>
  <c r="BZ33" i="113"/>
  <c r="BZ24" i="113"/>
  <c r="BZ25" i="113" s="1"/>
  <c r="CA26" i="113"/>
  <c r="BZ27" i="113"/>
  <c r="BZ29" i="113" s="1"/>
  <c r="BZ31" i="113" s="1"/>
  <c r="CA13" i="60" s="1"/>
  <c r="BY92" i="113"/>
  <c r="BY93" i="113"/>
  <c r="BZ41" i="60" s="1"/>
  <c r="BY94" i="113"/>
  <c r="BZ42" i="60" s="1"/>
  <c r="BB87" i="80" l="1"/>
  <c r="BB89" i="80" s="1"/>
  <c r="BB84" i="80"/>
  <c r="BB92" i="80" s="1"/>
  <c r="BC92" i="80" s="1"/>
  <c r="BD92" i="80" s="1"/>
  <c r="AZ87" i="80"/>
  <c r="AZ89" i="80" s="1"/>
  <c r="BA87" i="80"/>
  <c r="BA89" i="80" s="1"/>
  <c r="BG72" i="80"/>
  <c r="BG85" i="80" s="1"/>
  <c r="BE84" i="80" s="1"/>
  <c r="BE92" i="80" s="1"/>
  <c r="BH72" i="80"/>
  <c r="BH85" i="80" s="1"/>
  <c r="BF99" i="60"/>
  <c r="BF101" i="60" s="1"/>
  <c r="BF58" i="64"/>
  <c r="CA51" i="113"/>
  <c r="CA52" i="113" s="1"/>
  <c r="CB53" i="113"/>
  <c r="CA60" i="113"/>
  <c r="CA54" i="113"/>
  <c r="CA56" i="113" s="1"/>
  <c r="CA58" i="113" s="1"/>
  <c r="CA63" i="113" s="1"/>
  <c r="BY95" i="113"/>
  <c r="BZ40" i="60"/>
  <c r="AY98" i="80"/>
  <c r="AY97" i="80"/>
  <c r="AZ92" i="80"/>
  <c r="BA92" i="80" s="1"/>
  <c r="BI72" i="80"/>
  <c r="BI85" i="80" s="1"/>
  <c r="BZ65" i="113"/>
  <c r="BZ66" i="113"/>
  <c r="CA23" i="60" s="1"/>
  <c r="BZ67" i="113"/>
  <c r="CA24" i="60" s="1"/>
  <c r="BE99" i="60"/>
  <c r="BE58" i="64"/>
  <c r="CA87" i="113"/>
  <c r="CA78" i="113"/>
  <c r="CA79" i="113" s="1"/>
  <c r="CB80" i="113"/>
  <c r="CA81" i="113"/>
  <c r="CA83" i="113" s="1"/>
  <c r="CA85" i="113" s="1"/>
  <c r="CA90" i="113" s="1"/>
  <c r="BX107" i="60"/>
  <c r="CA11" i="60"/>
  <c r="CA16" i="60"/>
  <c r="BF108" i="60"/>
  <c r="BF102" i="60" s="1"/>
  <c r="BZ93" i="113"/>
  <c r="CA41" i="60" s="1"/>
  <c r="BZ94" i="113"/>
  <c r="CA42" i="60" s="1"/>
  <c r="BZ92" i="113"/>
  <c r="BY68" i="113"/>
  <c r="BZ22" i="60"/>
  <c r="CB26" i="113"/>
  <c r="CA27" i="113"/>
  <c r="CA29" i="113" s="1"/>
  <c r="CA31" i="113" s="1"/>
  <c r="CB13" i="60" s="1"/>
  <c r="CA24" i="113"/>
  <c r="CA25" i="113" s="1"/>
  <c r="CA33" i="113"/>
  <c r="BY20" i="60"/>
  <c r="BY25" i="60"/>
  <c r="BC86" i="80"/>
  <c r="BB93" i="80"/>
  <c r="BC93" i="80" s="1"/>
  <c r="BD93" i="80" s="1"/>
  <c r="BD103" i="60"/>
  <c r="BC103" i="60"/>
  <c r="BY38" i="60"/>
  <c r="BY43" i="60"/>
  <c r="BE108" i="60"/>
  <c r="BE102" i="60" s="1"/>
  <c r="BB97" i="80" l="1"/>
  <c r="BJ17" i="60" s="1"/>
  <c r="BB98" i="80"/>
  <c r="BY107" i="60"/>
  <c r="BZ25" i="60"/>
  <c r="BZ20" i="60"/>
  <c r="BF103" i="60"/>
  <c r="BC98" i="80"/>
  <c r="BD98" i="80" s="1"/>
  <c r="BB103" i="80"/>
  <c r="BD86" i="80"/>
  <c r="BC87" i="80"/>
  <c r="BC89" i="80" s="1"/>
  <c r="BE101" i="60"/>
  <c r="BG17" i="60"/>
  <c r="AZ97" i="80"/>
  <c r="AY103" i="80"/>
  <c r="AZ98" i="80"/>
  <c r="BA98" i="80" s="1"/>
  <c r="BG99" i="60"/>
  <c r="BG101" i="60" s="1"/>
  <c r="BG58" i="64"/>
  <c r="BZ43" i="60"/>
  <c r="BZ38" i="60"/>
  <c r="BZ68" i="113"/>
  <c r="CA22" i="60"/>
  <c r="CA65" i="113"/>
  <c r="CA67" i="113"/>
  <c r="CB24" i="60" s="1"/>
  <c r="CA66" i="113"/>
  <c r="CB23" i="60" s="1"/>
  <c r="CB87" i="113"/>
  <c r="CC80" i="113"/>
  <c r="CB78" i="113"/>
  <c r="CB79" i="113" s="1"/>
  <c r="CB81" i="113"/>
  <c r="CB83" i="113" s="1"/>
  <c r="CB85" i="113" s="1"/>
  <c r="CB90" i="113" s="1"/>
  <c r="BZ95" i="113"/>
  <c r="CA40" i="60"/>
  <c r="BF92" i="80"/>
  <c r="BG92" i="80" s="1"/>
  <c r="BE98" i="80"/>
  <c r="CB16" i="60"/>
  <c r="CB11" i="60"/>
  <c r="BH84" i="80"/>
  <c r="BH92" i="80" s="1"/>
  <c r="CB27" i="113"/>
  <c r="CB29" i="113" s="1"/>
  <c r="CB31" i="113" s="1"/>
  <c r="CC13" i="60" s="1"/>
  <c r="CB33" i="113"/>
  <c r="CB24" i="113"/>
  <c r="CB25" i="113" s="1"/>
  <c r="CC26" i="113"/>
  <c r="CA92" i="113"/>
  <c r="CA93" i="113"/>
  <c r="CB41" i="60" s="1"/>
  <c r="CA94" i="113"/>
  <c r="CB42" i="60" s="1"/>
  <c r="CB54" i="113"/>
  <c r="CB56" i="113" s="1"/>
  <c r="CB58" i="113" s="1"/>
  <c r="CB63" i="113" s="1"/>
  <c r="CC53" i="113"/>
  <c r="CB60" i="113"/>
  <c r="CB51" i="113"/>
  <c r="CB52" i="113" s="1"/>
  <c r="BC97" i="80" l="1"/>
  <c r="BD97" i="80" s="1"/>
  <c r="BL17" i="60" s="1"/>
  <c r="BH98" i="80"/>
  <c r="BI92" i="80"/>
  <c r="BJ92" i="80" s="1"/>
  <c r="BE86" i="80"/>
  <c r="BD87" i="80"/>
  <c r="BD89" i="80" s="1"/>
  <c r="CB65" i="113"/>
  <c r="CB67" i="113"/>
  <c r="CC24" i="60" s="1"/>
  <c r="CB66" i="113"/>
  <c r="CC23" i="60" s="1"/>
  <c r="BC103" i="80"/>
  <c r="BJ52" i="60"/>
  <c r="BE103" i="80"/>
  <c r="BF98" i="80"/>
  <c r="BG98" i="80" s="1"/>
  <c r="CA95" i="113"/>
  <c r="CB40" i="60"/>
  <c r="CA68" i="113"/>
  <c r="CB22" i="60"/>
  <c r="BG52" i="60"/>
  <c r="AZ103" i="80"/>
  <c r="CB93" i="113"/>
  <c r="CC41" i="60" s="1"/>
  <c r="CB92" i="113"/>
  <c r="CB94" i="113"/>
  <c r="CC42" i="60" s="1"/>
  <c r="BZ107" i="60"/>
  <c r="CC51" i="113"/>
  <c r="CC52" i="113" s="1"/>
  <c r="CD53" i="113"/>
  <c r="CC54" i="113"/>
  <c r="CC56" i="113" s="1"/>
  <c r="CC58" i="113" s="1"/>
  <c r="CC63" i="113" s="1"/>
  <c r="CC60" i="113"/>
  <c r="CC81" i="113"/>
  <c r="CC83" i="113" s="1"/>
  <c r="CC85" i="113" s="1"/>
  <c r="CC90" i="113" s="1"/>
  <c r="CC87" i="113"/>
  <c r="CC78" i="113"/>
  <c r="CC79" i="113" s="1"/>
  <c r="CD80" i="113"/>
  <c r="CC27" i="113"/>
  <c r="CC29" i="113" s="1"/>
  <c r="CC31" i="113" s="1"/>
  <c r="CD13" i="60" s="1"/>
  <c r="CC24" i="113"/>
  <c r="CC25" i="113" s="1"/>
  <c r="CC33" i="113"/>
  <c r="CD26" i="113"/>
  <c r="CA38" i="60"/>
  <c r="CA43" i="60"/>
  <c r="CA25" i="60"/>
  <c r="CA20" i="60"/>
  <c r="BA97" i="80"/>
  <c r="BI17" i="60" s="1"/>
  <c r="BH17" i="60"/>
  <c r="BG18" i="60"/>
  <c r="BG26" i="60"/>
  <c r="CC16" i="60"/>
  <c r="CC11" i="60"/>
  <c r="BJ18" i="60"/>
  <c r="BJ26" i="60"/>
  <c r="BE103" i="60"/>
  <c r="BK17" i="60"/>
  <c r="BA103" i="80" l="1"/>
  <c r="BI52" i="60" s="1"/>
  <c r="BH52" i="60"/>
  <c r="BI26" i="60"/>
  <c r="BI18" i="60"/>
  <c r="BJ27" i="60"/>
  <c r="BJ35" i="60"/>
  <c r="CB43" i="60"/>
  <c r="CB38" i="60"/>
  <c r="CC67" i="113"/>
  <c r="CD24" i="60" s="1"/>
  <c r="CC66" i="113"/>
  <c r="CD23" i="60" s="1"/>
  <c r="CC65" i="113"/>
  <c r="CB68" i="113"/>
  <c r="CC22" i="60"/>
  <c r="CD54" i="113"/>
  <c r="CD56" i="113" s="1"/>
  <c r="CD58" i="113" s="1"/>
  <c r="CD63" i="113" s="1"/>
  <c r="CE53" i="113"/>
  <c r="CD51" i="113"/>
  <c r="CD52" i="113" s="1"/>
  <c r="CD60" i="113"/>
  <c r="CA107" i="60"/>
  <c r="CE26" i="113"/>
  <c r="CD27" i="113"/>
  <c r="CD29" i="113" s="1"/>
  <c r="CD31" i="113" s="1"/>
  <c r="CE13" i="60" s="1"/>
  <c r="CD33" i="113"/>
  <c r="CD24" i="113"/>
  <c r="CD25" i="113" s="1"/>
  <c r="BF103" i="80"/>
  <c r="BM52" i="60"/>
  <c r="BJ53" i="60"/>
  <c r="BJ60" i="60"/>
  <c r="BJ61" i="60" s="1"/>
  <c r="CD78" i="113"/>
  <c r="CD79" i="113" s="1"/>
  <c r="CE80" i="113"/>
  <c r="CD81" i="113"/>
  <c r="CD83" i="113" s="1"/>
  <c r="CD85" i="113" s="1"/>
  <c r="CD90" i="113" s="1"/>
  <c r="CD87" i="113"/>
  <c r="BG60" i="60"/>
  <c r="BG61" i="60" s="1"/>
  <c r="BG53" i="60"/>
  <c r="BI98" i="80"/>
  <c r="BJ98" i="80" s="1"/>
  <c r="BH103" i="80"/>
  <c r="BH26" i="60"/>
  <c r="BH18" i="60"/>
  <c r="CC94" i="113"/>
  <c r="CD42" i="60" s="1"/>
  <c r="CC92" i="113"/>
  <c r="CC93" i="113"/>
  <c r="CD41" i="60" s="1"/>
  <c r="BK26" i="60"/>
  <c r="BK18" i="60"/>
  <c r="CB95" i="113"/>
  <c r="CC40" i="60"/>
  <c r="BK52" i="60"/>
  <c r="BD103" i="80"/>
  <c r="BL52" i="60" s="1"/>
  <c r="BE93" i="80"/>
  <c r="BF86" i="80"/>
  <c r="BE87" i="80"/>
  <c r="BE89" i="80" s="1"/>
  <c r="BL18" i="60"/>
  <c r="BL26" i="60"/>
  <c r="CD16" i="60"/>
  <c r="CD11" i="60"/>
  <c r="BG27" i="60"/>
  <c r="BG35" i="60"/>
  <c r="CB25" i="60"/>
  <c r="CB20" i="60"/>
  <c r="CD92" i="113" l="1"/>
  <c r="CD94" i="113"/>
  <c r="CE42" i="60" s="1"/>
  <c r="CD93" i="113"/>
  <c r="CE41" i="60" s="1"/>
  <c r="CC95" i="113"/>
  <c r="CD40" i="60"/>
  <c r="BG86" i="80"/>
  <c r="BF87" i="80"/>
  <c r="BF89" i="80" s="1"/>
  <c r="BJ36" i="60"/>
  <c r="BJ44" i="60"/>
  <c r="BJ45" i="60" s="1"/>
  <c r="BM60" i="60"/>
  <c r="BM61" i="60" s="1"/>
  <c r="BM53" i="60"/>
  <c r="CE60" i="113"/>
  <c r="CE51" i="113"/>
  <c r="CE52" i="113" s="1"/>
  <c r="CE54" i="113"/>
  <c r="CE56" i="113" s="1"/>
  <c r="CE58" i="113" s="1"/>
  <c r="CE63" i="113" s="1"/>
  <c r="CF53" i="113"/>
  <c r="BN52" i="60"/>
  <c r="BG103" i="80"/>
  <c r="BO52" i="60" s="1"/>
  <c r="CE11" i="60"/>
  <c r="CE16" i="60"/>
  <c r="BL35" i="60"/>
  <c r="BL27" i="60"/>
  <c r="BH35" i="60"/>
  <c r="BH27" i="60"/>
  <c r="BF93" i="80"/>
  <c r="BG93" i="80" s="1"/>
  <c r="BE97" i="80"/>
  <c r="BI103" i="80"/>
  <c r="BP52" i="60"/>
  <c r="BL60" i="60"/>
  <c r="BL61" i="60" s="1"/>
  <c r="BL53" i="60"/>
  <c r="CD65" i="113"/>
  <c r="CD66" i="113"/>
  <c r="CE23" i="60" s="1"/>
  <c r="CD67" i="113"/>
  <c r="CE24" i="60" s="1"/>
  <c r="BK53" i="60"/>
  <c r="BK60" i="60"/>
  <c r="BK61" i="60" s="1"/>
  <c r="CC20" i="60"/>
  <c r="CC25" i="60"/>
  <c r="BI35" i="60"/>
  <c r="BI27" i="60"/>
  <c r="BG36" i="60"/>
  <c r="BG44" i="60"/>
  <c r="BG45" i="60" s="1"/>
  <c r="BH57" i="64" s="1"/>
  <c r="CC38" i="60"/>
  <c r="CC43" i="60"/>
  <c r="CC68" i="113"/>
  <c r="CD22" i="60"/>
  <c r="BK35" i="60"/>
  <c r="BK27" i="60"/>
  <c r="CE78" i="113"/>
  <c r="CE79" i="113" s="1"/>
  <c r="CE87" i="113"/>
  <c r="CF80" i="113"/>
  <c r="CE81" i="113"/>
  <c r="CE83" i="113" s="1"/>
  <c r="CE85" i="113" s="1"/>
  <c r="CE90" i="113" s="1"/>
  <c r="CE27" i="113"/>
  <c r="CE29" i="113" s="1"/>
  <c r="CE31" i="113" s="1"/>
  <c r="CF13" i="60" s="1"/>
  <c r="CE24" i="113"/>
  <c r="CE25" i="113" s="1"/>
  <c r="CF26" i="113"/>
  <c r="CE33" i="113"/>
  <c r="BH53" i="60"/>
  <c r="BH60" i="60"/>
  <c r="BH61" i="60" s="1"/>
  <c r="CB107" i="60"/>
  <c r="BI53" i="60"/>
  <c r="BI60" i="60"/>
  <c r="BI61" i="60" s="1"/>
  <c r="BJ108" i="60" l="1"/>
  <c r="BJ102" i="60" s="1"/>
  <c r="BK57" i="64"/>
  <c r="BK99" i="60" s="1"/>
  <c r="BK101" i="60" s="1"/>
  <c r="BG108" i="60"/>
  <c r="BG102" i="60" s="1"/>
  <c r="BG103" i="60" s="1"/>
  <c r="CC107" i="60"/>
  <c r="CD68" i="113"/>
  <c r="CE22" i="60"/>
  <c r="BH58" i="64"/>
  <c r="BH99" i="60"/>
  <c r="BL36" i="60"/>
  <c r="BL44" i="60"/>
  <c r="BL45" i="60" s="1"/>
  <c r="BM57" i="64" s="1"/>
  <c r="CF33" i="113"/>
  <c r="CF27" i="113"/>
  <c r="CF29" i="113" s="1"/>
  <c r="CF31" i="113" s="1"/>
  <c r="CG13" i="60" s="1"/>
  <c r="CF24" i="113"/>
  <c r="CF25" i="113" s="1"/>
  <c r="CG26" i="113"/>
  <c r="BP60" i="60"/>
  <c r="BP61" i="60" s="1"/>
  <c r="BP53" i="60"/>
  <c r="BI36" i="60"/>
  <c r="BI44" i="60"/>
  <c r="BI45" i="60" s="1"/>
  <c r="BJ57" i="64" s="1"/>
  <c r="BQ52" i="60"/>
  <c r="BJ103" i="80"/>
  <c r="BR52" i="60" s="1"/>
  <c r="CF16" i="60"/>
  <c r="CF11" i="60"/>
  <c r="BF97" i="80"/>
  <c r="BM17" i="60"/>
  <c r="BO60" i="60"/>
  <c r="BO61" i="60" s="1"/>
  <c r="BO53" i="60"/>
  <c r="BH86" i="80"/>
  <c r="BG87" i="80"/>
  <c r="BG89" i="80" s="1"/>
  <c r="CE94" i="113"/>
  <c r="CF42" i="60" s="1"/>
  <c r="CE92" i="113"/>
  <c r="CE93" i="113"/>
  <c r="CF41" i="60" s="1"/>
  <c r="BN60" i="60"/>
  <c r="BN61" i="60" s="1"/>
  <c r="BN53" i="60"/>
  <c r="CD43" i="60"/>
  <c r="CD38" i="60"/>
  <c r="CE65" i="113"/>
  <c r="CE66" i="113"/>
  <c r="CF23" i="60" s="1"/>
  <c r="CE67" i="113"/>
  <c r="CF24" i="60" s="1"/>
  <c r="CD95" i="113"/>
  <c r="CE40" i="60"/>
  <c r="BK44" i="60"/>
  <c r="BK45" i="60" s="1"/>
  <c r="BL57" i="64" s="1"/>
  <c r="BK36" i="60"/>
  <c r="CD20" i="60"/>
  <c r="CD25" i="60"/>
  <c r="CF87" i="113"/>
  <c r="CF78" i="113"/>
  <c r="CF79" i="113" s="1"/>
  <c r="CG80" i="113"/>
  <c r="CF81" i="113"/>
  <c r="CF83" i="113" s="1"/>
  <c r="CF85" i="113" s="1"/>
  <c r="CF90" i="113" s="1"/>
  <c r="BH44" i="60"/>
  <c r="BH45" i="60" s="1"/>
  <c r="BI57" i="64" s="1"/>
  <c r="BH36" i="60"/>
  <c r="CF60" i="113"/>
  <c r="CF54" i="113"/>
  <c r="CF56" i="113" s="1"/>
  <c r="CF58" i="113" s="1"/>
  <c r="CF63" i="113" s="1"/>
  <c r="CG53" i="113"/>
  <c r="CF51" i="113"/>
  <c r="CF52" i="113" s="1"/>
  <c r="CD107" i="60" l="1"/>
  <c r="BK58" i="64"/>
  <c r="BL108" i="60"/>
  <c r="BL102" i="60" s="1"/>
  <c r="BK108" i="60"/>
  <c r="BK102" i="60" s="1"/>
  <c r="BK103" i="60" s="1"/>
  <c r="CF92" i="113"/>
  <c r="CF93" i="113"/>
  <c r="CG41" i="60" s="1"/>
  <c r="CF94" i="113"/>
  <c r="CG42" i="60" s="1"/>
  <c r="BI86" i="80"/>
  <c r="BH93" i="80"/>
  <c r="BH87" i="80"/>
  <c r="BH89" i="80" s="1"/>
  <c r="CG87" i="113"/>
  <c r="CG81" i="113"/>
  <c r="CG83" i="113" s="1"/>
  <c r="CG85" i="113" s="1"/>
  <c r="CG90" i="113" s="1"/>
  <c r="CG78" i="113"/>
  <c r="CG79" i="113" s="1"/>
  <c r="CH80" i="113"/>
  <c r="CF66" i="113"/>
  <c r="CG23" i="60" s="1"/>
  <c r="CF67" i="113"/>
  <c r="CG24" i="60" s="1"/>
  <c r="CF65" i="113"/>
  <c r="BM18" i="60"/>
  <c r="BM26" i="60"/>
  <c r="CG33" i="113"/>
  <c r="CG27" i="113"/>
  <c r="CG29" i="113" s="1"/>
  <c r="CG31" i="113" s="1"/>
  <c r="CH13" i="60" s="1"/>
  <c r="CG24" i="113"/>
  <c r="CG25" i="113" s="1"/>
  <c r="CH26" i="113"/>
  <c r="BG97" i="80"/>
  <c r="BO17" i="60" s="1"/>
  <c r="BN17" i="60"/>
  <c r="BH101" i="60"/>
  <c r="BI99" i="60"/>
  <c r="BI101" i="60" s="1"/>
  <c r="BI58" i="64"/>
  <c r="CG16" i="60"/>
  <c r="CG11" i="60"/>
  <c r="BH108" i="60"/>
  <c r="BH102" i="60" s="1"/>
  <c r="CE38" i="60"/>
  <c r="CE43" i="60"/>
  <c r="CE95" i="113"/>
  <c r="CF40" i="60"/>
  <c r="BJ99" i="60"/>
  <c r="BJ101" i="60" s="1"/>
  <c r="BJ103" i="60" s="1"/>
  <c r="BJ58" i="64"/>
  <c r="BI108" i="60"/>
  <c r="BI102" i="60" s="1"/>
  <c r="BL58" i="64"/>
  <c r="BL99" i="60"/>
  <c r="BL101" i="60" s="1"/>
  <c r="CG60" i="113"/>
  <c r="CG54" i="113"/>
  <c r="CG56" i="113" s="1"/>
  <c r="CG58" i="113" s="1"/>
  <c r="CG63" i="113" s="1"/>
  <c r="CG51" i="113"/>
  <c r="CG52" i="113" s="1"/>
  <c r="CH53" i="113"/>
  <c r="CE68" i="113"/>
  <c r="CF22" i="60"/>
  <c r="BR53" i="60"/>
  <c r="BR60" i="60"/>
  <c r="BR61" i="60" s="1"/>
  <c r="CE25" i="60"/>
  <c r="CE20" i="60"/>
  <c r="BQ53" i="60"/>
  <c r="BQ60" i="60"/>
  <c r="BQ61" i="60" s="1"/>
  <c r="BL103" i="60" l="1"/>
  <c r="BI103" i="60"/>
  <c r="CF38" i="60"/>
  <c r="CF43" i="60"/>
  <c r="CF20" i="60"/>
  <c r="CF25" i="60"/>
  <c r="CH78" i="113"/>
  <c r="CH79" i="113" s="1"/>
  <c r="CH81" i="113"/>
  <c r="CH83" i="113" s="1"/>
  <c r="CH85" i="113" s="1"/>
  <c r="CH90" i="113" s="1"/>
  <c r="CH87" i="113"/>
  <c r="CH60" i="113"/>
  <c r="CH54" i="113"/>
  <c r="CH56" i="113" s="1"/>
  <c r="CH58" i="113" s="1"/>
  <c r="CH63" i="113" s="1"/>
  <c r="CH51" i="113"/>
  <c r="CH52" i="113" s="1"/>
  <c r="CE107" i="60"/>
  <c r="BH103" i="60"/>
  <c r="BN26" i="60"/>
  <c r="BN18" i="60"/>
  <c r="AR11" i="72" s="1"/>
  <c r="CG94" i="113"/>
  <c r="CH42" i="60" s="1"/>
  <c r="CG92" i="113"/>
  <c r="CG93" i="113"/>
  <c r="CH41" i="60" s="1"/>
  <c r="CG65" i="113"/>
  <c r="CG67" i="113"/>
  <c r="CH24" i="60" s="1"/>
  <c r="CG66" i="113"/>
  <c r="CH23" i="60" s="1"/>
  <c r="BO26" i="60"/>
  <c r="BO18" i="60"/>
  <c r="CH27" i="113"/>
  <c r="CH29" i="113" s="1"/>
  <c r="CH31" i="113" s="1"/>
  <c r="CI13" i="60" s="1"/>
  <c r="CH33" i="113"/>
  <c r="CH24" i="113"/>
  <c r="CH25" i="113" s="1"/>
  <c r="BM58" i="64"/>
  <c r="BM99" i="60"/>
  <c r="BM101" i="60" s="1"/>
  <c r="BI93" i="80"/>
  <c r="BJ93" i="80" s="1"/>
  <c r="BH97" i="80"/>
  <c r="CH16" i="60"/>
  <c r="CH11" i="60"/>
  <c r="BJ86" i="80"/>
  <c r="BJ87" i="80" s="1"/>
  <c r="BJ89" i="80" s="1"/>
  <c r="BI87" i="80"/>
  <c r="BI89" i="80" s="1"/>
  <c r="BM27" i="60"/>
  <c r="BM35" i="60"/>
  <c r="CF68" i="113"/>
  <c r="CG22" i="60"/>
  <c r="CF95" i="113"/>
  <c r="CG40" i="60"/>
  <c r="CE61" i="113" l="1"/>
  <c r="CF112" i="60" s="1"/>
  <c r="CF107" i="60"/>
  <c r="CE34" i="113"/>
  <c r="CF111" i="60" s="1"/>
  <c r="CI11" i="60"/>
  <c r="CI16" i="60"/>
  <c r="CH67" i="113"/>
  <c r="CI24" i="60" s="1"/>
  <c r="CH65" i="113"/>
  <c r="CH66" i="113"/>
  <c r="CI23" i="60" s="1"/>
  <c r="CC61" i="113"/>
  <c r="CD112" i="60" s="1"/>
  <c r="CG68" i="113"/>
  <c r="CH22" i="60"/>
  <c r="CH88" i="113"/>
  <c r="CI114" i="60" s="1"/>
  <c r="BX88" i="113"/>
  <c r="BY114" i="60" s="1"/>
  <c r="BW88" i="113"/>
  <c r="BX114" i="60" s="1"/>
  <c r="BY88" i="113"/>
  <c r="BZ114" i="60" s="1"/>
  <c r="CB88" i="113"/>
  <c r="CC114" i="60" s="1"/>
  <c r="CF88" i="113"/>
  <c r="CG114" i="60" s="1"/>
  <c r="BZ88" i="113"/>
  <c r="CA114" i="60" s="1"/>
  <c r="CD88" i="113"/>
  <c r="CE114" i="60" s="1"/>
  <c r="CG95" i="113"/>
  <c r="CH40" i="60"/>
  <c r="BP17" i="60"/>
  <c r="BI97" i="80"/>
  <c r="CE88" i="113"/>
  <c r="CF114" i="60" s="1"/>
  <c r="CC88" i="113"/>
  <c r="CD114" i="60" s="1"/>
  <c r="CH34" i="113"/>
  <c r="CI111" i="60" s="1"/>
  <c r="BW34" i="113"/>
  <c r="BX111" i="60" s="1"/>
  <c r="BY34" i="113"/>
  <c r="BZ111" i="60" s="1"/>
  <c r="BX34" i="113"/>
  <c r="BY111" i="60" s="1"/>
  <c r="CH61" i="113"/>
  <c r="CI112" i="60" s="1"/>
  <c r="BX61" i="113"/>
  <c r="BY112" i="60" s="1"/>
  <c r="BW61" i="113"/>
  <c r="BX112" i="60" s="1"/>
  <c r="BY61" i="113"/>
  <c r="BZ112" i="60" s="1"/>
  <c r="CB61" i="113"/>
  <c r="CC112" i="60" s="1"/>
  <c r="CA61" i="113"/>
  <c r="CB112" i="60" s="1"/>
  <c r="BZ61" i="113"/>
  <c r="CA112" i="60" s="1"/>
  <c r="CD61" i="113"/>
  <c r="CE112" i="60" s="1"/>
  <c r="BM36" i="60"/>
  <c r="BM44" i="60"/>
  <c r="BM45" i="60" s="1"/>
  <c r="BN57" i="64" s="1"/>
  <c r="CG61" i="113"/>
  <c r="CH112" i="60" s="1"/>
  <c r="CA34" i="113"/>
  <c r="CB111" i="60" s="1"/>
  <c r="CA88" i="113"/>
  <c r="CB114" i="60" s="1"/>
  <c r="BZ34" i="113"/>
  <c r="CA111" i="60" s="1"/>
  <c r="CG88" i="113"/>
  <c r="CH114" i="60" s="1"/>
  <c r="CG20" i="60"/>
  <c r="CG25" i="60"/>
  <c r="CH94" i="113"/>
  <c r="CI42" i="60" s="1"/>
  <c r="CH92" i="113"/>
  <c r="CH93" i="113"/>
  <c r="CI41" i="60" s="1"/>
  <c r="BN35" i="60"/>
  <c r="BN27" i="60"/>
  <c r="CC34" i="113"/>
  <c r="CD111" i="60" s="1"/>
  <c r="CB34" i="113"/>
  <c r="CC111" i="60" s="1"/>
  <c r="CF61" i="113"/>
  <c r="CG112" i="60" s="1"/>
  <c r="BO35" i="60"/>
  <c r="BO27" i="60"/>
  <c r="CG38" i="60"/>
  <c r="CG43" i="60"/>
  <c r="CG34" i="113"/>
  <c r="CH111" i="60" s="1"/>
  <c r="CD34" i="113"/>
  <c r="CE111" i="60" s="1"/>
  <c r="CF34" i="113"/>
  <c r="CG111" i="60" s="1"/>
  <c r="CH110" i="60" l="1"/>
  <c r="BZ5" i="80" s="1"/>
  <c r="CF110" i="60"/>
  <c r="BX5" i="80" s="1"/>
  <c r="CG107" i="60"/>
  <c r="BM108" i="60"/>
  <c r="BM102" i="60" s="1"/>
  <c r="BM103" i="60" s="1"/>
  <c r="BZ110" i="60"/>
  <c r="BR5" i="80" s="1"/>
  <c r="CD5" i="80" s="1"/>
  <c r="CE110" i="60"/>
  <c r="BW5" i="80" s="1"/>
  <c r="BW8" i="80" s="1"/>
  <c r="BW9" i="80" s="1"/>
  <c r="BW10" i="80" s="1"/>
  <c r="BN44" i="60"/>
  <c r="BN45" i="60" s="1"/>
  <c r="BO57" i="64" s="1"/>
  <c r="BN36" i="60"/>
  <c r="AM17" i="78"/>
  <c r="H21" i="83"/>
  <c r="H22" i="83"/>
  <c r="AN17" i="78"/>
  <c r="AO17" i="78"/>
  <c r="H23" i="83"/>
  <c r="H24" i="83"/>
  <c r="AP17" i="78"/>
  <c r="AQ17" i="78"/>
  <c r="H25" i="83"/>
  <c r="AR17" i="78"/>
  <c r="H26" i="83"/>
  <c r="BX110" i="60"/>
  <c r="BP5" i="80" s="1"/>
  <c r="BJ97" i="80"/>
  <c r="BR17" i="60" s="1"/>
  <c r="BQ17" i="60"/>
  <c r="CI110" i="60"/>
  <c r="CA5" i="80" s="1"/>
  <c r="BO36" i="60"/>
  <c r="BO44" i="60"/>
  <c r="BO45" i="60" s="1"/>
  <c r="BP26" i="60"/>
  <c r="BP18" i="60"/>
  <c r="CH25" i="60"/>
  <c r="CH20" i="60"/>
  <c r="CA110" i="60"/>
  <c r="BS5" i="80" s="1"/>
  <c r="CC110" i="60"/>
  <c r="BU5" i="80" s="1"/>
  <c r="CH38" i="60"/>
  <c r="CH43" i="60"/>
  <c r="BZ8" i="80"/>
  <c r="BZ9" i="80" s="1"/>
  <c r="BZ10" i="80" s="1"/>
  <c r="BZ7" i="80"/>
  <c r="AN11" i="72"/>
  <c r="AO11" i="72"/>
  <c r="AP11" i="72"/>
  <c r="AQ11" i="72"/>
  <c r="CH95" i="113"/>
  <c r="CI40" i="60"/>
  <c r="CG110" i="60"/>
  <c r="BY5" i="80" s="1"/>
  <c r="CD110" i="60"/>
  <c r="BV5" i="80" s="1"/>
  <c r="CB110" i="60"/>
  <c r="BT5" i="80" s="1"/>
  <c r="BY110" i="60"/>
  <c r="BQ5" i="80" s="1"/>
  <c r="CH68" i="113"/>
  <c r="CI22" i="60"/>
  <c r="BX8" i="80"/>
  <c r="BX9" i="80" s="1"/>
  <c r="BX10" i="80" s="1"/>
  <c r="BX7" i="80"/>
  <c r="BW7" i="80" l="1"/>
  <c r="BO108" i="60"/>
  <c r="BO102" i="60" s="1"/>
  <c r="BP57" i="64"/>
  <c r="BR7" i="80"/>
  <c r="CH107" i="60"/>
  <c r="BR8" i="80"/>
  <c r="BR9" i="80" s="1"/>
  <c r="BR10" i="80" s="1"/>
  <c r="BR56" i="80" s="1"/>
  <c r="BN108" i="60"/>
  <c r="BN102" i="60" s="1"/>
  <c r="AR23" i="78"/>
  <c r="CC5" i="80"/>
  <c r="BQ8" i="80"/>
  <c r="BQ9" i="80" s="1"/>
  <c r="BQ10" i="80" s="1"/>
  <c r="BQ7" i="80"/>
  <c r="BT7" i="80"/>
  <c r="BT8" i="80"/>
  <c r="BT9" i="80" s="1"/>
  <c r="BT10" i="80" s="1"/>
  <c r="BV8" i="80"/>
  <c r="BV9" i="80" s="1"/>
  <c r="BV10" i="80" s="1"/>
  <c r="BV7" i="80"/>
  <c r="BZ28" i="80"/>
  <c r="BZ56" i="80"/>
  <c r="CA7" i="80"/>
  <c r="CA8" i="80"/>
  <c r="CA9" i="80" s="1"/>
  <c r="CA10" i="80" s="1"/>
  <c r="AO23" i="78"/>
  <c r="BR18" i="60"/>
  <c r="BR26" i="60"/>
  <c r="BX56" i="80"/>
  <c r="BX28" i="80"/>
  <c r="CI43" i="60"/>
  <c r="CI38" i="60"/>
  <c r="BN99" i="60"/>
  <c r="BN101" i="60" s="1"/>
  <c r="BN58" i="64"/>
  <c r="BP8" i="80"/>
  <c r="BP9" i="80" s="1"/>
  <c r="BP10" i="80" s="1"/>
  <c r="CB5" i="80"/>
  <c r="BP7" i="80"/>
  <c r="BL78" i="80"/>
  <c r="AM23" i="78"/>
  <c r="AP23" i="78"/>
  <c r="BY7" i="80"/>
  <c r="BY8" i="80"/>
  <c r="BY9" i="80" s="1"/>
  <c r="BY10" i="80" s="1"/>
  <c r="BQ18" i="60"/>
  <c r="BQ26" i="60"/>
  <c r="AN23" i="78"/>
  <c r="CD7" i="80"/>
  <c r="CD8" i="80"/>
  <c r="CD9" i="80" s="1"/>
  <c r="CD10" i="80" s="1"/>
  <c r="BU7" i="80"/>
  <c r="BU8" i="80"/>
  <c r="BU9" i="80" s="1"/>
  <c r="BU10" i="80" s="1"/>
  <c r="BS7" i="80"/>
  <c r="BS8" i="80"/>
  <c r="BS9" i="80" s="1"/>
  <c r="BS10" i="80" s="1"/>
  <c r="CI20" i="60"/>
  <c r="CI25" i="60"/>
  <c r="BP27" i="60"/>
  <c r="BP35" i="60"/>
  <c r="AQ23" i="78"/>
  <c r="BW28" i="80"/>
  <c r="BW56" i="80"/>
  <c r="BR28" i="80" l="1"/>
  <c r="AN12" i="72"/>
  <c r="AO12" i="72"/>
  <c r="AP12" i="72"/>
  <c r="AQ12" i="72"/>
  <c r="AR12" i="72"/>
  <c r="BV28" i="80"/>
  <c r="BV56" i="80"/>
  <c r="BS28" i="80"/>
  <c r="BS56" i="80"/>
  <c r="BL77" i="80"/>
  <c r="BL80" i="80" s="1"/>
  <c r="BL65" i="80" s="1"/>
  <c r="BL72" i="80" s="1"/>
  <c r="BL85" i="80" s="1"/>
  <c r="BQ35" i="60"/>
  <c r="BQ27" i="60"/>
  <c r="CB8" i="80"/>
  <c r="CB9" i="80" s="1"/>
  <c r="CB10" i="80" s="1"/>
  <c r="CB7" i="80"/>
  <c r="BR67" i="80"/>
  <c r="BR62" i="80"/>
  <c r="BR69" i="80"/>
  <c r="BT28" i="80"/>
  <c r="BT56" i="80"/>
  <c r="BW69" i="80"/>
  <c r="BW62" i="80"/>
  <c r="BW67" i="80"/>
  <c r="BO99" i="60"/>
  <c r="BO58" i="64"/>
  <c r="BP56" i="80"/>
  <c r="BP28" i="80"/>
  <c r="BP99" i="60"/>
  <c r="BP101" i="60" s="1"/>
  <c r="BP58" i="64"/>
  <c r="BY28" i="80"/>
  <c r="BY56" i="80"/>
  <c r="BN103" i="60"/>
  <c r="BU56" i="80"/>
  <c r="BU28" i="80"/>
  <c r="AN14" i="72"/>
  <c r="AO14" i="72"/>
  <c r="CI107" i="60"/>
  <c r="AP14" i="72"/>
  <c r="AQ14" i="72"/>
  <c r="AR14" i="72"/>
  <c r="CA28" i="80"/>
  <c r="CA56" i="80"/>
  <c r="BQ56" i="80"/>
  <c r="BQ28" i="80"/>
  <c r="BP44" i="60"/>
  <c r="BP45" i="60" s="1"/>
  <c r="BQ57" i="64" s="1"/>
  <c r="BP36" i="60"/>
  <c r="AM20" i="78"/>
  <c r="AM26" i="78" s="1"/>
  <c r="K21" i="83"/>
  <c r="K22" i="83"/>
  <c r="AN20" i="78"/>
  <c r="AN26" i="78" s="1"/>
  <c r="AO20" i="78"/>
  <c r="AO26" i="78" s="1"/>
  <c r="K23" i="83"/>
  <c r="AP20" i="78"/>
  <c r="AP26" i="78" s="1"/>
  <c r="K24" i="83"/>
  <c r="K25" i="83"/>
  <c r="AQ20" i="78"/>
  <c r="AQ26" i="78" s="1"/>
  <c r="AR20" i="78"/>
  <c r="AR26" i="78" s="1"/>
  <c r="K26" i="83"/>
  <c r="CC7" i="80"/>
  <c r="CC8" i="80"/>
  <c r="CC9" i="80" s="1"/>
  <c r="CC10" i="80" s="1"/>
  <c r="BZ62" i="80"/>
  <c r="BZ67" i="80"/>
  <c r="BZ69" i="80"/>
  <c r="CD28" i="80"/>
  <c r="CD56" i="80"/>
  <c r="BX69" i="80"/>
  <c r="BX67" i="80"/>
  <c r="BX62" i="80"/>
  <c r="I21" i="83"/>
  <c r="AM18" i="78"/>
  <c r="AN18" i="78"/>
  <c r="I22" i="83"/>
  <c r="I23" i="83"/>
  <c r="AO18" i="78"/>
  <c r="AP18" i="78"/>
  <c r="I24" i="83"/>
  <c r="I25" i="83"/>
  <c r="AQ18" i="78"/>
  <c r="AR18" i="78"/>
  <c r="I26" i="83"/>
  <c r="BR35" i="60"/>
  <c r="BR27" i="60"/>
  <c r="BX78" i="80"/>
  <c r="BV80" i="80" l="1"/>
  <c r="BV65" i="80" s="1"/>
  <c r="BR44" i="60"/>
  <c r="BR45" i="60" s="1"/>
  <c r="BS57" i="64" s="1"/>
  <c r="BR36" i="60"/>
  <c r="BW80" i="80"/>
  <c r="BW65" i="80" s="1"/>
  <c r="BW72" i="80" s="1"/>
  <c r="BW85" i="80" s="1"/>
  <c r="BK99" i="80"/>
  <c r="BL99" i="80" s="1"/>
  <c r="BM99" i="80" s="1"/>
  <c r="BN99" i="80" s="1"/>
  <c r="BO99" i="80" s="1"/>
  <c r="BP99" i="80" s="1"/>
  <c r="BQ99" i="80" s="1"/>
  <c r="BR99" i="80" s="1"/>
  <c r="BS99" i="80" s="1"/>
  <c r="BT99" i="80" s="1"/>
  <c r="BU99" i="80" s="1"/>
  <c r="BV99" i="80" s="1"/>
  <c r="BW99" i="80" s="1"/>
  <c r="BX99" i="80" s="1"/>
  <c r="BY99" i="80" s="1"/>
  <c r="BZ99" i="80" s="1"/>
  <c r="CA99" i="80" s="1"/>
  <c r="CB99" i="80" s="1"/>
  <c r="CC99" i="80" s="1"/>
  <c r="BY69" i="80"/>
  <c r="BY62" i="80"/>
  <c r="BY67" i="80"/>
  <c r="BT67" i="80"/>
  <c r="BT69" i="80"/>
  <c r="BT62" i="80"/>
  <c r="BS67" i="80"/>
  <c r="BS69" i="80"/>
  <c r="BS62" i="80"/>
  <c r="AQ24" i="78"/>
  <c r="AQ21" i="78"/>
  <c r="AQ27" i="78" s="1"/>
  <c r="CD69" i="80"/>
  <c r="CD67" i="80"/>
  <c r="CD62" i="80"/>
  <c r="BQ67" i="80"/>
  <c r="BQ69" i="80"/>
  <c r="BQ62" i="80"/>
  <c r="BS80" i="80"/>
  <c r="BS65" i="80" s="1"/>
  <c r="AP24" i="78"/>
  <c r="AP21" i="78"/>
  <c r="AP27" i="78" s="1"/>
  <c r="BN80" i="80"/>
  <c r="BN65" i="80" s="1"/>
  <c r="BN72" i="80" s="1"/>
  <c r="BN85" i="80" s="1"/>
  <c r="AO24" i="78"/>
  <c r="AO21" i="78"/>
  <c r="AO27" i="78" s="1"/>
  <c r="BM80" i="80"/>
  <c r="BM65" i="80" s="1"/>
  <c r="BM72" i="80" s="1"/>
  <c r="BM85" i="80" s="1"/>
  <c r="BP62" i="80"/>
  <c r="BP69" i="80"/>
  <c r="BP67" i="80"/>
  <c r="BX77" i="80"/>
  <c r="BW86" i="80" s="1"/>
  <c r="BW93" i="80" s="1"/>
  <c r="BX93" i="80" s="1"/>
  <c r="BY93" i="80" s="1"/>
  <c r="BQ58" i="64"/>
  <c r="BQ99" i="60"/>
  <c r="BQ101" i="60" s="1"/>
  <c r="BO101" i="60"/>
  <c r="BO103" i="60" s="1"/>
  <c r="AR24" i="78"/>
  <c r="AR21" i="78"/>
  <c r="AR27" i="78" s="1"/>
  <c r="BP108" i="60"/>
  <c r="BP102" i="60" s="1"/>
  <c r="BP103" i="60" s="1"/>
  <c r="BU67" i="80"/>
  <c r="BU69" i="80"/>
  <c r="BU62" i="80"/>
  <c r="BQ80" i="80"/>
  <c r="BQ65" i="80" s="1"/>
  <c r="BV62" i="80"/>
  <c r="BV69" i="80"/>
  <c r="BV67" i="80"/>
  <c r="CA69" i="80"/>
  <c r="CA67" i="80"/>
  <c r="CA62" i="80"/>
  <c r="BR80" i="80"/>
  <c r="BR65" i="80" s="1"/>
  <c r="BR72" i="80" s="1"/>
  <c r="BR85" i="80" s="1"/>
  <c r="BP80" i="80"/>
  <c r="BP65" i="80" s="1"/>
  <c r="BO80" i="80"/>
  <c r="BO65" i="80" s="1"/>
  <c r="BO72" i="80" s="1"/>
  <c r="BO85" i="80" s="1"/>
  <c r="CB56" i="80"/>
  <c r="CB28" i="80"/>
  <c r="AN24" i="78"/>
  <c r="AN21" i="78"/>
  <c r="AN27" i="78" s="1"/>
  <c r="BK86" i="80"/>
  <c r="BQ44" i="60"/>
  <c r="BQ45" i="60" s="1"/>
  <c r="BR57" i="64" s="1"/>
  <c r="BQ36" i="60"/>
  <c r="AN15" i="72"/>
  <c r="AN23" i="72" s="1"/>
  <c r="AM24" i="78"/>
  <c r="AM21" i="78"/>
  <c r="AM27" i="78" s="1"/>
  <c r="CC56" i="80"/>
  <c r="CC28" i="80"/>
  <c r="BT80" i="80"/>
  <c r="BT65" i="80" s="1"/>
  <c r="BU80" i="80"/>
  <c r="BU65" i="80" s="1"/>
  <c r="CC80" i="80" l="1"/>
  <c r="CC65" i="80" s="1"/>
  <c r="CF80" i="80"/>
  <c r="BV72" i="80"/>
  <c r="BV85" i="80" s="1"/>
  <c r="BX86" i="80"/>
  <c r="BY86" i="80" s="1"/>
  <c r="BZ86" i="80" s="1"/>
  <c r="BQ72" i="80"/>
  <c r="BQ85" i="80" s="1"/>
  <c r="CE80" i="80"/>
  <c r="BT72" i="80"/>
  <c r="BT85" i="80" s="1"/>
  <c r="BS72" i="80"/>
  <c r="BS85" i="80" s="1"/>
  <c r="BY80" i="80"/>
  <c r="BY65" i="80" s="1"/>
  <c r="BY72" i="80" s="1"/>
  <c r="BY85" i="80" s="1"/>
  <c r="BY87" i="80" s="1"/>
  <c r="BY89" i="80" s="1"/>
  <c r="CC69" i="80"/>
  <c r="CC62" i="80"/>
  <c r="CC67" i="80"/>
  <c r="CA80" i="80"/>
  <c r="CA65" i="80" s="1"/>
  <c r="CA72" i="80" s="1"/>
  <c r="CA85" i="80" s="1"/>
  <c r="BL86" i="80"/>
  <c r="BK93" i="80"/>
  <c r="BL93" i="80" s="1"/>
  <c r="BM93" i="80" s="1"/>
  <c r="BK87" i="80"/>
  <c r="BK89" i="80" s="1"/>
  <c r="BZ93" i="80"/>
  <c r="CA93" i="80" s="1"/>
  <c r="CB93" i="80" s="1"/>
  <c r="CC93" i="80" s="1"/>
  <c r="CA86" i="80"/>
  <c r="CB86" i="80" s="1"/>
  <c r="CC86" i="80" s="1"/>
  <c r="CD86" i="80" s="1"/>
  <c r="CE86" i="80" s="1"/>
  <c r="CB69" i="80"/>
  <c r="CB62" i="80"/>
  <c r="CB67" i="80"/>
  <c r="BP72" i="80"/>
  <c r="BP85" i="80" s="1"/>
  <c r="BN84" i="80" s="1"/>
  <c r="BN92" i="80" s="1"/>
  <c r="CD80" i="80"/>
  <c r="CD65" i="80" s="1"/>
  <c r="CD72" i="80" s="1"/>
  <c r="BZ80" i="80"/>
  <c r="BZ65" i="80" s="1"/>
  <c r="BZ72" i="80" s="1"/>
  <c r="BZ85" i="80" s="1"/>
  <c r="BZ87" i="80" s="1"/>
  <c r="BZ89" i="80" s="1"/>
  <c r="BX80" i="80"/>
  <c r="BX65" i="80" s="1"/>
  <c r="BX72" i="80" s="1"/>
  <c r="BX85" i="80" s="1"/>
  <c r="BW87" i="80"/>
  <c r="BW89" i="80" s="1"/>
  <c r="CH80" i="80"/>
  <c r="BQ108" i="60"/>
  <c r="BQ102" i="60" s="1"/>
  <c r="BQ103" i="60" s="1"/>
  <c r="CI80" i="80"/>
  <c r="BR108" i="60"/>
  <c r="BR102" i="60" s="1"/>
  <c r="BU72" i="80"/>
  <c r="BU85" i="80" s="1"/>
  <c r="BK84" i="80"/>
  <c r="BK92" i="80" s="1"/>
  <c r="CG80" i="80"/>
  <c r="CB80" i="80"/>
  <c r="CB65" i="80" s="1"/>
  <c r="BX87" i="80" l="1"/>
  <c r="BX89" i="80" s="1"/>
  <c r="BT84" i="80"/>
  <c r="BT92" i="80" s="1"/>
  <c r="BT98" i="80" s="1"/>
  <c r="BQ84" i="80"/>
  <c r="BQ92" i="80" s="1"/>
  <c r="BQ98" i="80" s="1"/>
  <c r="CC72" i="80"/>
  <c r="CC85" i="80" s="1"/>
  <c r="CC84" i="80" s="1"/>
  <c r="BS58" i="64"/>
  <c r="BS99" i="60"/>
  <c r="BS101" i="60" s="1"/>
  <c r="BN98" i="80"/>
  <c r="BO92" i="80"/>
  <c r="BP92" i="80" s="1"/>
  <c r="BM86" i="80"/>
  <c r="BL87" i="80"/>
  <c r="BL89" i="80" s="1"/>
  <c r="BR58" i="64"/>
  <c r="BR99" i="60"/>
  <c r="CA87" i="80"/>
  <c r="CA89" i="80" s="1"/>
  <c r="CB72" i="80"/>
  <c r="CB85" i="80" s="1"/>
  <c r="BW84" i="80"/>
  <c r="BW92" i="80" s="1"/>
  <c r="BL92" i="80"/>
  <c r="BM92" i="80" s="1"/>
  <c r="BK98" i="80"/>
  <c r="BK97" i="80"/>
  <c r="BU92" i="80" l="1"/>
  <c r="BV92" i="80" s="1"/>
  <c r="BR92" i="80"/>
  <c r="BS92" i="80" s="1"/>
  <c r="CC87" i="80"/>
  <c r="CC89" i="80" s="1"/>
  <c r="BZ84" i="80"/>
  <c r="BZ92" i="80" s="1"/>
  <c r="CB87" i="80"/>
  <c r="CB89" i="80" s="1"/>
  <c r="BT103" i="80"/>
  <c r="BU98" i="80"/>
  <c r="BV98" i="80" s="1"/>
  <c r="BR101" i="60"/>
  <c r="BL97" i="80"/>
  <c r="BS17" i="60"/>
  <c r="BN86" i="80"/>
  <c r="BM87" i="80"/>
  <c r="BM89" i="80" s="1"/>
  <c r="BL98" i="80"/>
  <c r="BM98" i="80" s="1"/>
  <c r="BK103" i="80"/>
  <c r="BQ103" i="80"/>
  <c r="BR98" i="80"/>
  <c r="BS98" i="80" s="1"/>
  <c r="BO98" i="80"/>
  <c r="BP98" i="80" s="1"/>
  <c r="BN103" i="80"/>
  <c r="BX92" i="80"/>
  <c r="BY92" i="80" s="1"/>
  <c r="BW98" i="80"/>
  <c r="BW97" i="80"/>
  <c r="BN93" i="80" l="1"/>
  <c r="BO86" i="80"/>
  <c r="BN87" i="80"/>
  <c r="BN89" i="80" s="1"/>
  <c r="BS18" i="60"/>
  <c r="BS26" i="60"/>
  <c r="BR103" i="60"/>
  <c r="BX97" i="80"/>
  <c r="CE17" i="60"/>
  <c r="BM97" i="80"/>
  <c r="BU17" i="60" s="1"/>
  <c r="BT17" i="60"/>
  <c r="BX98" i="80"/>
  <c r="BY98" i="80" s="1"/>
  <c r="BW103" i="80"/>
  <c r="BO103" i="80"/>
  <c r="BV52" i="60"/>
  <c r="BU103" i="80"/>
  <c r="CB52" i="60"/>
  <c r="BY52" i="60"/>
  <c r="BR103" i="80"/>
  <c r="BL103" i="80"/>
  <c r="BS52" i="60"/>
  <c r="CA92" i="80"/>
  <c r="CB92" i="80" s="1"/>
  <c r="CC92" i="80" s="1"/>
  <c r="BZ98" i="80"/>
  <c r="BZ97" i="80"/>
  <c r="BZ103" i="80" l="1"/>
  <c r="CA98" i="80"/>
  <c r="CB98" i="80" s="1"/>
  <c r="CC98" i="80" s="1"/>
  <c r="BU18" i="60"/>
  <c r="BU26" i="60"/>
  <c r="CE18" i="60"/>
  <c r="CE26" i="60"/>
  <c r="CA97" i="80"/>
  <c r="CH17" i="60"/>
  <c r="BT18" i="60"/>
  <c r="BT26" i="60"/>
  <c r="BS60" i="60"/>
  <c r="BS61" i="60" s="1"/>
  <c r="BS53" i="60"/>
  <c r="BT52" i="60"/>
  <c r="BM103" i="80"/>
  <c r="BU52" i="60" s="1"/>
  <c r="CF17" i="60"/>
  <c r="BY97" i="80"/>
  <c r="CG17" i="60" s="1"/>
  <c r="BS103" i="80"/>
  <c r="CA52" i="60" s="1"/>
  <c r="BZ52" i="60"/>
  <c r="BY60" i="60"/>
  <c r="BY61" i="60" s="1"/>
  <c r="BY53" i="60"/>
  <c r="CB53" i="60"/>
  <c r="CB60" i="60"/>
  <c r="CB61" i="60" s="1"/>
  <c r="BS35" i="60"/>
  <c r="BS27" i="60"/>
  <c r="CC52" i="60"/>
  <c r="BV103" i="80"/>
  <c r="CD52" i="60" s="1"/>
  <c r="BV60" i="60"/>
  <c r="BV61" i="60" s="1"/>
  <c r="BV53" i="60"/>
  <c r="BP103" i="80"/>
  <c r="BX52" i="60" s="1"/>
  <c r="BW52" i="60"/>
  <c r="BP86" i="80"/>
  <c r="BO87" i="80"/>
  <c r="BO89" i="80" s="1"/>
  <c r="BX103" i="80"/>
  <c r="CE52" i="60"/>
  <c r="BO93" i="80"/>
  <c r="BP93" i="80" s="1"/>
  <c r="BN97" i="80"/>
  <c r="BO97" i="80" l="1"/>
  <c r="BV17" i="60"/>
  <c r="BS36" i="60"/>
  <c r="BS44" i="60"/>
  <c r="BS45" i="60" s="1"/>
  <c r="BT57" i="64" s="1"/>
  <c r="BT35" i="60"/>
  <c r="BT27" i="60"/>
  <c r="CB97" i="80"/>
  <c r="CC97" i="80" s="1"/>
  <c r="CI17" i="60"/>
  <c r="BW60" i="60"/>
  <c r="BW61" i="60" s="1"/>
  <c r="BW53" i="60"/>
  <c r="BZ53" i="60"/>
  <c r="BZ60" i="60"/>
  <c r="BZ61" i="60" s="1"/>
  <c r="CE35" i="60"/>
  <c r="CE27" i="60"/>
  <c r="BX60" i="60"/>
  <c r="BX61" i="60" s="1"/>
  <c r="BX53" i="60"/>
  <c r="CA53" i="60"/>
  <c r="CA60" i="60"/>
  <c r="CA61" i="60" s="1"/>
  <c r="CG18" i="60"/>
  <c r="CG26" i="60"/>
  <c r="BU27" i="60"/>
  <c r="BU35" i="60"/>
  <c r="CE60" i="60"/>
  <c r="CE61" i="60" s="1"/>
  <c r="CE53" i="60"/>
  <c r="CF52" i="60"/>
  <c r="BY103" i="80"/>
  <c r="CG52" i="60" s="1"/>
  <c r="CH18" i="60"/>
  <c r="CH26" i="60"/>
  <c r="BQ86" i="80"/>
  <c r="BP87" i="80"/>
  <c r="BP89" i="80" s="1"/>
  <c r="CF26" i="60"/>
  <c r="CF18" i="60"/>
  <c r="CD53" i="60"/>
  <c r="CD60" i="60"/>
  <c r="CD61" i="60" s="1"/>
  <c r="BU60" i="60"/>
  <c r="BU61" i="60" s="1"/>
  <c r="BU53" i="60"/>
  <c r="CC60" i="60"/>
  <c r="CC61" i="60" s="1"/>
  <c r="CC53" i="60"/>
  <c r="BT53" i="60"/>
  <c r="BT60" i="60"/>
  <c r="BT61" i="60" s="1"/>
  <c r="CA103" i="80"/>
  <c r="CH52" i="60"/>
  <c r="BS108" i="60" l="1"/>
  <c r="BS102" i="60" s="1"/>
  <c r="BS103" i="60" s="1"/>
  <c r="BQ93" i="80"/>
  <c r="BR86" i="80"/>
  <c r="BQ87" i="80"/>
  <c r="BQ89" i="80" s="1"/>
  <c r="BU36" i="60"/>
  <c r="BU44" i="60"/>
  <c r="BU45" i="60" s="1"/>
  <c r="BV57" i="64" s="1"/>
  <c r="CH60" i="60"/>
  <c r="CH61" i="60" s="1"/>
  <c r="CH53" i="60"/>
  <c r="CI52" i="60"/>
  <c r="CB103" i="80"/>
  <c r="CC103" i="80" s="1"/>
  <c r="CG27" i="60"/>
  <c r="CG35" i="60"/>
  <c r="CI18" i="60"/>
  <c r="CI26" i="60"/>
  <c r="CF35" i="60"/>
  <c r="CF27" i="60"/>
  <c r="CH27" i="60"/>
  <c r="CH35" i="60"/>
  <c r="CG60" i="60"/>
  <c r="CG61" i="60" s="1"/>
  <c r="CG53" i="60"/>
  <c r="BT36" i="60"/>
  <c r="BT44" i="60"/>
  <c r="BT45" i="60" s="1"/>
  <c r="BU57" i="64" s="1"/>
  <c r="CF53" i="60"/>
  <c r="CF60" i="60"/>
  <c r="CF61" i="60" s="1"/>
  <c r="CE44" i="60"/>
  <c r="CE45" i="60" s="1"/>
  <c r="CF57" i="64" s="1"/>
  <c r="CE36" i="60"/>
  <c r="BV18" i="60"/>
  <c r="BV26" i="60"/>
  <c r="BT99" i="60"/>
  <c r="BT58" i="64"/>
  <c r="BW17" i="60"/>
  <c r="BP97" i="80"/>
  <c r="BX17" i="60" s="1"/>
  <c r="BT108" i="60" l="1"/>
  <c r="BT102" i="60" s="1"/>
  <c r="BU108" i="60"/>
  <c r="BU102" i="60" s="1"/>
  <c r="CF58" i="64"/>
  <c r="CF99" i="60"/>
  <c r="CF101" i="60" s="1"/>
  <c r="BS86" i="80"/>
  <c r="BR87" i="80"/>
  <c r="BR89" i="80" s="1"/>
  <c r="CI27" i="60"/>
  <c r="CI35" i="60"/>
  <c r="BU99" i="60"/>
  <c r="BU101" i="60" s="1"/>
  <c r="BU103" i="60" s="1"/>
  <c r="BU58" i="64"/>
  <c r="CE108" i="60"/>
  <c r="CE102" i="60" s="1"/>
  <c r="CI53" i="60"/>
  <c r="CI60" i="60"/>
  <c r="CI61" i="60" s="1"/>
  <c r="CF44" i="60"/>
  <c r="CF45" i="60" s="1"/>
  <c r="CG57" i="64" s="1"/>
  <c r="CF36" i="60"/>
  <c r="BR93" i="80"/>
  <c r="BS93" i="80" s="1"/>
  <c r="BQ97" i="80"/>
  <c r="CG36" i="60"/>
  <c r="CG44" i="60"/>
  <c r="CG45" i="60" s="1"/>
  <c r="CH57" i="64" s="1"/>
  <c r="CH36" i="60"/>
  <c r="CH44" i="60"/>
  <c r="CH45" i="60" s="1"/>
  <c r="CI57" i="64" s="1"/>
  <c r="BX26" i="60"/>
  <c r="BX18" i="60"/>
  <c r="BW26" i="60"/>
  <c r="BW18" i="60"/>
  <c r="BT101" i="60"/>
  <c r="BV35" i="60"/>
  <c r="BV27" i="60"/>
  <c r="BV58" i="64"/>
  <c r="BV99" i="60"/>
  <c r="BV101" i="60" s="1"/>
  <c r="CG99" i="60" l="1"/>
  <c r="CG101" i="60" s="1"/>
  <c r="CG58" i="64"/>
  <c r="BX35" i="60"/>
  <c r="BX27" i="60"/>
  <c r="CI44" i="60"/>
  <c r="CI45" i="60" s="1"/>
  <c r="CI36" i="60"/>
  <c r="BV36" i="60"/>
  <c r="BV44" i="60"/>
  <c r="BV45" i="60" s="1"/>
  <c r="CG108" i="60"/>
  <c r="CG102" i="60" s="1"/>
  <c r="BW27" i="60"/>
  <c r="BW35" i="60"/>
  <c r="CI99" i="60"/>
  <c r="CI58" i="64"/>
  <c r="CH99" i="60"/>
  <c r="CH101" i="60" s="1"/>
  <c r="CH58" i="64"/>
  <c r="BT103" i="60"/>
  <c r="BR97" i="80"/>
  <c r="BY17" i="60"/>
  <c r="BT86" i="80"/>
  <c r="BS87" i="80"/>
  <c r="BS89" i="80" s="1"/>
  <c r="CF108" i="60"/>
  <c r="CF102" i="60" s="1"/>
  <c r="CF103" i="60" s="1"/>
  <c r="CH108" i="60"/>
  <c r="CH102" i="60" s="1"/>
  <c r="BV108" i="60" l="1"/>
  <c r="BV102" i="60" s="1"/>
  <c r="BV103" i="60" s="1"/>
  <c r="BW57" i="64"/>
  <c r="CH103" i="60"/>
  <c r="BT93" i="80"/>
  <c r="BU86" i="80"/>
  <c r="BT87" i="80"/>
  <c r="BT89" i="80" s="1"/>
  <c r="AP18" i="72"/>
  <c r="AP22" i="72" s="1"/>
  <c r="AR18" i="72"/>
  <c r="AR22" i="72" s="1"/>
  <c r="CI101" i="60"/>
  <c r="BX44" i="60"/>
  <c r="BX45" i="60" s="1"/>
  <c r="BY57" i="64" s="1"/>
  <c r="BX36" i="60"/>
  <c r="BY26" i="60"/>
  <c r="BY18" i="60"/>
  <c r="BS97" i="80"/>
  <c r="CA17" i="60" s="1"/>
  <c r="BZ17" i="60"/>
  <c r="AO13" i="72"/>
  <c r="AO15" i="72" s="1"/>
  <c r="AO23" i="72" s="1"/>
  <c r="AP13" i="72"/>
  <c r="AP15" i="72" s="1"/>
  <c r="AQ13" i="72"/>
  <c r="AR13" i="72"/>
  <c r="BW36" i="60"/>
  <c r="BW44" i="60"/>
  <c r="BW45" i="60" s="1"/>
  <c r="BX57" i="64" s="1"/>
  <c r="CI108" i="60"/>
  <c r="CI102" i="60" s="1"/>
  <c r="CG103" i="60"/>
  <c r="AR15" i="72" l="1"/>
  <c r="AQ15" i="72"/>
  <c r="BW108" i="60"/>
  <c r="BW102" i="60" s="1"/>
  <c r="AP23" i="72"/>
  <c r="BY27" i="60"/>
  <c r="BY35" i="60"/>
  <c r="BX99" i="60"/>
  <c r="BX101" i="60" s="1"/>
  <c r="BX58" i="64"/>
  <c r="AN25" i="72"/>
  <c r="AN28" i="72" s="1"/>
  <c r="AO25" i="72"/>
  <c r="AO28" i="72" s="1"/>
  <c r="AP25" i="72"/>
  <c r="AQ25" i="72"/>
  <c r="AR25" i="72"/>
  <c r="BX108" i="60"/>
  <c r="BX102" i="60" s="1"/>
  <c r="CI103" i="60"/>
  <c r="AR23" i="72"/>
  <c r="BW58" i="64"/>
  <c r="BW99" i="60"/>
  <c r="BZ26" i="60"/>
  <c r="BZ18" i="60"/>
  <c r="AS11" i="72" s="1"/>
  <c r="CA26" i="60"/>
  <c r="CA18" i="60"/>
  <c r="BV86" i="80"/>
  <c r="BV87" i="80" s="1"/>
  <c r="BV89" i="80" s="1"/>
  <c r="BU87" i="80"/>
  <c r="BU89" i="80" s="1"/>
  <c r="BU93" i="80"/>
  <c r="BV93" i="80" s="1"/>
  <c r="BT97" i="80"/>
  <c r="AQ23" i="72" l="1"/>
  <c r="AR28" i="72"/>
  <c r="AP28" i="72"/>
  <c r="BZ27" i="60"/>
  <c r="BZ35" i="60"/>
  <c r="BW101" i="60"/>
  <c r="CA27" i="60"/>
  <c r="CA35" i="60"/>
  <c r="CB17" i="60"/>
  <c r="BU97" i="80"/>
  <c r="BX103" i="60"/>
  <c r="BY58" i="64"/>
  <c r="BY99" i="60"/>
  <c r="BY101" i="60" s="1"/>
  <c r="BY44" i="60"/>
  <c r="BY45" i="60" s="1"/>
  <c r="BZ57" i="64" s="1"/>
  <c r="BY36" i="60"/>
  <c r="AQ28" i="72" l="1"/>
  <c r="BW103" i="60"/>
  <c r="BZ58" i="64"/>
  <c r="BZ99" i="60"/>
  <c r="BZ101" i="60" s="1"/>
  <c r="BZ44" i="60"/>
  <c r="BZ45" i="60" s="1"/>
  <c r="CA57" i="64" s="1"/>
  <c r="BZ36" i="60"/>
  <c r="AS13" i="72" s="1"/>
  <c r="BY108" i="60"/>
  <c r="BY102" i="60" s="1"/>
  <c r="BY103" i="60" s="1"/>
  <c r="AS14" i="72"/>
  <c r="CC17" i="60"/>
  <c r="BV97" i="80"/>
  <c r="CD17" i="60" s="1"/>
  <c r="CB18" i="60"/>
  <c r="CB26" i="60"/>
  <c r="CA44" i="60"/>
  <c r="CA45" i="60" s="1"/>
  <c r="CB57" i="64" s="1"/>
  <c r="CA36" i="60"/>
  <c r="CD18" i="60" l="1"/>
  <c r="CD26" i="60"/>
  <c r="CC26" i="60"/>
  <c r="CC18" i="60"/>
  <c r="BZ108" i="60"/>
  <c r="BZ102" i="60" s="1"/>
  <c r="AS25" i="72" s="1"/>
  <c r="CB58" i="64"/>
  <c r="CB99" i="60"/>
  <c r="CB101" i="60" s="1"/>
  <c r="BZ103" i="60"/>
  <c r="CA108" i="60"/>
  <c r="CA102" i="60" s="1"/>
  <c r="CB35" i="60"/>
  <c r="CB27" i="60"/>
  <c r="CA99" i="60" l="1"/>
  <c r="CA101" i="60" s="1"/>
  <c r="CA58" i="64"/>
  <c r="CC35" i="60"/>
  <c r="CC27" i="60"/>
  <c r="CD27" i="60"/>
  <c r="CD35" i="60"/>
  <c r="CB36" i="60"/>
  <c r="CB44" i="60"/>
  <c r="CB45" i="60" s="1"/>
  <c r="CB108" i="60" s="1"/>
  <c r="CB102" i="60" s="1"/>
  <c r="CB103" i="60" s="1"/>
  <c r="CC57" i="64" l="1"/>
  <c r="CD44" i="60"/>
  <c r="CD45" i="60" s="1"/>
  <c r="CE57" i="64" s="1"/>
  <c r="CD36" i="60"/>
  <c r="AS12" i="72"/>
  <c r="CC36" i="60"/>
  <c r="CC44" i="60"/>
  <c r="CC45" i="60" s="1"/>
  <c r="CD57" i="64" s="1"/>
  <c r="CA103" i="60"/>
  <c r="AS15" i="72" l="1"/>
  <c r="CC108" i="60"/>
  <c r="CC102" i="60" s="1"/>
  <c r="CD108" i="60"/>
  <c r="CD102" i="60" s="1"/>
  <c r="CC58" i="64"/>
  <c r="CC99" i="60"/>
  <c r="CC101" i="60" s="1"/>
  <c r="CE99" i="60"/>
  <c r="CE58" i="64"/>
  <c r="CE101" i="60" l="1"/>
  <c r="CE103" i="60" s="1"/>
  <c r="AS18" i="72"/>
  <c r="AS22" i="72" s="1"/>
  <c r="AS23" i="72" s="1"/>
  <c r="CC103" i="60"/>
  <c r="CD58" i="64"/>
  <c r="CD99" i="60"/>
  <c r="CD101" i="60" s="1"/>
  <c r="CD103" i="60" s="1"/>
  <c r="AS28" i="72" l="1"/>
  <c r="H31" i="44" l="1"/>
  <c r="J31" i="44" l="1"/>
  <c r="Z31" i="44" s="1"/>
  <c r="AA31" i="44" s="1"/>
  <c r="O60" i="44"/>
  <c r="H32" i="44"/>
  <c r="J32" i="44" s="1"/>
  <c r="AH33" i="44" s="1"/>
  <c r="H34" i="44"/>
  <c r="C50" i="115" l="1"/>
  <c r="F133" i="44" s="1"/>
  <c r="F109" i="44" s="1"/>
  <c r="AH32" i="44"/>
  <c r="E31" i="108"/>
  <c r="J31" i="108" s="1"/>
  <c r="K31" i="108" s="1"/>
  <c r="L31" i="108" s="1"/>
  <c r="O21" i="91"/>
  <c r="P21" i="91" s="1"/>
  <c r="AH6" i="44"/>
  <c r="C31" i="44"/>
  <c r="C51" i="115"/>
  <c r="F134" i="44" s="1"/>
  <c r="H134" i="44" s="1"/>
  <c r="I134" i="44" s="1"/>
  <c r="J134" i="44" s="1"/>
  <c r="E32" i="108"/>
  <c r="J32" i="108" s="1"/>
  <c r="K32" i="108" s="1"/>
  <c r="L32" i="108" s="1"/>
  <c r="Z32" i="44"/>
  <c r="AA32" i="44" s="1"/>
  <c r="H35" i="44"/>
  <c r="J35" i="44" s="1"/>
  <c r="J34" i="44"/>
  <c r="C32" i="44"/>
  <c r="O22" i="91"/>
  <c r="P22" i="91" s="1"/>
  <c r="AH7" i="44"/>
  <c r="P50" i="115" l="1"/>
  <c r="D48" i="115"/>
  <c r="M48" i="115"/>
  <c r="H48" i="115"/>
  <c r="K48" i="115"/>
  <c r="J48" i="115"/>
  <c r="O48" i="115"/>
  <c r="I48" i="115"/>
  <c r="F48" i="115"/>
  <c r="L48" i="115"/>
  <c r="E48" i="115"/>
  <c r="P51" i="115"/>
  <c r="P52" i="115" s="1"/>
  <c r="N48" i="115"/>
  <c r="C59" i="115"/>
  <c r="P59" i="115" s="1"/>
  <c r="Q59" i="115" s="1"/>
  <c r="AP51" i="44" s="1"/>
  <c r="C58" i="115"/>
  <c r="G48" i="115"/>
  <c r="Z34" i="44"/>
  <c r="AA34" i="44" s="1"/>
  <c r="E34" i="108"/>
  <c r="K34" i="108" s="1"/>
  <c r="L34" i="108" s="1"/>
  <c r="O36" i="91"/>
  <c r="P36" i="91" s="1"/>
  <c r="C85" i="115"/>
  <c r="F136" i="44" s="1"/>
  <c r="F110" i="44" s="1"/>
  <c r="O37" i="91"/>
  <c r="P37" i="91" s="1"/>
  <c r="E35" i="108"/>
  <c r="K35" i="108" s="1"/>
  <c r="L35" i="108" s="1"/>
  <c r="Z35" i="44"/>
  <c r="AA35" i="44" s="1"/>
  <c r="C86" i="115"/>
  <c r="F137" i="44" s="1"/>
  <c r="Q50" i="115"/>
  <c r="AO42" i="44"/>
  <c r="H133" i="44"/>
  <c r="I133" i="44" s="1"/>
  <c r="J133" i="44" s="1"/>
  <c r="G109" i="44"/>
  <c r="H109" i="44" s="1"/>
  <c r="F56" i="115" l="1"/>
  <c r="G56" i="115"/>
  <c r="L56" i="115"/>
  <c r="K56" i="115"/>
  <c r="N56" i="115"/>
  <c r="P48" i="115"/>
  <c r="AO40" i="44" s="1"/>
  <c r="I56" i="115"/>
  <c r="Q51" i="115"/>
  <c r="AP43" i="44" s="1"/>
  <c r="AO51" i="44"/>
  <c r="AO43" i="44"/>
  <c r="P58" i="115"/>
  <c r="P60" i="115" s="1"/>
  <c r="O56" i="115"/>
  <c r="H56" i="115"/>
  <c r="D56" i="115"/>
  <c r="M56" i="115"/>
  <c r="J56" i="115"/>
  <c r="E56" i="115"/>
  <c r="P40" i="91"/>
  <c r="P44" i="91" s="1"/>
  <c r="P86" i="115"/>
  <c r="H137" i="44"/>
  <c r="I137" i="44" s="1"/>
  <c r="J137" i="44" s="1"/>
  <c r="P85" i="115"/>
  <c r="J80" i="115"/>
  <c r="L80" i="115"/>
  <c r="L108" i="115" s="1"/>
  <c r="L102" i="115" s="1"/>
  <c r="L104" i="115" s="1"/>
  <c r="N80" i="115"/>
  <c r="N108" i="115" s="1"/>
  <c r="N102" i="115" s="1"/>
  <c r="N104" i="115" s="1"/>
  <c r="H80" i="115"/>
  <c r="I80" i="115"/>
  <c r="F80" i="115"/>
  <c r="F108" i="115" s="1"/>
  <c r="F102" i="115" s="1"/>
  <c r="F104" i="115" s="1"/>
  <c r="K80" i="115"/>
  <c r="D80" i="115"/>
  <c r="O80" i="115"/>
  <c r="M80" i="115"/>
  <c r="E80" i="115"/>
  <c r="G80" i="115"/>
  <c r="G108" i="115" s="1"/>
  <c r="G102" i="115" s="1"/>
  <c r="G104" i="115" s="1"/>
  <c r="I69" i="44"/>
  <c r="AO44" i="44"/>
  <c r="T52" i="115"/>
  <c r="AP42" i="44"/>
  <c r="I108" i="115" l="1"/>
  <c r="I102" i="115" s="1"/>
  <c r="I104" i="115" s="1"/>
  <c r="Q58" i="115"/>
  <c r="J47" i="44" s="1"/>
  <c r="M47" i="44" s="1"/>
  <c r="AO50" i="44"/>
  <c r="H108" i="115"/>
  <c r="H102" i="115" s="1"/>
  <c r="H104" i="115" s="1"/>
  <c r="D108" i="115"/>
  <c r="D102" i="115" s="1"/>
  <c r="D104" i="115" s="1"/>
  <c r="Q52" i="115"/>
  <c r="AP44" i="44" s="1"/>
  <c r="K108" i="115"/>
  <c r="K102" i="115" s="1"/>
  <c r="K104" i="115" s="1"/>
  <c r="P56" i="115"/>
  <c r="AO48" i="44" s="1"/>
  <c r="J108" i="115"/>
  <c r="J102" i="115" s="1"/>
  <c r="J104" i="115" s="1"/>
  <c r="E108" i="115"/>
  <c r="E102" i="115" s="1"/>
  <c r="E104" i="115" s="1"/>
  <c r="M108" i="115"/>
  <c r="M102" i="115" s="1"/>
  <c r="M104" i="115" s="1"/>
  <c r="O108" i="115"/>
  <c r="O102" i="115" s="1"/>
  <c r="O104" i="115" s="1"/>
  <c r="P48" i="91"/>
  <c r="Q50" i="91" s="1"/>
  <c r="Q51" i="91" s="1"/>
  <c r="Q86" i="115"/>
  <c r="AO78" i="44"/>
  <c r="AO77" i="44"/>
  <c r="Q85" i="115"/>
  <c r="P87" i="115"/>
  <c r="T87" i="115"/>
  <c r="G110" i="44"/>
  <c r="H110" i="44" s="1"/>
  <c r="H136" i="44"/>
  <c r="I136" i="44" s="1"/>
  <c r="J136" i="44" s="1"/>
  <c r="P80" i="115"/>
  <c r="I70" i="44"/>
  <c r="I83" i="44" s="1"/>
  <c r="T60" i="115"/>
  <c r="I72" i="44"/>
  <c r="I73" i="44" s="1"/>
  <c r="AO52" i="44"/>
  <c r="D69" i="44" l="1"/>
  <c r="AP50" i="44"/>
  <c r="Q60" i="115"/>
  <c r="AP52" i="44" s="1"/>
  <c r="K47" i="44"/>
  <c r="P104" i="115"/>
  <c r="AO96" i="44" s="1"/>
  <c r="P102" i="115"/>
  <c r="AO94" i="44" s="1"/>
  <c r="AO72" i="44"/>
  <c r="P108" i="115"/>
  <c r="AO79" i="44"/>
  <c r="I75" i="44"/>
  <c r="I78" i="44" s="1"/>
  <c r="P107" i="115"/>
  <c r="AP77" i="44"/>
  <c r="R85" i="115"/>
  <c r="Q87" i="115"/>
  <c r="J48" i="44"/>
  <c r="AP78" i="44"/>
  <c r="R86" i="115"/>
  <c r="Q47" i="44"/>
  <c r="R47" i="44" s="1"/>
  <c r="O47" i="44"/>
  <c r="N47" i="44"/>
  <c r="D70" i="44"/>
  <c r="D83" i="44" s="1"/>
  <c r="E69" i="44"/>
  <c r="D72" i="44" l="1"/>
  <c r="J109" i="44" s="1"/>
  <c r="K109" i="44"/>
  <c r="L109" i="44" s="1"/>
  <c r="AP79" i="44"/>
  <c r="J110" i="44"/>
  <c r="K110" i="44" s="1"/>
  <c r="L110" i="44" s="1"/>
  <c r="AS118" i="44"/>
  <c r="AT118" i="44" s="1"/>
  <c r="AU118" i="44" s="1"/>
  <c r="R102" i="115"/>
  <c r="I82" i="44"/>
  <c r="J50" i="44"/>
  <c r="M48" i="44"/>
  <c r="J54" i="44"/>
  <c r="K48" i="44"/>
  <c r="D73" i="44"/>
  <c r="E72" i="44"/>
  <c r="F69" i="44"/>
  <c r="H69" i="44"/>
  <c r="E70" i="44"/>
  <c r="E83" i="44"/>
  <c r="L83" i="44"/>
  <c r="W47" i="44"/>
  <c r="AB51" i="44"/>
  <c r="AH44" i="44" s="1"/>
  <c r="AH43" i="44"/>
  <c r="AT120" i="44" l="1"/>
  <c r="J113" i="44"/>
  <c r="K113" i="44" s="1"/>
  <c r="L113" i="44" s="1"/>
  <c r="AS120" i="44"/>
  <c r="N48" i="44"/>
  <c r="D75" i="44"/>
  <c r="E75" i="44" s="1"/>
  <c r="M50" i="44"/>
  <c r="O48" i="44"/>
  <c r="Q48" i="44"/>
  <c r="R48" i="44" s="1"/>
  <c r="K50" i="44"/>
  <c r="J51" i="44"/>
  <c r="F83" i="44"/>
  <c r="H83" i="44"/>
  <c r="K83" i="44" s="1"/>
  <c r="H70" i="44"/>
  <c r="F70" i="44"/>
  <c r="F72" i="44"/>
  <c r="H72" i="44"/>
  <c r="E73" i="44"/>
  <c r="D78" i="44" l="1"/>
  <c r="E78" i="44" s="1"/>
  <c r="F78" i="44" s="1"/>
  <c r="D82" i="44"/>
  <c r="D86" i="44" s="1"/>
  <c r="X47" i="44"/>
  <c r="Y47" i="44" s="1"/>
  <c r="Z47" i="44" s="1"/>
  <c r="AA47" i="44" s="1"/>
  <c r="AB47" i="44" s="1"/>
  <c r="X49" i="44"/>
  <c r="Y49" i="44" s="1"/>
  <c r="O50" i="44"/>
  <c r="X43" i="44"/>
  <c r="Y43" i="44" s="1"/>
  <c r="Z43" i="44" s="1"/>
  <c r="AA43" i="44" s="1"/>
  <c r="AB43" i="44" s="1"/>
  <c r="M53" i="44"/>
  <c r="X44" i="44"/>
  <c r="Y44" i="44" s="1"/>
  <c r="Z44" i="44" s="1"/>
  <c r="AA44" i="44" s="1"/>
  <c r="AB44" i="44" s="1"/>
  <c r="X45" i="44"/>
  <c r="Y45" i="44" s="1"/>
  <c r="Z45" i="44" s="1"/>
  <c r="AA45" i="44" s="1"/>
  <c r="AB45" i="44" s="1"/>
  <c r="X46" i="44"/>
  <c r="Y46" i="44" s="1"/>
  <c r="Z46" i="44" s="1"/>
  <c r="AA46" i="44" s="1"/>
  <c r="AB46" i="44" s="1"/>
  <c r="X48" i="44"/>
  <c r="Y48" i="44" s="1"/>
  <c r="H75" i="44"/>
  <c r="F75" i="44"/>
  <c r="AB52" i="44"/>
  <c r="AH46" i="44" s="1"/>
  <c r="AH45" i="44"/>
  <c r="N50" i="44"/>
  <c r="W48" i="44"/>
  <c r="AB54" i="44"/>
  <c r="F73" i="44"/>
  <c r="H73" i="44"/>
  <c r="E82" i="44"/>
  <c r="E86" i="44" s="1"/>
  <c r="H78" i="44" l="1"/>
  <c r="L82" i="44"/>
  <c r="N53" i="44"/>
  <c r="O53" i="44"/>
  <c r="D55" i="44"/>
  <c r="AH47" i="44"/>
  <c r="Z48" i="44"/>
  <c r="AA48" i="44" s="1"/>
  <c r="F82" i="44"/>
  <c r="H82" i="44"/>
  <c r="K82" i="44" s="1"/>
  <c r="N57" i="44" l="1"/>
  <c r="W53" i="44"/>
  <c r="AH38" i="44" s="1"/>
  <c r="AH37" i="44"/>
  <c r="H86" i="44"/>
  <c r="F8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gsmith</author>
  </authors>
  <commentList>
    <comment ref="B69" authorId="0" shapeId="0" xr:uid="{00000000-0006-0000-0400-000001000000}">
      <text>
        <r>
          <rPr>
            <sz val="11"/>
            <color indexed="81"/>
            <rFont val="Tahoma"/>
            <family val="2"/>
          </rPr>
          <t>Includes Comb. T-4/T-3 bills</t>
        </r>
      </text>
    </comment>
    <comment ref="B70" authorId="0" shapeId="0" xr:uid="{00000000-0006-0000-0400-000002000000}">
      <text>
        <r>
          <rPr>
            <sz val="11"/>
            <color indexed="81"/>
            <rFont val="Tahoma"/>
            <family val="2"/>
          </rPr>
          <t>Includes Comb. T-4/T-3 bills</t>
        </r>
      </text>
    </comment>
    <comment ref="B71" authorId="0" shapeId="0" xr:uid="{00000000-0006-0000-0400-000003000000}">
      <text>
        <r>
          <rPr>
            <sz val="11"/>
            <color indexed="81"/>
            <rFont val="Tahoma"/>
            <family val="2"/>
          </rPr>
          <t>Includes Comb. T-4/T-3 bills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ldcotten</author>
  </authors>
  <commentList>
    <comment ref="S168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ldcotten:</t>
        </r>
        <r>
          <rPr>
            <sz val="8"/>
            <color indexed="81"/>
            <rFont val="Tahoma"/>
            <family val="2"/>
          </rPr>
          <t xml:space="preserve">
108 cust @$105
24 cust @$245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ldcotten</author>
  </authors>
  <commentList>
    <comment ref="S126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ldcotten:</t>
        </r>
        <r>
          <rPr>
            <sz val="8"/>
            <color indexed="81"/>
            <rFont val="Tahoma"/>
            <family val="2"/>
          </rPr>
          <t xml:space="preserve">
1269 cust @ $105
12 cust @$210
1 cust @$220
36 cust @$245</t>
        </r>
      </text>
    </comment>
    <comment ref="B131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>ldcotten:</t>
        </r>
        <r>
          <rPr>
            <sz val="8"/>
            <color indexed="81"/>
            <rFont val="Tahoma"/>
            <family val="2"/>
          </rPr>
          <t xml:space="preserve">
Includes HLF Firm
</t>
        </r>
      </text>
    </comment>
    <comment ref="B142" authorId="0" shapeId="0" xr:uid="{00000000-0006-0000-1000-000003000000}">
      <text>
        <r>
          <rPr>
            <b/>
            <sz val="8"/>
            <color indexed="81"/>
            <rFont val="Tahoma"/>
            <family val="2"/>
          </rPr>
          <t>ldcotten:</t>
        </r>
        <r>
          <rPr>
            <sz val="8"/>
            <color indexed="81"/>
            <rFont val="Tahoma"/>
            <family val="2"/>
          </rPr>
          <t xml:space="preserve">
Includes HLF Interr
</t>
        </r>
      </text>
    </comment>
    <comment ref="S158" authorId="0" shapeId="0" xr:uid="{00000000-0006-0000-1000-000004000000}">
      <text>
        <r>
          <rPr>
            <b/>
            <sz val="8"/>
            <color indexed="81"/>
            <rFont val="Tahoma"/>
            <family val="2"/>
          </rPr>
          <t>ldcotten:</t>
        </r>
        <r>
          <rPr>
            <sz val="8"/>
            <color indexed="81"/>
            <rFont val="Tahoma"/>
            <family val="2"/>
          </rPr>
          <t xml:space="preserve">
108 cust @$105
24 cust @$245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 Troup</author>
  </authors>
  <commentList>
    <comment ref="I126" authorId="0" shapeId="0" xr:uid="{6B1CFD2C-C9BC-462F-A95C-F611978A1299}">
      <text>
        <r>
          <rPr>
            <sz val="9"/>
            <color indexed="81"/>
            <rFont val="Tahoma"/>
            <family val="2"/>
          </rPr>
          <t>Manual inputs for Aug to Oct 2024</t>
        </r>
      </text>
    </comment>
    <comment ref="I127" authorId="0" shapeId="0" xr:uid="{99134754-A47B-4CB6-A42B-7CB413CBE11C}">
      <text>
        <r>
          <rPr>
            <sz val="9"/>
            <color indexed="81"/>
            <rFont val="Tahoma"/>
            <family val="2"/>
          </rPr>
          <t>Manual inputs for Aug to Oct 2024</t>
        </r>
      </text>
    </comment>
    <comment ref="I128" authorId="0" shapeId="0" xr:uid="{4C0C49F6-C5E2-4812-B90D-64156C7F8ACB}">
      <text>
        <r>
          <rPr>
            <sz val="9"/>
            <color indexed="81"/>
            <rFont val="Tahoma"/>
            <family val="2"/>
          </rPr>
          <t>Manual inputs for Aug to Oct 2024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<sst xmlns="http://schemas.openxmlformats.org/spreadsheetml/2006/main" count="2599" uniqueCount="755">
  <si>
    <t>EFM Charges</t>
  </si>
  <si>
    <t>Trans Admin Fee</t>
  </si>
  <si>
    <t>Parking Fee</t>
  </si>
  <si>
    <t>COMP</t>
  </si>
  <si>
    <t>Month</t>
  </si>
  <si>
    <t>Rate</t>
  </si>
  <si>
    <t>G-1</t>
  </si>
  <si>
    <t>Actual</t>
  </si>
  <si>
    <t>WESTERN KENTUCKY GAS COMPANY</t>
  </si>
  <si>
    <t xml:space="preserve">Page 18 of 19 </t>
  </si>
  <si>
    <t>BILL FREQUENCY ANALYSIS</t>
  </si>
  <si>
    <t>Line</t>
  </si>
  <si>
    <t>(a)</t>
  </si>
  <si>
    <t>(b)</t>
  </si>
  <si>
    <t>(c)</t>
  </si>
  <si>
    <t>(d)</t>
  </si>
  <si>
    <t>No.</t>
  </si>
  <si>
    <t>Number Of</t>
  </si>
  <si>
    <t>Total</t>
  </si>
  <si>
    <t>Bills</t>
  </si>
  <si>
    <t>Mcf</t>
  </si>
  <si>
    <t>Revenue</t>
  </si>
  <si>
    <t>FIRM BILLS</t>
  </si>
  <si>
    <t>Sales: 1-300</t>
  </si>
  <si>
    <t>Sales: 301-15000</t>
  </si>
  <si>
    <t>CLASS TOTAL</t>
  </si>
  <si>
    <t>Class of Customers</t>
  </si>
  <si>
    <t>Sales: 301-1500</t>
  </si>
  <si>
    <t>Sales: Over 1500</t>
  </si>
  <si>
    <t>RESIDENTIAL (Rate G-1)</t>
  </si>
  <si>
    <t>FIRM COMMERCIAL (Rate G-1)</t>
  </si>
  <si>
    <t>Firm Transport: 1-300</t>
  </si>
  <si>
    <t>Firm Transport: 301-15000</t>
  </si>
  <si>
    <t>Firm Transport: Over 1500</t>
  </si>
  <si>
    <t>Firm Sales: 1-300</t>
  </si>
  <si>
    <t>Firm Sales: 301-15000</t>
  </si>
  <si>
    <t>Firm Sales: Over 1500</t>
  </si>
  <si>
    <t>Interrupt Sales:  Over 15000</t>
  </si>
  <si>
    <t>Interrupt Sales:  1-15000</t>
  </si>
  <si>
    <t>Interrupt Transport:  1-15000</t>
  </si>
  <si>
    <t>Interrupt Transport:  Over 15000</t>
  </si>
  <si>
    <t>Special Contracts</t>
  </si>
  <si>
    <t>T-3 Interr Carriage:  1-15000</t>
  </si>
  <si>
    <t>T-3 Interr Carriage:  Over 15000</t>
  </si>
  <si>
    <t>T-4 Firm Carriage: 1-300</t>
  </si>
  <si>
    <t>T-4 Firm Carriage: 301-15000</t>
  </si>
  <si>
    <t>T-4 Firm Carriage: Over 1500</t>
  </si>
  <si>
    <t>Various</t>
  </si>
  <si>
    <t>EFM Fee</t>
  </si>
  <si>
    <t>TOTAL REVENUES</t>
  </si>
  <si>
    <t>Difference</t>
  </si>
  <si>
    <t>Margin</t>
  </si>
  <si>
    <t>Transportation</t>
  </si>
  <si>
    <t>CLASS TOTAL (Mcf/month)</t>
  </si>
  <si>
    <t>FIRM INDUSTRIAL (Rate G-1)</t>
  </si>
  <si>
    <t>Sales: Over 15000</t>
  </si>
  <si>
    <t>FIRM PUBLIC AUTHORITY (Rate G-1)</t>
  </si>
  <si>
    <t>INTERRUPTIBLE COMMERCIAL (G-2)</t>
  </si>
  <si>
    <t>INT BILLS</t>
  </si>
  <si>
    <t>Sales: 1-15000</t>
  </si>
  <si>
    <t>INTERRUPTIBLE INDUSTRIAL (G-2)</t>
  </si>
  <si>
    <t>TRANSPORTATION BILLS</t>
  </si>
  <si>
    <t>TRANSPORTATION (T-4)</t>
  </si>
  <si>
    <t>TRANSPORTATION (T-3)</t>
  </si>
  <si>
    <t>SPECIAL CONTRACTS</t>
  </si>
  <si>
    <t>Transported Volumes</t>
  </si>
  <si>
    <t>Charges for Transport Volumes</t>
  </si>
  <si>
    <t>ATMOS ENERGY CORPORATION - KENTUCKY</t>
  </si>
  <si>
    <t>Residential</t>
  </si>
  <si>
    <t>Customers</t>
  </si>
  <si>
    <t>Total Revenue</t>
  </si>
  <si>
    <t>Commercial Firm</t>
  </si>
  <si>
    <t>Industrial Firm</t>
  </si>
  <si>
    <t>Late Payment Fees</t>
  </si>
  <si>
    <t>Lagged</t>
  </si>
  <si>
    <t>Normal</t>
  </si>
  <si>
    <t>Product</t>
  </si>
  <si>
    <t>Customer</t>
  </si>
  <si>
    <t>Volumes</t>
  </si>
  <si>
    <t>Ddays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</si>
  <si>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</si>
  <si>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</si>
  <si>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</si>
  <si>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</si>
  <si>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</si>
  <si>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</si>
  <si>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</si>
  <si>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</si>
  <si>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</si>
  <si>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Actual &amp; Normal Degree Days</t>
  </si>
  <si>
    <t>Lagged Actual</t>
  </si>
  <si>
    <t>Lagged Normal</t>
  </si>
  <si>
    <t>Mo. Ddays (1)</t>
  </si>
  <si>
    <t xml:space="preserve">   (1)</t>
  </si>
  <si>
    <t>Based upon 16th of previous month through 15th of billing month.</t>
  </si>
  <si>
    <t xml:space="preserve">   (2)</t>
  </si>
  <si>
    <t>Commercial</t>
  </si>
  <si>
    <t>Comment</t>
  </si>
  <si>
    <t>Service</t>
  </si>
  <si>
    <t>T-4 Bill</t>
  </si>
  <si>
    <t>T-4 0-300 Mcf/mo</t>
  </si>
  <si>
    <t>T-4 301-15000 Mcf/mo</t>
  </si>
  <si>
    <t>T-4 &gt; 15000 Mcf/mo</t>
  </si>
  <si>
    <t>T-3 0-15000 Mcf/mo</t>
  </si>
  <si>
    <t>T-3 &gt; 15000 Mcf/mo</t>
  </si>
  <si>
    <t>Sp K Volumes</t>
  </si>
  <si>
    <t>Sp K Rate</t>
  </si>
  <si>
    <t>Sp K Distr. Charge</t>
  </si>
  <si>
    <t>T-3 Bill</t>
  </si>
  <si>
    <t>G-1 0-300 Mcf/mo</t>
  </si>
  <si>
    <t>G-1 301-15000 Mcf/mo</t>
  </si>
  <si>
    <t>G-1 &gt; 15000 Mcf/mo</t>
  </si>
  <si>
    <t>G-2 0-15000 Mcf/mo</t>
  </si>
  <si>
    <t>G-2 &gt; 15000 Mcf/mo</t>
  </si>
  <si>
    <t>Forward-looking Adjustments</t>
  </si>
  <si>
    <t>Contract Adj.</t>
  </si>
  <si>
    <t>Conservation</t>
  </si>
  <si>
    <t>Present</t>
  </si>
  <si>
    <t>Number</t>
  </si>
  <si>
    <t>Bills and</t>
  </si>
  <si>
    <t>Weather Adj.</t>
  </si>
  <si>
    <t>Growth</t>
  </si>
  <si>
    <t>&amp; Efficiency</t>
  </si>
  <si>
    <t>Test Year</t>
  </si>
  <si>
    <t>Description</t>
  </si>
  <si>
    <t>Block (Mcf)</t>
  </si>
  <si>
    <t>of Bills, Units</t>
  </si>
  <si>
    <t>As Metered</t>
  </si>
  <si>
    <t>Forecast</t>
  </si>
  <si>
    <t>Adjustments</t>
  </si>
  <si>
    <t>Sales</t>
  </si>
  <si>
    <t>Customer Chrg</t>
  </si>
  <si>
    <t>0 - 300</t>
  </si>
  <si>
    <t>301 - 15,000</t>
  </si>
  <si>
    <t>Over 15,000</t>
  </si>
  <si>
    <t>0 - 15,000</t>
  </si>
  <si>
    <t>Transp. Adm. Fee</t>
  </si>
  <si>
    <t>Total Tariff</t>
  </si>
  <si>
    <t>TEST YEAR - ADJUSTED</t>
  </si>
  <si>
    <t>Page 1</t>
  </si>
  <si>
    <t>SIDE-BY-SIDE RATE SCHEDULES</t>
  </si>
  <si>
    <t>Current</t>
  </si>
  <si>
    <t>Proposed</t>
  </si>
  <si>
    <t>Proposed Rate</t>
  </si>
  <si>
    <t>Billing Component</t>
  </si>
  <si>
    <t>Applicable Tariffs</t>
  </si>
  <si>
    <t>Norm Hrs</t>
  </si>
  <si>
    <t>After Hrs</t>
  </si>
  <si>
    <t>CUSTOMER CHARGES, $/month</t>
  </si>
  <si>
    <t>SERVICE CHARGES</t>
  </si>
  <si>
    <t>Firm Services - Residential</t>
  </si>
  <si>
    <t>Meter Set</t>
  </si>
  <si>
    <t>Firm Services - Non-Residential</t>
  </si>
  <si>
    <t>G-1, LVS-1,T-2/G-1</t>
  </si>
  <si>
    <t>Interruptible Services</t>
  </si>
  <si>
    <t>G-2, LVS-2</t>
  </si>
  <si>
    <t>Carriage Transportation</t>
  </si>
  <si>
    <t>T-4, T-3</t>
  </si>
  <si>
    <t>DISTRIBUTION CHARGES, $/Mcf</t>
  </si>
  <si>
    <t>Firm Sales &amp; Transportation:</t>
  </si>
  <si>
    <t>G-1, LVS-1, T-2/G-1, T-4</t>
  </si>
  <si>
    <t>1-300 Mcf</t>
  </si>
  <si>
    <t>301-15000 Mcf</t>
  </si>
  <si>
    <t>Over 15000</t>
  </si>
  <si>
    <t>Int. Sales &amp; Transportation</t>
  </si>
  <si>
    <t>G-2, LVS-2, T-2/G-2, T-3</t>
  </si>
  <si>
    <t>Special Meter Reading Charge</t>
  </si>
  <si>
    <t>1-15000 Mcf</t>
  </si>
  <si>
    <t>Returned Check Charge</t>
  </si>
  <si>
    <t>Class 1 EFM Equipment Charge</t>
  </si>
  <si>
    <t>Class 2 EFM Equipment Charge</t>
  </si>
  <si>
    <t>OVERRUN CHARGES, $/Mcf</t>
  </si>
  <si>
    <t>Firm Carriage Overrun</t>
  </si>
  <si>
    <t>Int. Carriage Overrun</t>
  </si>
  <si>
    <t>OTHER CHARGES</t>
  </si>
  <si>
    <t>Transp. Adm. Fee, $/Mcf</t>
  </si>
  <si>
    <t>T-2, T-3, T-4</t>
  </si>
  <si>
    <t>Parking, $/Mcf</t>
  </si>
  <si>
    <t>SUMMARY OF PROPOSED VS. CURRENT RATES:</t>
  </si>
  <si>
    <t>Base Monthly Charges</t>
  </si>
  <si>
    <t>Distribution Charges</t>
  </si>
  <si>
    <t>TOTAL</t>
  </si>
  <si>
    <t>Total Class</t>
  </si>
  <si>
    <t>% Change</t>
  </si>
  <si>
    <t>Sub-total Revenue</t>
  </si>
  <si>
    <t>Other Gas Revenues</t>
  </si>
  <si>
    <t>VOLUME AND CONTRACT ADJUSTMENTS</t>
  </si>
  <si>
    <t>BILL FREQUENCY DATA</t>
  </si>
  <si>
    <t>Gas Costs</t>
  </si>
  <si>
    <t>Current Rate</t>
  </si>
  <si>
    <t>Turn On</t>
  </si>
  <si>
    <t>Read</t>
  </si>
  <si>
    <t>Reconnect Delinquent Service</t>
  </si>
  <si>
    <t>Seasonal Charge</t>
  </si>
  <si>
    <t>Meter Test Charge</t>
  </si>
  <si>
    <t>BILL FREQUENCY WITH WEATHER &amp; VOLUME / CONTRACT ADJUSTMENTS</t>
  </si>
  <si>
    <t>Gas Charge per Mcf</t>
  </si>
  <si>
    <t>Gas Supply Requirements</t>
  </si>
  <si>
    <t>Int Sales</t>
  </si>
  <si>
    <t>Firm Sales (Calendar Month)</t>
  </si>
  <si>
    <t xml:space="preserve">  Residential</t>
  </si>
  <si>
    <t xml:space="preserve">  Commercial</t>
  </si>
  <si>
    <t xml:space="preserve">  Industrial</t>
  </si>
  <si>
    <t xml:space="preserve">  Public Authority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</si>
  <si>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</si>
  <si>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</si>
  <si>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</si>
  <si>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</si>
  <si>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</si>
  <si>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</si>
  <si>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</si>
  <si>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</si>
  <si>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</si>
  <si>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</si>
  <si>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</si>
  <si>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</si>
  <si>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</si>
  <si>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</si>
  <si>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</si>
  <si>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</si>
  <si>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</si>
  <si>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</si>
  <si>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</si>
  <si>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</si>
  <si>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</si>
  <si>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</si>
  <si>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</si>
  <si>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</si>
  <si>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</si>
  <si>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</si>
  <si>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</si>
  <si>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(ao)</t>
  </si>
  <si>
    <t>(ap)</t>
  </si>
  <si>
    <t>(aq)</t>
  </si>
  <si>
    <t>(ar)</t>
  </si>
  <si>
    <t>(as)</t>
  </si>
  <si>
    <t>(at)</t>
  </si>
  <si>
    <t>(au)</t>
  </si>
  <si>
    <t>(av)</t>
  </si>
  <si>
    <t>(aw)</t>
  </si>
  <si>
    <t>(ax)</t>
  </si>
  <si>
    <t>(ay)</t>
  </si>
  <si>
    <t>(az)</t>
  </si>
  <si>
    <t>(ba)</t>
  </si>
  <si>
    <t>(bb)</t>
  </si>
  <si>
    <t>(bc)</t>
  </si>
  <si>
    <t>(bd)</t>
  </si>
  <si>
    <t>(be)</t>
  </si>
  <si>
    <t>(bf)</t>
  </si>
  <si>
    <t>(bg)</t>
  </si>
  <si>
    <t>(bh)</t>
  </si>
  <si>
    <t>(bi)</t>
  </si>
  <si>
    <t>(bj)</t>
  </si>
  <si>
    <t>Regular Hours</t>
  </si>
  <si>
    <t>After Hours</t>
  </si>
  <si>
    <t>Turn on</t>
  </si>
  <si>
    <t>Return Check Charge</t>
  </si>
  <si>
    <t>SUBTOTAL - OTHER OPERATING REVENUE</t>
  </si>
  <si>
    <t>TOTAL Billed Orders</t>
  </si>
  <si>
    <t>TOTAL Revenue</t>
  </si>
  <si>
    <t xml:space="preserve">N/A  </t>
  </si>
  <si>
    <t>Other Revenues</t>
  </si>
  <si>
    <t>BILL FREQUENCY WITH KNOWN &amp; MEASURABLE ADJUSTMENTS</t>
  </si>
  <si>
    <t>Public Authority Firm</t>
  </si>
  <si>
    <t>Com/Ind Interruptible</t>
  </si>
  <si>
    <t>GAS COST</t>
  </si>
  <si>
    <t>TTL CHNGE</t>
  </si>
  <si>
    <t>(bk)</t>
  </si>
  <si>
    <t>(bl)</t>
  </si>
  <si>
    <t>(bm)</t>
  </si>
  <si>
    <t>(bn)</t>
  </si>
  <si>
    <t>(bo)</t>
  </si>
  <si>
    <t>(bp)</t>
  </si>
  <si>
    <t>(bq)</t>
  </si>
  <si>
    <t>(br)</t>
  </si>
  <si>
    <t>(bs)</t>
  </si>
  <si>
    <t>(bt)</t>
  </si>
  <si>
    <t>(bu)</t>
  </si>
  <si>
    <t>(bv)</t>
  </si>
  <si>
    <t>OTHER REVENUE</t>
  </si>
  <si>
    <t>Service Charges</t>
  </si>
  <si>
    <t>TOTAL GROSS PROFIT</t>
  </si>
  <si>
    <t>TOTAL REVENUE</t>
  </si>
  <si>
    <t>Total Gross Profit</t>
  </si>
  <si>
    <t>O P E R A T I N G  R E V E N U E</t>
  </si>
  <si>
    <t xml:space="preserve">  Sales of Gas</t>
  </si>
  <si>
    <t>Industrial</t>
  </si>
  <si>
    <t>Other - Public Authority</t>
  </si>
  <si>
    <t xml:space="preserve">  Total Sales of Gas</t>
  </si>
  <si>
    <t xml:space="preserve">  Other Operating Income</t>
  </si>
  <si>
    <t>Forfeited Discounts</t>
  </si>
  <si>
    <t>Misc. Service Revenues</t>
  </si>
  <si>
    <t>Revenue From Transportation of Gas of Others</t>
  </si>
  <si>
    <t xml:space="preserve">  Total Other Operating Income</t>
  </si>
  <si>
    <t>Test period</t>
  </si>
  <si>
    <t>Purchased Gas Costs</t>
  </si>
  <si>
    <t>Gross Profit</t>
  </si>
  <si>
    <t>(bw)</t>
  </si>
  <si>
    <t>(bx)</t>
  </si>
  <si>
    <t>(by)</t>
  </si>
  <si>
    <t>(bz)</t>
  </si>
  <si>
    <t>(ca)</t>
  </si>
  <si>
    <t>(cb)</t>
  </si>
  <si>
    <t>(cc)</t>
  </si>
  <si>
    <t>(cd)</t>
  </si>
  <si>
    <t>(ce)</t>
  </si>
  <si>
    <t>(cf)</t>
  </si>
  <si>
    <t>(cg)</t>
  </si>
  <si>
    <t>(ch)</t>
  </si>
  <si>
    <t>G-1 (Non-residential)</t>
  </si>
  <si>
    <t>LVS-1, T-2/G-1, T-4</t>
  </si>
  <si>
    <t>See Below</t>
  </si>
  <si>
    <t>(Proposed Only)</t>
  </si>
  <si>
    <t>All Mcf</t>
  </si>
  <si>
    <t>SUMMARY OF REVENUE AT PRESENT RATES</t>
  </si>
  <si>
    <t>Billing Units</t>
  </si>
  <si>
    <t>To Test Year</t>
  </si>
  <si>
    <t>CUSTOMERS</t>
  </si>
  <si>
    <t>Res</t>
  </si>
  <si>
    <t>Com/PA F</t>
  </si>
  <si>
    <t>Ind/Int</t>
  </si>
  <si>
    <t>Transp &amp; SC</t>
  </si>
  <si>
    <t>Proposal A</t>
  </si>
  <si>
    <t>Total Increase</t>
  </si>
  <si>
    <t>Residential Incr</t>
  </si>
  <si>
    <t>Residential Incr%</t>
  </si>
  <si>
    <t>Com/PA Incr</t>
  </si>
  <si>
    <t>Com/PA Incr%</t>
  </si>
  <si>
    <t>Ind/Int Incr</t>
  </si>
  <si>
    <t>Transp Incr</t>
  </si>
  <si>
    <t>Ind/Int Incr %</t>
  </si>
  <si>
    <t>Transp Incr%</t>
  </si>
  <si>
    <t>Total Increase %</t>
  </si>
  <si>
    <t>Proposal B</t>
  </si>
  <si>
    <t>Total % Volumetric Margin Contribution</t>
  </si>
  <si>
    <t>Ind/Int/Transp/SC</t>
  </si>
  <si>
    <t>PA</t>
  </si>
  <si>
    <t>Gas Cost</t>
  </si>
  <si>
    <t>Other</t>
  </si>
  <si>
    <t>Proposal X</t>
  </si>
  <si>
    <t>Current Rev</t>
  </si>
  <si>
    <t>Prop Rev</t>
  </si>
  <si>
    <t>Increase</t>
  </si>
  <si>
    <t>Increase %</t>
  </si>
  <si>
    <t>Increase/month</t>
  </si>
  <si>
    <t>Com Firm</t>
  </si>
  <si>
    <t>Com Int</t>
  </si>
  <si>
    <t>Com Total</t>
  </si>
  <si>
    <t>Ind Firm</t>
  </si>
  <si>
    <t>Ind Int</t>
  </si>
  <si>
    <t>Ind Total</t>
  </si>
  <si>
    <t>Transp.</t>
  </si>
  <si>
    <t>Ind &amp; Transp</t>
  </si>
  <si>
    <t>PROPOSED RATES</t>
  </si>
  <si>
    <t>Com &amp; PA</t>
  </si>
  <si>
    <t>Apparently used for CCS</t>
  </si>
  <si>
    <t>GC</t>
  </si>
  <si>
    <t>Dist Marg</t>
  </si>
  <si>
    <t>CURRENT RATES</t>
  </si>
  <si>
    <t>Storage Balance</t>
  </si>
  <si>
    <t>13-month avg</t>
  </si>
  <si>
    <t>Storage</t>
  </si>
  <si>
    <t>GAS COST ESTIMATES</t>
  </si>
  <si>
    <t>Firm Sales</t>
  </si>
  <si>
    <t xml:space="preserve">    Total Sales</t>
  </si>
  <si>
    <t>L&amp;U / Co Use</t>
  </si>
  <si>
    <t>Supply Req</t>
  </si>
  <si>
    <t>MMBtu</t>
  </si>
  <si>
    <t xml:space="preserve"> </t>
  </si>
  <si>
    <t>Tenn Gas (WI)</t>
  </si>
  <si>
    <t>Texas Gas (WI)</t>
  </si>
  <si>
    <t>Co Owned (WI)</t>
  </si>
  <si>
    <t xml:space="preserve">     Total  (WI)</t>
  </si>
  <si>
    <t>Tenn Gas (IN)</t>
  </si>
  <si>
    <t>Texas Gas (IN)</t>
  </si>
  <si>
    <t>Co Owned (IN)</t>
  </si>
  <si>
    <t xml:space="preserve">     Total  (IN)</t>
  </si>
  <si>
    <t>Quantity</t>
  </si>
  <si>
    <t>Local Production</t>
  </si>
  <si>
    <t>Hedging Purchases</t>
  </si>
  <si>
    <t>Requirements excluding Prod.</t>
  </si>
  <si>
    <t>Rates</t>
  </si>
  <si>
    <t>Hedging Prices</t>
  </si>
  <si>
    <t>NYMEX PRICE</t>
  </si>
  <si>
    <t>TGT/MW/Trunk Var Transp</t>
  </si>
  <si>
    <t>TGP - GS Variable Tran</t>
  </si>
  <si>
    <t>TGP - G Variable Transp</t>
  </si>
  <si>
    <t>Storage Inventory</t>
  </si>
  <si>
    <t>Average Price for Season</t>
  </si>
  <si>
    <t>TGT NNS ($)</t>
  </si>
  <si>
    <t>Average Price (Next Season)</t>
  </si>
  <si>
    <t>Source of Supply</t>
  </si>
  <si>
    <t>Commodity Purchases</t>
  </si>
  <si>
    <t>Hedged Purchases</t>
  </si>
  <si>
    <t>Local Production Purchases</t>
  </si>
  <si>
    <t>Storage  (WI)</t>
  </si>
  <si>
    <t>Storage  (IN)</t>
  </si>
  <si>
    <t xml:space="preserve">     Total Supply Requirements</t>
  </si>
  <si>
    <t>Supply Cost</t>
  </si>
  <si>
    <t xml:space="preserve">Demand </t>
  </si>
  <si>
    <t>Commodity - Market</t>
  </si>
  <si>
    <t>Commodity - Hedged</t>
  </si>
  <si>
    <t>Variable Pipeline Commodity</t>
  </si>
  <si>
    <t xml:space="preserve">     Total Supply Cost</t>
  </si>
  <si>
    <t>Collection of Demand Charges</t>
  </si>
  <si>
    <t>Ann. Demand Charges</t>
  </si>
  <si>
    <t>N/C Charge - Int</t>
  </si>
  <si>
    <t>N/C Charge - Firm</t>
  </si>
  <si>
    <t>Collection by Month&gt;</t>
  </si>
  <si>
    <t>Commodity Gas Charge Firm</t>
  </si>
  <si>
    <t>Commodity</t>
  </si>
  <si>
    <t>N/C</t>
  </si>
  <si>
    <t>Total (Not Incl Margin)</t>
  </si>
  <si>
    <t>CF</t>
  </si>
  <si>
    <t>Total Gas Charge (F)</t>
  </si>
  <si>
    <t>Commodity Firm</t>
  </si>
  <si>
    <t>N/C Firm</t>
  </si>
  <si>
    <t>CF Firm</t>
  </si>
  <si>
    <t>PBR Discount</t>
  </si>
  <si>
    <t>PBR Recovery</t>
  </si>
  <si>
    <t>Gas Cost Comp-Firm</t>
  </si>
  <si>
    <t>Commodity Int</t>
  </si>
  <si>
    <t>N/C Int</t>
  </si>
  <si>
    <t>CF Int</t>
  </si>
  <si>
    <t>Gas Cost Comp-Int</t>
  </si>
  <si>
    <t>HEDGING</t>
  </si>
  <si>
    <t>1 TO 5</t>
  </si>
  <si>
    <t>Delivered Cost</t>
  </si>
  <si>
    <t>SUMMARY OF REVENUE AT PROPOSED RATES</t>
  </si>
  <si>
    <t>[1] Parked Volumes not included in Total Deliveries.</t>
  </si>
  <si>
    <t>Parked Volumes [1]</t>
  </si>
  <si>
    <t>Total Special Contracts [2]</t>
  </si>
  <si>
    <t>PUBLIC AUTHORITY (Rate G-1)</t>
  </si>
  <si>
    <t xml:space="preserve">FIRM COMMERCIAL / </t>
  </si>
  <si>
    <t xml:space="preserve">INTERRUPTIBLE  &amp; TRANSPORT </t>
  </si>
  <si>
    <t>Commercial &amp; Public Authority</t>
  </si>
  <si>
    <t>Interruptible &amp; Transportation</t>
  </si>
  <si>
    <t>Base Load per Customer (Jul &amp; Aug)</t>
  </si>
  <si>
    <t>Heating Load Per Year</t>
  </si>
  <si>
    <t>Annual HDDs</t>
  </si>
  <si>
    <t>Heating Load per Customer per HDD</t>
  </si>
  <si>
    <t>Peak Design Day HDD</t>
  </si>
  <si>
    <t>Peak Day per Average Customer</t>
  </si>
  <si>
    <t>Total Base Load per year</t>
  </si>
  <si>
    <t>Average Daily Base Load per Customer</t>
  </si>
  <si>
    <t>Total Class Peak Day, Mcf</t>
  </si>
  <si>
    <t>Firm Industrial</t>
  </si>
  <si>
    <t>Storage - Full Plan</t>
  </si>
  <si>
    <t>Storage - As Adjusted</t>
  </si>
  <si>
    <t>Base - Tenn Gas</t>
  </si>
  <si>
    <t>Base - Texas Gas</t>
  </si>
  <si>
    <t>Base - Co Owned</t>
  </si>
  <si>
    <t>TN + Co</t>
  </si>
  <si>
    <t>G-1 Bill</t>
  </si>
  <si>
    <t>G-2 Bill</t>
  </si>
  <si>
    <t>per yr</t>
  </si>
  <si>
    <t>per mo</t>
  </si>
  <si>
    <t>Annual G/C &amp; Total Revenue</t>
  </si>
  <si>
    <t>Equal Residential (4800)</t>
  </si>
  <si>
    <t>Firm Com &amp; PA (Excl Int Com)</t>
  </si>
  <si>
    <t>Firm Ind Only (Excl Int Ind)</t>
  </si>
  <si>
    <t>Gas costs for Int Ind &amp; Com Sales</t>
  </si>
  <si>
    <t>total Gas cost</t>
  </si>
  <si>
    <t>Total Rev</t>
  </si>
  <si>
    <t>Becky Buchanan for Gas Supply Data</t>
  </si>
  <si>
    <t>Weighted</t>
  </si>
  <si>
    <t>G-2</t>
  </si>
  <si>
    <t>T-4</t>
  </si>
  <si>
    <t>Firm Transportation</t>
  </si>
  <si>
    <t>T-3</t>
  </si>
  <si>
    <t>Interruptible Transportation</t>
  </si>
  <si>
    <t>Interruptible Sales</t>
  </si>
  <si>
    <t>Firm Sales (G-1)</t>
  </si>
  <si>
    <t>Interruptible Sales (G-2)</t>
  </si>
  <si>
    <t>Firm Transportation (T-4)</t>
  </si>
  <si>
    <t>Interruptible Transportation (T-3)</t>
  </si>
  <si>
    <t>Customer Charges (T-3)</t>
  </si>
  <si>
    <t>Customer Charges (T-4)</t>
  </si>
  <si>
    <t>Customer Charges (SpK)</t>
  </si>
  <si>
    <t xml:space="preserve">Pipeline Losses @ </t>
  </si>
  <si>
    <t>Ledger &gt;</t>
  </si>
  <si>
    <t>&lt; Storage Beginning Balance</t>
  </si>
  <si>
    <t>Difference &gt;</t>
  </si>
  <si>
    <t>Winter Volumes       (Nov- Mar)</t>
  </si>
  <si>
    <t>FIRM INDUSTRIAL (Rates G-1)</t>
  </si>
  <si>
    <t>(Rates G-2, T-4 &amp; T-3)</t>
  </si>
  <si>
    <t>Bills - G-2</t>
  </si>
  <si>
    <t>Bills - T-4</t>
  </si>
  <si>
    <t>Bills - T-3</t>
  </si>
  <si>
    <t>Bills - Sp K</t>
  </si>
  <si>
    <t>Quarterly GCA Model</t>
  </si>
  <si>
    <t>TWELVE MONTHS ENDED NOVEMBER 30, 2014</t>
  </si>
  <si>
    <t>[2] Based on confidential information.</t>
  </si>
  <si>
    <t>Transp Adm/Parking/ EFM Charges</t>
  </si>
  <si>
    <t>W/o PRP&gt;</t>
  </si>
  <si>
    <t>% fixed</t>
  </si>
  <si>
    <t>Fiscal Years</t>
  </si>
  <si>
    <t>Other Gas Revenue (Special Contracts)</t>
  </si>
  <si>
    <t>MCF (Cycle Bill Month)</t>
  </si>
  <si>
    <t>PRP @</t>
  </si>
  <si>
    <t>cur vol/count</t>
  </si>
  <si>
    <t>Rev @ Pres</t>
  </si>
  <si>
    <t>Public Authority</t>
  </si>
  <si>
    <t>0-300</t>
  </si>
  <si>
    <t>301-15,000</t>
  </si>
  <si>
    <t>Normal Adj.</t>
  </si>
  <si>
    <t>After Conservation/Eff.</t>
  </si>
  <si>
    <t>Date</t>
  </si>
  <si>
    <t>Base Period Actual Hdds</t>
  </si>
  <si>
    <t>Base Period Calendar HDDs</t>
  </si>
  <si>
    <t>Base Period Lagged HDDs</t>
  </si>
  <si>
    <t>Normals Calendar HDDs</t>
  </si>
  <si>
    <t>Normals Lagged HDDs</t>
  </si>
  <si>
    <t>Annual Totals</t>
  </si>
  <si>
    <t>Percent of Normal</t>
  </si>
  <si>
    <t>EVANSVILLE REGIONAL AIRPORT IN US</t>
  </si>
  <si>
    <t>NASHVILLE INTERNATIONAL AIRPORT TN US</t>
  </si>
  <si>
    <t>LEXINGTON BLUEGRASS AIRPORT KY US</t>
  </si>
  <si>
    <t>LOUISVILLE INTERNATIONAL AIRPORT KY US</t>
  </si>
  <si>
    <t>PADUCAH BARKLEY REGIONAL AIRPORT KY US</t>
  </si>
  <si>
    <t>EVANSVILLE</t>
  </si>
  <si>
    <t>NASHVILLE</t>
  </si>
  <si>
    <t>LEXINGTON</t>
  </si>
  <si>
    <t>LOUISVILLE</t>
  </si>
  <si>
    <t>PADUCAH</t>
  </si>
  <si>
    <t>Lagged Actual HDDs</t>
  </si>
  <si>
    <t>Lagged Normal HDDs</t>
  </si>
  <si>
    <t>No. of Customers</t>
  </si>
  <si>
    <t>Normalized Volumes</t>
  </si>
  <si>
    <t>Actual Volumes</t>
  </si>
  <si>
    <t>Weather Adjustment</t>
  </si>
  <si>
    <t>Actual X Coefficient</t>
  </si>
  <si>
    <t>Base Load</t>
  </si>
  <si>
    <t>Tier 1</t>
  </si>
  <si>
    <t>Tier 2</t>
  </si>
  <si>
    <t>Tier 3</t>
  </si>
  <si>
    <t>Actual Constand Load</t>
  </si>
  <si>
    <t>Actual Heat Load</t>
  </si>
  <si>
    <t>Heat Load / Customer</t>
  </si>
  <si>
    <t>NA</t>
  </si>
  <si>
    <t>Annual Customer Growth</t>
  </si>
  <si>
    <t>Annual Base Load Decline</t>
  </si>
  <si>
    <t>Annual Total Load Decline</t>
  </si>
  <si>
    <t>Calendar Normal HDDs</t>
  </si>
  <si>
    <t>Normalized Volume Including Unbilled</t>
  </si>
  <si>
    <t>Normal Usage / Customer</t>
  </si>
  <si>
    <t>Normalized Calendar Volumes</t>
  </si>
  <si>
    <t>Beginning of Test Period</t>
  </si>
  <si>
    <t>End of Test Period</t>
  </si>
  <si>
    <t>1st Day of Ref Period&gt;&gt;&gt;</t>
  </si>
  <si>
    <t>Grand Total</t>
  </si>
  <si>
    <t>Base Period</t>
  </si>
  <si>
    <t>T3</t>
  </si>
  <si>
    <t>T4</t>
  </si>
  <si>
    <t>Summary</t>
  </si>
  <si>
    <t>Sp K Bill</t>
  </si>
  <si>
    <t>Tariff</t>
  </si>
  <si>
    <t>Contract</t>
  </si>
  <si>
    <t>Volume (Mcf)</t>
  </si>
  <si>
    <t>Parking / Pooling Fees</t>
  </si>
  <si>
    <t>Total Cumulative ($) - prior</t>
  </si>
  <si>
    <t>Expansions/Load Additions</t>
  </si>
  <si>
    <t>Load Reductions</t>
  </si>
  <si>
    <t>New Customers</t>
  </si>
  <si>
    <t>Closings</t>
  </si>
  <si>
    <t>Service Changes</t>
  </si>
  <si>
    <t>^^^^^^^^^</t>
  </si>
  <si>
    <t>EDR Bill</t>
  </si>
  <si>
    <t>EDR 0-300 Mcf/mo</t>
  </si>
  <si>
    <t>EDR 301-15000 Mcf/mo</t>
  </si>
  <si>
    <t>EDR &gt; 15000 Mcf/mo</t>
  </si>
  <si>
    <t>ECONOMIC DEV RATE (EDR)</t>
  </si>
  <si>
    <t>Firm Transport: Over 15000</t>
  </si>
  <si>
    <t>Economic Dev Rider (EDR)</t>
  </si>
  <si>
    <t>ECONOMIC DEV RIDER (EDR)</t>
  </si>
  <si>
    <t>Current EDR Rate</t>
  </si>
  <si>
    <t>R/C/PA Inc</t>
  </si>
  <si>
    <t>Base Chrg</t>
  </si>
  <si>
    <t>Rev Req &gt;&gt;</t>
  </si>
  <si>
    <t>Usage</t>
  </si>
  <si>
    <t>Distribution Rate</t>
  </si>
  <si>
    <t>Customer Charge</t>
  </si>
  <si>
    <t>GCA Firm</t>
  </si>
  <si>
    <t>Gas Cost Charges</t>
  </si>
  <si>
    <t>Prop</t>
  </si>
  <si>
    <t>SUMMARY OF RATES</t>
  </si>
  <si>
    <t>Applicable</t>
  </si>
  <si>
    <t>Tariffs</t>
  </si>
  <si>
    <t>Current Base</t>
  </si>
  <si>
    <t>Current PRP</t>
  </si>
  <si>
    <t>Current Total</t>
  </si>
  <si>
    <t>Filed Proposed</t>
  </si>
  <si>
    <t>Actual HDDs</t>
  </si>
  <si>
    <t>Lagged HDDs</t>
  </si>
  <si>
    <t>Proposed EDR</t>
  </si>
  <si>
    <t>Co Owned &amp; TN ($) Activity</t>
  </si>
  <si>
    <t>Cumulative ($) Balance</t>
  </si>
  <si>
    <t>Co Owned &amp; TN (Mcf) Balance</t>
  </si>
  <si>
    <t>TGT NNS (Mcf) Balance</t>
  </si>
  <si>
    <t>Basis:  NOAA Normals for 2002-2021</t>
  </si>
  <si>
    <t>Check</t>
  </si>
  <si>
    <t>Res Growth</t>
  </si>
  <si>
    <t>Com Growth</t>
  </si>
  <si>
    <t>Other Rev</t>
  </si>
  <si>
    <t>Dark blocks are based on the timing of the GCA filings</t>
  </si>
  <si>
    <t>Notice</t>
  </si>
  <si>
    <t>Detail for Notice Table</t>
  </si>
  <si>
    <t xml:space="preserve">Average </t>
  </si>
  <si>
    <t>Average</t>
  </si>
  <si>
    <t xml:space="preserve">Increase in </t>
  </si>
  <si>
    <t xml:space="preserve">Monthly </t>
  </si>
  <si>
    <t>Monthly Bill</t>
  </si>
  <si>
    <t>(Present</t>
  </si>
  <si>
    <t>(Proposed</t>
  </si>
  <si>
    <t>Customer Class</t>
  </si>
  <si>
    <t>(Mcf)</t>
  </si>
  <si>
    <t>Rates)</t>
  </si>
  <si>
    <t>Bill ($)</t>
  </si>
  <si>
    <t>(%)</t>
  </si>
  <si>
    <t>G-1 Firm Services - Residential</t>
  </si>
  <si>
    <t>G-1 Firm Services - Non-Residential</t>
  </si>
  <si>
    <t>G-2 Interruptible Sales</t>
  </si>
  <si>
    <t>T-4 Firm Transportation</t>
  </si>
  <si>
    <t>T-3 Interruptible Transportation</t>
  </si>
  <si>
    <t>Detail for Notice Rates</t>
  </si>
  <si>
    <t>Customer Class Base Rate</t>
  </si>
  <si>
    <t>Customer Class Volumetric Rate</t>
  </si>
  <si>
    <t>Block 1</t>
  </si>
  <si>
    <t>Block 2</t>
  </si>
  <si>
    <t>Block 3</t>
  </si>
  <si>
    <t>Customer Class Gas Cost - From Latest Tariff</t>
  </si>
  <si>
    <t>na</t>
  </si>
  <si>
    <t>Other Fees</t>
  </si>
  <si>
    <t>Annual Usage</t>
  </si>
  <si>
    <t>Avg Monthly Bills</t>
  </si>
  <si>
    <t>Avg Monthly Usage</t>
  </si>
  <si>
    <t>Calculation of Average Monthly Usage by Tariff</t>
  </si>
  <si>
    <t>Revised Notice, 2021 Staff Methodology for FR 16(8)(n) Bill Comparison</t>
  </si>
  <si>
    <t>TLT</t>
  </si>
  <si>
    <t>BCT</t>
  </si>
  <si>
    <t>First full FY of data</t>
  </si>
  <si>
    <t>Fiscal Yrs for Summary Worksheets</t>
  </si>
  <si>
    <t>Initials for Rev. Testimony Exhibits</t>
  </si>
  <si>
    <t>Initials for Other Testimony Exhibits</t>
  </si>
  <si>
    <r>
      <t>¬</t>
    </r>
    <r>
      <rPr>
        <b/>
        <sz val="10"/>
        <color rgb="FF0070C0"/>
        <rFont val="Arial"/>
        <family val="2"/>
      </rPr>
      <t xml:space="preserve"> Input</t>
    </r>
  </si>
  <si>
    <r>
      <rPr>
        <b/>
        <sz val="10"/>
        <color rgb="FF0070C0"/>
        <rFont val="Symbol"/>
        <family val="1"/>
        <charset val="2"/>
      </rPr>
      <t>¬</t>
    </r>
    <r>
      <rPr>
        <b/>
        <sz val="10"/>
        <color rgb="FF0070C0"/>
        <rFont val="Arial"/>
        <family val="2"/>
      </rPr>
      <t xml:space="preserve"> Input Date</t>
    </r>
  </si>
  <si>
    <t>Totals—</t>
  </si>
  <si>
    <r>
      <rPr>
        <sz val="10"/>
        <rFont val="Symbol"/>
        <family val="1"/>
        <charset val="2"/>
      </rPr>
      <t>¬</t>
    </r>
    <r>
      <rPr>
        <sz val="10"/>
        <rFont val="Arial Narrow"/>
        <family val="2"/>
      </rPr>
      <t xml:space="preserve"> Actual</t>
    </r>
  </si>
  <si>
    <r>
      <t xml:space="preserve">Projected </t>
    </r>
    <r>
      <rPr>
        <sz val="10"/>
        <rFont val="Symbol"/>
        <family val="1"/>
        <charset val="2"/>
      </rPr>
      <t>®</t>
    </r>
  </si>
  <si>
    <t>(Calculated)</t>
  </si>
  <si>
    <t>Based on GL because volumes are GL not production (Injection is May-Nov GL and Withdrawals Dec-Apr)</t>
  </si>
  <si>
    <t>Combined Volumetric for Notice</t>
  </si>
  <si>
    <t>Line No.</t>
  </si>
  <si>
    <t>Account</t>
  </si>
  <si>
    <t>Firm Sales – Residential</t>
  </si>
  <si>
    <t>Firm Sales – Non-Residential</t>
  </si>
  <si>
    <t>Firm Services – Residential</t>
  </si>
  <si>
    <t>Firm Services – Non-Residential</t>
  </si>
  <si>
    <t>Late Pymt Fee – G-1 Residential</t>
  </si>
  <si>
    <t>Late Pymt Fee – G-1 Com &amp; Pub Authority</t>
  </si>
  <si>
    <t>DO NOT DELETE:</t>
  </si>
  <si>
    <t>Transp. Adm. Fee, $/Cust./Mtr.</t>
  </si>
  <si>
    <t>Transportation Volume (Mcf) per Customer:</t>
  </si>
  <si>
    <t>Note for formulas on Excel Rows 69–71: Includes combined T4/T3 bills</t>
  </si>
  <si>
    <t>Base Load months are July and August</t>
  </si>
  <si>
    <t>Month (using forumla) for base load formulas - DO NOT DELETE</t>
  </si>
  <si>
    <t>Base Load Months (hardcoded) - DO NOT DELETE</t>
  </si>
  <si>
    <t>Month (using formula) for Base Load xLookup Formula</t>
  </si>
  <si>
    <t>Base Load Months (Hardcoded)</t>
  </si>
  <si>
    <t>First Day of Base or Ref Period</t>
  </si>
  <si>
    <t>Last Day of Base or Ref Period</t>
  </si>
  <si>
    <t>Max Fcst Month</t>
  </si>
  <si>
    <t>FY</t>
  </si>
  <si>
    <t>Check Last FY for Data:</t>
  </si>
  <si>
    <t>NORMALIZATION OF VOLUMES FOR WEATHER</t>
  </si>
  <si>
    <t>REVENUE MODEL</t>
  </si>
  <si>
    <t>DASHBOARD INPUTS</t>
  </si>
  <si>
    <t>ATMOS ENERGY CORPORATION – KENTUCKY</t>
  </si>
  <si>
    <t>KY Revenue Requirement</t>
  </si>
  <si>
    <r>
      <rPr>
        <b/>
        <sz val="10"/>
        <color rgb="FF0070C0"/>
        <rFont val="Symbol"/>
        <family val="1"/>
        <charset val="2"/>
      </rPr>
      <t>¬</t>
    </r>
    <r>
      <rPr>
        <b/>
        <sz val="10"/>
        <color rgb="FF0070C0"/>
        <rFont val="Arial"/>
        <family val="2"/>
      </rPr>
      <t xml:space="preserve"> Input from KY Rate Case Model</t>
    </r>
  </si>
  <si>
    <t>Proposed Base</t>
  </si>
  <si>
    <t>PRP</t>
  </si>
  <si>
    <t>Total Proposed</t>
  </si>
  <si>
    <t>ADJUST INPUTS ABOVE TO INPUT INJECTION PLAN OR WITHDRAWAL PLAN</t>
  </si>
  <si>
    <t>PRP not rolled</t>
  </si>
  <si>
    <t>into this case.</t>
  </si>
  <si>
    <t>Late Payment Fee Revenue Percentage of Prior Month Revenues:</t>
  </si>
  <si>
    <t>Late Payment Fee (Commercial &amp; Public Authority)</t>
  </si>
  <si>
    <t>Avg Usage per Month</t>
  </si>
  <si>
    <t>Plant Closings</t>
  </si>
  <si>
    <t>Special Contract</t>
  </si>
  <si>
    <t>Moved to G-1</t>
  </si>
  <si>
    <t>3060788153</t>
  </si>
  <si>
    <t>Moved to T4</t>
  </si>
  <si>
    <t>TBS ADJUSTMENTS</t>
  </si>
  <si>
    <t>Late Payment Charge - Res</t>
  </si>
  <si>
    <t>Late Payment Charge - Com &amp; PA</t>
  </si>
  <si>
    <t>Load Reduction: Adjust for Normal Load</t>
  </si>
  <si>
    <t>New Customer: Adjust for Normal Load</t>
  </si>
  <si>
    <t>Load Addition: Adjust for Normal Load</t>
  </si>
  <si>
    <t>Service Change: Moved to G-1</t>
  </si>
  <si>
    <t>GCA</t>
  </si>
  <si>
    <t>June 2024 Rates</t>
  </si>
  <si>
    <t>2021-00214</t>
  </si>
  <si>
    <t>Res Base Chrg % of Res Rev</t>
  </si>
  <si>
    <t>Current Rates</t>
  </si>
  <si>
    <t>Proposed Rates</t>
  </si>
  <si>
    <t>Cur Base Chrg</t>
  </si>
  <si>
    <t>% of Revenue</t>
  </si>
  <si>
    <t>Prop Base Chrg</t>
  </si>
  <si>
    <t>Fixed</t>
  </si>
  <si>
    <t>Fixed %</t>
  </si>
  <si>
    <t>Res G-1, Non-Res G1,G-2, T3, T4</t>
  </si>
  <si>
    <t>Revenue Increase</t>
  </si>
  <si>
    <t>Incr to Fixed</t>
  </si>
  <si>
    <t>% of Fixed</t>
  </si>
  <si>
    <t>Incr/Bill</t>
  </si>
  <si>
    <t>Non-Res G1</t>
  </si>
  <si>
    <t>G-2, T3, T4</t>
  </si>
  <si>
    <t>Res G-1</t>
  </si>
  <si>
    <t>Dist Charge %</t>
  </si>
  <si>
    <t>Incr to Dist Charge</t>
  </si>
  <si>
    <t>% Dist Chrg</t>
  </si>
  <si>
    <t>Incr Dist Rev</t>
  </si>
  <si>
    <t>Incr %</t>
  </si>
  <si>
    <t>Cur Dist Chrg</t>
  </si>
  <si>
    <t>Incr Fixed Rev</t>
  </si>
  <si>
    <t>Cur Rev</t>
  </si>
  <si>
    <t>Rev Incr</t>
  </si>
  <si>
    <t>Fixed Charge</t>
  </si>
  <si>
    <t>Distribution Charge</t>
  </si>
  <si>
    <t>G-2, T3 Interruptible</t>
  </si>
  <si>
    <t>Base Charge Estimated Increase - Starting Point</t>
  </si>
  <si>
    <t>Dist Charge Estimated Increase - Starting Point</t>
  </si>
  <si>
    <t>Adjust Res Monthly Charge</t>
  </si>
  <si>
    <t>Adjust Firm Non-Res Monthly Charge</t>
  </si>
  <si>
    <t>Adjust G2, T3 &amp; T4 Monthly Charge</t>
  </si>
  <si>
    <t>Firm 1-300 Adjustment Factor</t>
  </si>
  <si>
    <t>Adjusted Value</t>
  </si>
  <si>
    <t>Undjusted Value</t>
  </si>
  <si>
    <t>Over / (Under) Collection</t>
  </si>
  <si>
    <t>Firm 301-15,000 Mcf &amp; Inter 1-15,000 Mcf Differential (Target ~$0.30)</t>
  </si>
  <si>
    <t>Other Gas Revenues (driven by Bsae Charge and Dist Charge revenue increases</t>
  </si>
  <si>
    <t>Other Revenues (Service Charges, Late Payment Fees)</t>
  </si>
  <si>
    <t>The basis for gas costs in both present and proposed rates is based on the Company's Gas Cost Adjustment for September  2024, approved by the Commission in Case 2024-00185:</t>
  </si>
  <si>
    <t>EXCLUDES PRP</t>
  </si>
  <si>
    <t>G1</t>
  </si>
  <si>
    <t>G2</t>
  </si>
  <si>
    <t>T3/T4</t>
  </si>
  <si>
    <t>Atmos Energy Corporation - Kentucky</t>
  </si>
  <si>
    <t>(NOAA 2004–2024)</t>
  </si>
  <si>
    <t>WEATHER ADJUSTMENT—BASE NOAA 2004–2024</t>
  </si>
  <si>
    <t>(WEATHER BASIS: NOAA DATA FOR 20 YEARS ENDING JUNE 2024)</t>
  </si>
  <si>
    <t>20 YR LAGGED Normal HDDs (2004 – 2024)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</si>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</sst>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#,##0.000"/>
    <numFmt numFmtId="167" formatCode="&quot;$&quot;#,##0.0000_);\(&quot;$&quot;#,##0.0000\)"/>
    <numFmt numFmtId="168" formatCode="0.00_)"/>
    <numFmt numFmtId="169" formatCode="0.0%"/>
    <numFmt numFmtId="170" formatCode="#,##0.0000_);\(#,##0.0000\)"/>
    <numFmt numFmtId="171" formatCode="&quot;$&quot;#,##0.00000_);\(&quot;$&quot;#,##0.00000\)"/>
    <numFmt numFmtId="172" formatCode="#,##0.000_);\(#,##0.000\)"/>
    <numFmt numFmtId="173" formatCode="0.0000"/>
    <numFmt numFmtId="174" formatCode="_(* #,##0.0000_);_(* \(#,##0.0000\);_(* &quot;-&quot;??_);_(@_)"/>
    <numFmt numFmtId="175" formatCode="_(&quot;$&quot;* #,##0_);_(&quot;$&quot;* \(#,##0\);_(&quot;$&quot;* &quot;-&quot;??_);_(@_)"/>
    <numFmt numFmtId="176" formatCode="&quot;$&quot;#,##0"/>
    <numFmt numFmtId="177" formatCode="#,##0.00000"/>
    <numFmt numFmtId="178" formatCode="0000"/>
    <numFmt numFmtId="179" formatCode="&quot;$&quot;#,##0.000_);\(&quot;$&quot;#,##0.000\)"/>
    <numFmt numFmtId="180" formatCode="_(* #,##0.000_);_(* \(#,##0.000\);_(* &quot;-&quot;??_);_(@_)"/>
    <numFmt numFmtId="181" formatCode="_(* #,##0.00000_);_(* \(#,##0.00000\);_(* &quot;-&quot;?????_);_(@_)"/>
    <numFmt numFmtId="182" formatCode="&quot;$&quot;#,##0.00"/>
    <numFmt numFmtId="183" formatCode="_(* #,##0.00_);_(* \(#,##0.00\);_(* &quot;-&quot;_);_(@_)"/>
    <numFmt numFmtId="184" formatCode="_(* #,##0.000_);_(* \(#,##0.000\);_(* &quot;-&quot;_);_(@_)"/>
    <numFmt numFmtId="185" formatCode="0.000"/>
    <numFmt numFmtId="186" formatCode="[$-409]d\-mmm\-yy;@"/>
    <numFmt numFmtId="187" formatCode="_(* #,##0.0_);_(* \(#,##0.0\);_(* &quot;-&quot;??_);_(@_)"/>
    <numFmt numFmtId="188" formatCode="_(&quot;$&quot;* #,##0.00000_);_(&quot;$&quot;* \(#,##0.00000\);_(&quot;$&quot;* &quot;-&quot;??_);_(@_)"/>
    <numFmt numFmtId="189" formatCode="_(&quot;$&quot;* #,##0.0000_);_(&quot;$&quot;* \(#,##0.0000\);_(&quot;$&quot;* &quot;-&quot;??_);_(@_)"/>
    <numFmt numFmtId="190" formatCode="#,##0.0_);\(#,##0.0\)"/>
    <numFmt numFmtId="191" formatCode="###,000"/>
    <numFmt numFmtId="192" formatCode="#,##0.0000_);[Red]\(#,##0.0000\)"/>
    <numFmt numFmtId="193" formatCode="&quot;$&quot;#,##0.0000"/>
    <numFmt numFmtId="194" formatCode="_(* #,##0.0000_);_(* \(#,##0.0000\);_(* &quot;-&quot;????_);_(@_)"/>
    <numFmt numFmtId="195" formatCode="&quot;$&quot;#,##0.00000"/>
    <numFmt numFmtId="196" formatCode="&quot;Customer &quot;\ 0"/>
  </numFmts>
  <fonts count="8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b/>
      <sz val="10"/>
      <name val="Arial Narrow"/>
      <family val="2"/>
    </font>
    <font>
      <u/>
      <sz val="10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Arial Narrow"/>
      <family val="2"/>
    </font>
    <font>
      <sz val="11"/>
      <color indexed="81"/>
      <name val="Tahoma"/>
      <family val="2"/>
    </font>
    <font>
      <sz val="12"/>
      <name val="Tms Rmn"/>
    </font>
    <font>
      <sz val="8"/>
      <name val="Courier"/>
      <family val="3"/>
    </font>
    <font>
      <sz val="10"/>
      <color indexed="9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name val="Arial Narrow"/>
      <family val="2"/>
    </font>
    <font>
      <sz val="10"/>
      <color indexed="10"/>
      <name val="Arial Narrow"/>
      <family val="2"/>
    </font>
    <font>
      <sz val="12"/>
      <color indexed="10"/>
      <name val="Arial Narrow"/>
      <family val="2"/>
    </font>
    <font>
      <b/>
      <sz val="10"/>
      <color rgb="FFFF0000"/>
      <name val="Arial Narrow"/>
      <family val="2"/>
    </font>
    <font>
      <sz val="8"/>
      <name val="Arial Narrow"/>
      <family val="2"/>
    </font>
    <font>
      <b/>
      <u/>
      <sz val="14"/>
      <name val="Arial Narrow"/>
      <family val="2"/>
    </font>
    <font>
      <sz val="14"/>
      <name val="Arial Narrow"/>
      <family val="2"/>
    </font>
    <font>
      <b/>
      <sz val="10"/>
      <color theme="0"/>
      <name val="Arial Narrow"/>
      <family val="2"/>
    </font>
    <font>
      <b/>
      <sz val="10"/>
      <color indexed="10"/>
      <name val="Arial Narrow"/>
      <family val="2"/>
    </font>
    <font>
      <sz val="12"/>
      <color indexed="8"/>
      <name val="Arial Narrow"/>
      <family val="2"/>
    </font>
    <font>
      <u/>
      <sz val="12"/>
      <color indexed="8"/>
      <name val="Arial Narrow"/>
      <family val="2"/>
    </font>
    <font>
      <b/>
      <sz val="14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18"/>
      <color rgb="FFFF0000"/>
      <name val="Arial Narrow"/>
      <family val="2"/>
    </font>
    <font>
      <sz val="10"/>
      <color rgb="FFFF0000"/>
      <name val="Arial"/>
      <family val="2"/>
    </font>
    <font>
      <b/>
      <u/>
      <sz val="11.5"/>
      <name val="Arial Narrow"/>
      <family val="2"/>
    </font>
    <font>
      <sz val="10"/>
      <color rgb="FF0000FF"/>
      <name val="Arial"/>
      <family val="2"/>
    </font>
    <font>
      <sz val="10"/>
      <color rgb="FF7030A0"/>
      <name val="Arial Narrow"/>
      <family val="2"/>
    </font>
    <font>
      <sz val="10"/>
      <color rgb="FF0000FF"/>
      <name val="Arial Narrow"/>
      <family val="2"/>
    </font>
    <font>
      <b/>
      <sz val="10"/>
      <color rgb="FF0000FF"/>
      <name val="Arial Narrow"/>
      <family val="2"/>
    </font>
    <font>
      <sz val="10"/>
      <color rgb="FF008000"/>
      <name val="Arial Narrow"/>
      <family val="2"/>
    </font>
    <font>
      <b/>
      <sz val="10"/>
      <name val="Arial"/>
      <family val="2"/>
    </font>
    <font>
      <b/>
      <i/>
      <sz val="8"/>
      <color rgb="FF0070C0"/>
      <name val="Arial"/>
      <family val="2"/>
    </font>
    <font>
      <b/>
      <sz val="10"/>
      <color rgb="FF0070C0"/>
      <name val="Arial"/>
      <family val="1"/>
      <charset val="2"/>
    </font>
    <font>
      <b/>
      <sz val="10"/>
      <color rgb="FF0070C0"/>
      <name val="Arial"/>
      <family val="2"/>
    </font>
    <font>
      <b/>
      <sz val="10"/>
      <color rgb="FF0070C0"/>
      <name val="Symbol"/>
      <family val="1"/>
      <charset val="2"/>
    </font>
    <font>
      <sz val="10"/>
      <name val="Arial Narrow"/>
      <family val="1"/>
      <charset val="2"/>
    </font>
    <font>
      <sz val="10"/>
      <name val="Symbol"/>
      <family val="1"/>
      <charset val="2"/>
    </font>
    <font>
      <b/>
      <i/>
      <sz val="9"/>
      <color rgb="FF0070C0"/>
      <name val="Arial Narrow"/>
      <family val="2"/>
    </font>
    <font>
      <i/>
      <sz val="9"/>
      <color rgb="FF0070C0"/>
      <name val="Arial Narrow"/>
      <family val="2"/>
    </font>
    <font>
      <sz val="10"/>
      <color rgb="FFFF0000"/>
      <name val="Arial Narrow"/>
      <family val="2"/>
    </font>
    <font>
      <sz val="10"/>
      <color theme="0" tint="-0.499984740745262"/>
      <name val="Arial Narrow"/>
      <family val="2"/>
    </font>
    <font>
      <i/>
      <sz val="10"/>
      <color rgb="FFFF0000"/>
      <name val="Arial Narrow"/>
      <family val="2"/>
    </font>
    <font>
      <i/>
      <u/>
      <sz val="8"/>
      <color rgb="FF0070C0"/>
      <name val="Arial"/>
      <family val="2"/>
    </font>
    <font>
      <i/>
      <u/>
      <sz val="8"/>
      <name val="Arial"/>
      <family val="2"/>
    </font>
    <font>
      <i/>
      <sz val="9"/>
      <name val="Arial Narrow"/>
      <family val="2"/>
    </font>
    <font>
      <i/>
      <sz val="8"/>
      <name val="Arial Narrow"/>
      <family val="2"/>
    </font>
    <font>
      <sz val="9"/>
      <color indexed="81"/>
      <name val="Tahoma"/>
      <family val="2"/>
    </font>
    <font>
      <u/>
      <sz val="10"/>
      <name val="Arial"/>
      <family val="2"/>
    </font>
    <font>
      <sz val="10"/>
      <color rgb="FFFF0000"/>
      <name val="Arial Narrow"/>
      <family val="1"/>
      <charset val="2"/>
    </font>
    <font>
      <b/>
      <sz val="8"/>
      <name val="Arial"/>
      <family val="2"/>
    </font>
    <font>
      <b/>
      <i/>
      <sz val="10"/>
      <color rgb="FFFF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4" fillId="0" borderId="0"/>
    <xf numFmtId="0" fontId="3" fillId="0" borderId="0"/>
    <xf numFmtId="0" fontId="7" fillId="0" borderId="0"/>
    <xf numFmtId="0" fontId="7" fillId="0" borderId="0"/>
    <xf numFmtId="0" fontId="6" fillId="0" borderId="0"/>
    <xf numFmtId="37" fontId="14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28" applyNumberFormat="0" applyFont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42" fillId="7" borderId="0" applyNumberFormat="0" applyBorder="0" applyAlignment="0" applyProtection="0"/>
    <xf numFmtId="0" fontId="43" fillId="8" borderId="0" applyNumberFormat="0" applyBorder="0" applyAlignment="0" applyProtection="0"/>
    <xf numFmtId="0" fontId="44" fillId="9" borderId="0" applyNumberFormat="0" applyBorder="0" applyAlignment="0" applyProtection="0"/>
    <xf numFmtId="0" fontId="45" fillId="10" borderId="24" applyNumberFormat="0" applyAlignment="0" applyProtection="0"/>
    <xf numFmtId="0" fontId="46" fillId="11" borderId="25" applyNumberFormat="0" applyAlignment="0" applyProtection="0"/>
    <xf numFmtId="0" fontId="47" fillId="11" borderId="24" applyNumberFormat="0" applyAlignment="0" applyProtection="0"/>
    <xf numFmtId="0" fontId="48" fillId="0" borderId="26" applyNumberFormat="0" applyFill="0" applyAlignment="0" applyProtection="0"/>
    <xf numFmtId="0" fontId="49" fillId="12" borderId="27" applyNumberFormat="0" applyAlignment="0" applyProtection="0"/>
    <xf numFmtId="0" fontId="3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7" fillId="0" borderId="29" applyNumberFormat="0" applyFill="0" applyAlignment="0" applyProtection="0"/>
    <xf numFmtId="0" fontId="5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51" fillId="37" borderId="0" applyNumberFormat="0" applyBorder="0" applyAlignment="0" applyProtection="0"/>
    <xf numFmtId="0" fontId="6" fillId="0" borderId="0"/>
    <xf numFmtId="0" fontId="52" fillId="38" borderId="30" applyNumberFormat="0" applyAlignment="0" applyProtection="0">
      <alignment horizontal="left" vertical="center" indent="1"/>
    </xf>
    <xf numFmtId="191" fontId="53" fillId="39" borderId="30" applyNumberFormat="0" applyAlignment="0" applyProtection="0">
      <alignment horizontal="left" vertical="center" indent="1"/>
    </xf>
    <xf numFmtId="191" fontId="53" fillId="0" borderId="31" applyNumberFormat="0" applyProtection="0">
      <alignment horizontal="right" vertical="center"/>
    </xf>
    <xf numFmtId="9" fontId="3" fillId="0" borderId="0" applyFont="0" applyFill="0" applyBorder="0" applyAlignment="0" applyProtection="0"/>
  </cellStyleXfs>
  <cellXfs count="707">
    <xf numFmtId="0" fontId="0" fillId="0" borderId="0" xfId="0"/>
    <xf numFmtId="14" fontId="0" fillId="0" borderId="0" xfId="0" applyNumberFormat="1"/>
    <xf numFmtId="0" fontId="4" fillId="0" borderId="0" xfId="6" applyFont="1"/>
    <xf numFmtId="5" fontId="4" fillId="0" borderId="0" xfId="6" applyNumberFormat="1" applyFont="1"/>
    <xf numFmtId="0" fontId="4" fillId="0" borderId="0" xfId="6" applyFont="1" applyAlignment="1">
      <alignment horizontal="center"/>
    </xf>
    <xf numFmtId="168" fontId="4" fillId="0" borderId="0" xfId="6" applyNumberFormat="1" applyFont="1" applyAlignment="1">
      <alignment horizontal="right"/>
    </xf>
    <xf numFmtId="37" fontId="4" fillId="0" borderId="0" xfId="6" applyNumberFormat="1" applyFont="1"/>
    <xf numFmtId="0" fontId="4" fillId="0" borderId="0" xfId="6" applyFont="1" applyAlignment="1">
      <alignment horizontal="left"/>
    </xf>
    <xf numFmtId="0" fontId="4" fillId="0" borderId="1" xfId="6" applyFont="1" applyBorder="1" applyAlignment="1">
      <alignment horizontal="left"/>
    </xf>
    <xf numFmtId="0" fontId="4" fillId="0" borderId="1" xfId="6" applyFont="1" applyBorder="1"/>
    <xf numFmtId="0" fontId="4" fillId="0" borderId="1" xfId="6" applyFont="1" applyBorder="1" applyAlignment="1">
      <alignment horizontal="center"/>
    </xf>
    <xf numFmtId="7" fontId="4" fillId="0" borderId="0" xfId="6" applyNumberFormat="1" applyFont="1"/>
    <xf numFmtId="174" fontId="4" fillId="0" borderId="0" xfId="1" applyNumberFormat="1" applyFont="1" applyFill="1" applyProtection="1"/>
    <xf numFmtId="170" fontId="4" fillId="0" borderId="0" xfId="6" applyNumberFormat="1" applyFont="1"/>
    <xf numFmtId="0" fontId="4" fillId="0" borderId="0" xfId="6" applyFont="1" applyAlignment="1">
      <alignment horizontal="centerContinuous"/>
    </xf>
    <xf numFmtId="5" fontId="4" fillId="0" borderId="0" xfId="6" applyNumberFormat="1" applyFont="1" applyAlignment="1">
      <alignment horizontal="centerContinuous"/>
    </xf>
    <xf numFmtId="10" fontId="4" fillId="0" borderId="0" xfId="6" applyNumberFormat="1" applyFont="1" applyAlignment="1">
      <alignment horizontal="centerContinuous"/>
    </xf>
    <xf numFmtId="167" fontId="4" fillId="0" borderId="0" xfId="6" applyNumberFormat="1" applyFont="1"/>
    <xf numFmtId="0" fontId="8" fillId="0" borderId="0" xfId="6" applyFont="1"/>
    <xf numFmtId="164" fontId="4" fillId="0" borderId="0" xfId="1" applyNumberFormat="1" applyFont="1" applyFill="1" applyBorder="1" applyProtection="1"/>
    <xf numFmtId="37" fontId="4" fillId="0" borderId="2" xfId="6" applyNumberFormat="1" applyFont="1" applyBorder="1"/>
    <xf numFmtId="0" fontId="4" fillId="0" borderId="2" xfId="6" applyFont="1" applyBorder="1"/>
    <xf numFmtId="164" fontId="4" fillId="0" borderId="0" xfId="1" applyNumberFormat="1" applyFont="1"/>
    <xf numFmtId="0" fontId="9" fillId="0" borderId="0" xfId="6" applyFont="1"/>
    <xf numFmtId="164" fontId="4" fillId="0" borderId="0" xfId="1" applyNumberFormat="1" applyFont="1" applyFill="1" applyBorder="1" applyAlignment="1">
      <alignment horizontal="center"/>
    </xf>
    <xf numFmtId="0" fontId="4" fillId="0" borderId="0" xfId="6" quotePrefix="1" applyFont="1"/>
    <xf numFmtId="0" fontId="4" fillId="0" borderId="0" xfId="0" applyFont="1"/>
    <xf numFmtId="164" fontId="4" fillId="0" borderId="0" xfId="6" applyNumberFormat="1" applyFont="1"/>
    <xf numFmtId="164" fontId="4" fillId="0" borderId="0" xfId="1" applyNumberFormat="1" applyFont="1" applyFill="1" applyBorder="1"/>
    <xf numFmtId="164" fontId="4" fillId="0" borderId="0" xfId="1" applyNumberFormat="1" applyFont="1" applyFill="1"/>
    <xf numFmtId="164" fontId="4" fillId="0" borderId="0" xfId="1" applyNumberFormat="1" applyFont="1" applyBorder="1"/>
    <xf numFmtId="37" fontId="4" fillId="0" borderId="0" xfId="1" applyNumberFormat="1" applyFont="1" applyFill="1" applyBorder="1"/>
    <xf numFmtId="174" fontId="4" fillId="0" borderId="0" xfId="1" applyNumberFormat="1" applyFont="1" applyFill="1" applyBorder="1" applyProtection="1"/>
    <xf numFmtId="164" fontId="12" fillId="0" borderId="0" xfId="1" applyNumberFormat="1" applyFont="1" applyFill="1"/>
    <xf numFmtId="37" fontId="8" fillId="0" borderId="0" xfId="6" applyNumberFormat="1" applyFont="1" applyAlignment="1">
      <alignment horizontal="center"/>
    </xf>
    <xf numFmtId="165" fontId="4" fillId="0" borderId="1" xfId="6" applyNumberFormat="1" applyFont="1" applyBorder="1" applyAlignment="1">
      <alignment horizontal="center"/>
    </xf>
    <xf numFmtId="3" fontId="4" fillId="0" borderId="0" xfId="6" applyNumberFormat="1" applyFont="1"/>
    <xf numFmtId="170" fontId="4" fillId="0" borderId="0" xfId="6" applyNumberFormat="1" applyFont="1" applyAlignment="1">
      <alignment horizontal="right"/>
    </xf>
    <xf numFmtId="37" fontId="4" fillId="0" borderId="0" xfId="6" applyNumberFormat="1" applyFont="1" applyAlignment="1">
      <alignment horizontal="right"/>
    </xf>
    <xf numFmtId="5" fontId="4" fillId="0" borderId="0" xfId="6" applyNumberFormat="1" applyFont="1" applyAlignment="1">
      <alignment horizontal="right"/>
    </xf>
    <xf numFmtId="43" fontId="4" fillId="0" borderId="0" xfId="1" applyFont="1" applyFill="1" applyAlignment="1" applyProtection="1">
      <alignment horizontal="centerContinuous"/>
    </xf>
    <xf numFmtId="10" fontId="4" fillId="0" borderId="0" xfId="9" applyNumberFormat="1" applyFont="1" applyFill="1" applyBorder="1"/>
    <xf numFmtId="0" fontId="4" fillId="0" borderId="0" xfId="6" quotePrefix="1" applyFont="1" applyAlignment="1">
      <alignment horizontal="center"/>
    </xf>
    <xf numFmtId="1" fontId="4" fillId="0" borderId="0" xfId="6" applyNumberFormat="1" applyFont="1"/>
    <xf numFmtId="43" fontId="4" fillId="0" borderId="0" xfId="6" applyNumberFormat="1" applyFont="1"/>
    <xf numFmtId="43" fontId="4" fillId="0" borderId="0" xfId="0" applyNumberFormat="1" applyFont="1"/>
    <xf numFmtId="0" fontId="4" fillId="0" borderId="2" xfId="0" applyFont="1" applyBorder="1"/>
    <xf numFmtId="170" fontId="4" fillId="0" borderId="2" xfId="6" applyNumberFormat="1" applyFont="1" applyBorder="1"/>
    <xf numFmtId="49" fontId="4" fillId="0" borderId="0" xfId="6" quotePrefix="1" applyNumberFormat="1" applyFont="1" applyAlignment="1">
      <alignment horizontal="center"/>
    </xf>
    <xf numFmtId="49" fontId="4" fillId="0" borderId="0" xfId="6" applyNumberFormat="1" applyFont="1" applyAlignment="1">
      <alignment horizontal="center"/>
    </xf>
    <xf numFmtId="176" fontId="4" fillId="0" borderId="0" xfId="2" applyNumberFormat="1" applyFont="1" applyFill="1" applyBorder="1"/>
    <xf numFmtId="176" fontId="16" fillId="0" borderId="0" xfId="2" applyNumberFormat="1" applyFont="1" applyFill="1" applyBorder="1"/>
    <xf numFmtId="0" fontId="16" fillId="0" borderId="0" xfId="6" applyFont="1"/>
    <xf numFmtId="37" fontId="9" fillId="0" borderId="0" xfId="6" applyNumberFormat="1" applyFont="1"/>
    <xf numFmtId="37" fontId="4" fillId="0" borderId="0" xfId="6" applyNumberFormat="1" applyFont="1" applyAlignment="1">
      <alignment horizontal="center"/>
    </xf>
    <xf numFmtId="0" fontId="17" fillId="0" borderId="0" xfId="3" applyFont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7" fillId="0" borderId="1" xfId="3" applyFont="1" applyBorder="1" applyAlignment="1">
      <alignment horizontal="center"/>
    </xf>
    <xf numFmtId="0" fontId="17" fillId="0" borderId="3" xfId="3" applyFont="1" applyBorder="1" applyAlignment="1">
      <alignment horizontal="center"/>
    </xf>
    <xf numFmtId="0" fontId="17" fillId="0" borderId="0" xfId="3" quotePrefix="1" applyFont="1" applyAlignment="1">
      <alignment horizontal="center"/>
    </xf>
    <xf numFmtId="37" fontId="17" fillId="0" borderId="0" xfId="3" applyNumberFormat="1" applyFont="1"/>
    <xf numFmtId="164" fontId="17" fillId="0" borderId="0" xfId="1" applyNumberFormat="1" applyFont="1"/>
    <xf numFmtId="37" fontId="17" fillId="0" borderId="3" xfId="3" applyNumberFormat="1" applyFont="1" applyBorder="1"/>
    <xf numFmtId="164" fontId="17" fillId="0" borderId="0" xfId="1" applyNumberFormat="1" applyFont="1" applyBorder="1"/>
    <xf numFmtId="164" fontId="17" fillId="0" borderId="0" xfId="3" applyNumberFormat="1" applyFont="1"/>
    <xf numFmtId="37" fontId="16" fillId="0" borderId="0" xfId="6" applyNumberFormat="1" applyFont="1"/>
    <xf numFmtId="37" fontId="16" fillId="0" borderId="0" xfId="6" applyNumberFormat="1" applyFont="1" applyAlignment="1">
      <alignment horizontal="right"/>
    </xf>
    <xf numFmtId="164" fontId="16" fillId="0" borderId="0" xfId="1" applyNumberFormat="1" applyFont="1" applyFill="1" applyBorder="1"/>
    <xf numFmtId="165" fontId="16" fillId="0" borderId="0" xfId="6" applyNumberFormat="1" applyFont="1" applyAlignment="1">
      <alignment horizontal="center"/>
    </xf>
    <xf numFmtId="49" fontId="16" fillId="0" borderId="0" xfId="6" applyNumberFormat="1" applyFont="1" applyAlignment="1">
      <alignment horizontal="center"/>
    </xf>
    <xf numFmtId="3" fontId="16" fillId="0" borderId="0" xfId="6" applyNumberFormat="1" applyFont="1"/>
    <xf numFmtId="2" fontId="4" fillId="0" borderId="0" xfId="6" applyNumberFormat="1" applyFont="1"/>
    <xf numFmtId="2" fontId="4" fillId="0" borderId="2" xfId="6" applyNumberFormat="1" applyFont="1" applyBorder="1"/>
    <xf numFmtId="5" fontId="4" fillId="0" borderId="0" xfId="2" applyNumberFormat="1" applyFont="1" applyFill="1" applyBorder="1"/>
    <xf numFmtId="0" fontId="4" fillId="0" borderId="10" xfId="6" applyFont="1" applyBorder="1"/>
    <xf numFmtId="5" fontId="20" fillId="0" borderId="0" xfId="6" applyNumberFormat="1" applyFont="1" applyAlignment="1">
      <alignment horizontal="centerContinuous"/>
    </xf>
    <xf numFmtId="176" fontId="4" fillId="0" borderId="0" xfId="6" applyNumberFormat="1" applyFont="1"/>
    <xf numFmtId="37" fontId="21" fillId="0" borderId="0" xfId="3" applyNumberFormat="1" applyFont="1"/>
    <xf numFmtId="5" fontId="17" fillId="0" borderId="0" xfId="3" applyNumberFormat="1" applyFont="1"/>
    <xf numFmtId="164" fontId="17" fillId="0" borderId="0" xfId="1" applyNumberFormat="1" applyFont="1" applyFill="1" applyProtection="1"/>
    <xf numFmtId="164" fontId="4" fillId="0" borderId="0" xfId="0" applyNumberFormat="1" applyFont="1"/>
    <xf numFmtId="0" fontId="9" fillId="0" borderId="0" xfId="6" quotePrefix="1" applyFont="1"/>
    <xf numFmtId="10" fontId="4" fillId="0" borderId="0" xfId="9" applyNumberFormat="1" applyFont="1"/>
    <xf numFmtId="0" fontId="4" fillId="0" borderId="0" xfId="6" applyFont="1" applyAlignment="1">
      <alignment horizontal="center" wrapText="1"/>
    </xf>
    <xf numFmtId="0" fontId="4" fillId="3" borderId="0" xfId="6" applyFont="1" applyFill="1" applyAlignment="1">
      <alignment horizontal="center"/>
    </xf>
    <xf numFmtId="7" fontId="4" fillId="3" borderId="0" xfId="6" applyNumberFormat="1" applyFont="1" applyFill="1"/>
    <xf numFmtId="37" fontId="4" fillId="3" borderId="0" xfId="6" applyNumberFormat="1" applyFont="1" applyFill="1"/>
    <xf numFmtId="0" fontId="9" fillId="0" borderId="0" xfId="0" applyFont="1"/>
    <xf numFmtId="174" fontId="4" fillId="3" borderId="0" xfId="1" applyNumberFormat="1" applyFont="1" applyFill="1" applyProtection="1"/>
    <xf numFmtId="170" fontId="4" fillId="3" borderId="0" xfId="6" applyNumberFormat="1" applyFont="1" applyFill="1" applyAlignment="1">
      <alignment horizontal="center"/>
    </xf>
    <xf numFmtId="7" fontId="4" fillId="0" borderId="0" xfId="6" applyNumberFormat="1" applyFont="1" applyAlignment="1">
      <alignment horizontal="right"/>
    </xf>
    <xf numFmtId="37" fontId="17" fillId="0" borderId="0" xfId="1" applyNumberFormat="1" applyFont="1" applyFill="1"/>
    <xf numFmtId="0" fontId="4" fillId="0" borderId="3" xfId="6" applyFont="1" applyBorder="1" applyAlignment="1">
      <alignment horizontal="center" wrapText="1"/>
    </xf>
    <xf numFmtId="175" fontId="4" fillId="0" borderId="0" xfId="2" applyNumberFormat="1" applyFont="1" applyFill="1"/>
    <xf numFmtId="175" fontId="17" fillId="0" borderId="0" xfId="2" applyNumberFormat="1" applyFont="1" applyBorder="1" applyProtection="1"/>
    <xf numFmtId="0" fontId="22" fillId="0" borderId="0" xfId="6" applyFont="1"/>
    <xf numFmtId="0" fontId="22" fillId="0" borderId="0" xfId="6" applyFont="1" applyAlignment="1">
      <alignment horizontal="left"/>
    </xf>
    <xf numFmtId="37" fontId="4" fillId="0" borderId="0" xfId="0" applyNumberFormat="1" applyFont="1"/>
    <xf numFmtId="39" fontId="4" fillId="0" borderId="0" xfId="0" applyNumberFormat="1" applyFont="1"/>
    <xf numFmtId="3" fontId="4" fillId="0" borderId="0" xfId="0" applyNumberFormat="1" applyFont="1"/>
    <xf numFmtId="17" fontId="4" fillId="0" borderId="0" xfId="8" applyNumberFormat="1" applyFont="1"/>
    <xf numFmtId="17" fontId="4" fillId="0" borderId="0" xfId="8" applyNumberFormat="1" applyFont="1" applyAlignment="1">
      <alignment horizontal="center"/>
    </xf>
    <xf numFmtId="9" fontId="4" fillId="0" borderId="0" xfId="9" applyFont="1" applyFill="1" applyProtection="1"/>
    <xf numFmtId="167" fontId="4" fillId="0" borderId="0" xfId="4" applyNumberFormat="1" applyFont="1"/>
    <xf numFmtId="0" fontId="23" fillId="0" borderId="0" xfId="4" applyFont="1"/>
    <xf numFmtId="0" fontId="4" fillId="0" borderId="0" xfId="4" applyFont="1"/>
    <xf numFmtId="41" fontId="4" fillId="0" borderId="0" xfId="4" applyNumberFormat="1" applyFont="1"/>
    <xf numFmtId="164" fontId="4" fillId="0" borderId="0" xfId="4" applyNumberFormat="1" applyFont="1"/>
    <xf numFmtId="0" fontId="24" fillId="0" borderId="0" xfId="4" applyFont="1"/>
    <xf numFmtId="176" fontId="4" fillId="0" borderId="0" xfId="2" applyNumberFormat="1" applyFont="1"/>
    <xf numFmtId="5" fontId="4" fillId="0" borderId="0" xfId="2" applyNumberFormat="1" applyFont="1"/>
    <xf numFmtId="174" fontId="4" fillId="0" borderId="0" xfId="4" applyNumberFormat="1" applyFont="1"/>
    <xf numFmtId="184" fontId="4" fillId="0" borderId="0" xfId="4" applyNumberFormat="1" applyFont="1"/>
    <xf numFmtId="182" fontId="4" fillId="0" borderId="0" xfId="4" applyNumberFormat="1" applyFont="1"/>
    <xf numFmtId="0" fontId="4" fillId="0" borderId="0" xfId="4" quotePrefix="1" applyFont="1"/>
    <xf numFmtId="43" fontId="4" fillId="0" borderId="0" xfId="4" applyNumberFormat="1" applyFont="1"/>
    <xf numFmtId="180" fontId="4" fillId="0" borderId="0" xfId="4" applyNumberFormat="1" applyFont="1"/>
    <xf numFmtId="37" fontId="18" fillId="0" borderId="0" xfId="8" applyFont="1"/>
    <xf numFmtId="37" fontId="17" fillId="0" borderId="0" xfId="8" applyFont="1"/>
    <xf numFmtId="0" fontId="4" fillId="0" borderId="3" xfId="0" applyFont="1" applyBorder="1"/>
    <xf numFmtId="0" fontId="4" fillId="0" borderId="0" xfId="5" applyFont="1"/>
    <xf numFmtId="0" fontId="17" fillId="0" borderId="0" xfId="5" applyFont="1"/>
    <xf numFmtId="0" fontId="8" fillId="0" borderId="0" xfId="5" applyFont="1"/>
    <xf numFmtId="37" fontId="4" fillId="0" borderId="0" xfId="5" applyNumberFormat="1" applyFont="1"/>
    <xf numFmtId="37" fontId="4" fillId="0" borderId="0" xfId="5" applyNumberFormat="1" applyFont="1" applyAlignment="1">
      <alignment horizontal="center"/>
    </xf>
    <xf numFmtId="171" fontId="4" fillId="0" borderId="0" xfId="5" applyNumberFormat="1" applyFont="1"/>
    <xf numFmtId="7" fontId="8" fillId="0" borderId="0" xfId="5" applyNumberFormat="1" applyFont="1"/>
    <xf numFmtId="0" fontId="4" fillId="0" borderId="0" xfId="5" applyFont="1" applyAlignment="1">
      <alignment horizontal="center"/>
    </xf>
    <xf numFmtId="5" fontId="4" fillId="0" borderId="0" xfId="5" applyNumberFormat="1" applyFont="1"/>
    <xf numFmtId="168" fontId="4" fillId="0" borderId="0" xfId="5" applyNumberFormat="1" applyFont="1" applyAlignment="1">
      <alignment horizontal="right"/>
    </xf>
    <xf numFmtId="10" fontId="4" fillId="0" borderId="0" xfId="5" applyNumberFormat="1" applyFont="1"/>
    <xf numFmtId="0" fontId="4" fillId="0" borderId="0" xfId="5" quotePrefix="1" applyFont="1" applyAlignment="1">
      <alignment horizontal="center"/>
    </xf>
    <xf numFmtId="37" fontId="8" fillId="0" borderId="0" xfId="5" applyNumberFormat="1" applyFont="1"/>
    <xf numFmtId="0" fontId="4" fillId="0" borderId="1" xfId="5" applyFont="1" applyBorder="1" applyAlignment="1">
      <alignment horizontal="center"/>
    </xf>
    <xf numFmtId="0" fontId="4" fillId="0" borderId="3" xfId="5" applyFont="1" applyBorder="1"/>
    <xf numFmtId="170" fontId="4" fillId="0" borderId="0" xfId="5" applyNumberFormat="1" applyFont="1"/>
    <xf numFmtId="0" fontId="4" fillId="0" borderId="3" xfId="5" applyFont="1" applyBorder="1" applyAlignment="1">
      <alignment horizontal="center"/>
    </xf>
    <xf numFmtId="37" fontId="17" fillId="0" borderId="0" xfId="5" applyNumberFormat="1" applyFont="1"/>
    <xf numFmtId="175" fontId="4" fillId="0" borderId="0" xfId="2" applyNumberFormat="1" applyFont="1" applyFill="1" applyProtection="1"/>
    <xf numFmtId="0" fontId="4" fillId="0" borderId="7" xfId="5" applyFont="1" applyBorder="1" applyAlignment="1">
      <alignment horizontal="center"/>
    </xf>
    <xf numFmtId="39" fontId="4" fillId="0" borderId="0" xfId="5" applyNumberFormat="1" applyFont="1"/>
    <xf numFmtId="0" fontId="17" fillId="0" borderId="8" xfId="5" applyFont="1" applyBorder="1"/>
    <xf numFmtId="43" fontId="8" fillId="0" borderId="0" xfId="1" applyFont="1" applyFill="1" applyProtection="1"/>
    <xf numFmtId="37" fontId="4" fillId="0" borderId="8" xfId="5" applyNumberFormat="1" applyFont="1" applyBorder="1"/>
    <xf numFmtId="43" fontId="26" fillId="0" borderId="0" xfId="1" applyFont="1" applyFill="1" applyProtection="1"/>
    <xf numFmtId="164" fontId="17" fillId="0" borderId="0" xfId="5" applyNumberFormat="1" applyFont="1"/>
    <xf numFmtId="0" fontId="17" fillId="0" borderId="3" xfId="5" applyFont="1" applyBorder="1"/>
    <xf numFmtId="0" fontId="4" fillId="0" borderId="5" xfId="5" applyFont="1" applyBorder="1"/>
    <xf numFmtId="0" fontId="4" fillId="0" borderId="5" xfId="5" applyFont="1" applyBorder="1" applyAlignment="1">
      <alignment horizontal="center"/>
    </xf>
    <xf numFmtId="0" fontId="17" fillId="0" borderId="5" xfId="5" applyFont="1" applyBorder="1"/>
    <xf numFmtId="0" fontId="4" fillId="0" borderId="5" xfId="5" applyFont="1" applyBorder="1" applyAlignment="1">
      <alignment horizontal="right"/>
    </xf>
    <xf numFmtId="164" fontId="4" fillId="0" borderId="5" xfId="1" applyNumberFormat="1" applyFont="1" applyFill="1" applyBorder="1" applyProtection="1"/>
    <xf numFmtId="0" fontId="9" fillId="0" borderId="0" xfId="5" applyFont="1"/>
    <xf numFmtId="0" fontId="9" fillId="0" borderId="0" xfId="5" applyFont="1" applyAlignment="1">
      <alignment horizontal="center"/>
    </xf>
    <xf numFmtId="164" fontId="20" fillId="0" borderId="0" xfId="1" applyNumberFormat="1" applyFont="1" applyFill="1" applyBorder="1"/>
    <xf numFmtId="175" fontId="4" fillId="0" borderId="0" xfId="2" applyNumberFormat="1" applyFont="1" applyFill="1" applyBorder="1"/>
    <xf numFmtId="164" fontId="4" fillId="0" borderId="0" xfId="5" applyNumberFormat="1" applyFont="1"/>
    <xf numFmtId="43" fontId="4" fillId="0" borderId="0" xfId="1" applyFont="1"/>
    <xf numFmtId="10" fontId="4" fillId="0" borderId="0" xfId="9" applyNumberFormat="1" applyFont="1" applyBorder="1"/>
    <xf numFmtId="9" fontId="17" fillId="0" borderId="0" xfId="9" applyFont="1"/>
    <xf numFmtId="169" fontId="4" fillId="0" borderId="0" xfId="9" applyNumberFormat="1" applyFont="1" applyFill="1" applyBorder="1"/>
    <xf numFmtId="43" fontId="4" fillId="0" borderId="0" xfId="1" applyFont="1" applyFill="1"/>
    <xf numFmtId="10" fontId="17" fillId="0" borderId="0" xfId="9" applyNumberFormat="1" applyFont="1" applyBorder="1"/>
    <xf numFmtId="2" fontId="4" fillId="0" borderId="0" xfId="5" applyNumberFormat="1" applyFont="1" applyAlignment="1">
      <alignment horizontal="center"/>
    </xf>
    <xf numFmtId="0" fontId="9" fillId="0" borderId="0" xfId="5" quotePrefix="1" applyFont="1" applyAlignment="1">
      <alignment horizontal="right"/>
    </xf>
    <xf numFmtId="168" fontId="9" fillId="0" borderId="0" xfId="5" quotePrefix="1" applyNumberFormat="1" applyFont="1" applyAlignment="1">
      <alignment horizontal="right"/>
    </xf>
    <xf numFmtId="174" fontId="4" fillId="0" borderId="0" xfId="1" applyNumberFormat="1" applyFont="1" applyFill="1" applyBorder="1"/>
    <xf numFmtId="43" fontId="4" fillId="0" borderId="0" xfId="5" applyNumberFormat="1" applyFont="1"/>
    <xf numFmtId="180" fontId="17" fillId="0" borderId="0" xfId="3" applyNumberFormat="1" applyFont="1"/>
    <xf numFmtId="164" fontId="21" fillId="0" borderId="0" xfId="3" applyNumberFormat="1" applyFont="1"/>
    <xf numFmtId="164" fontId="17" fillId="0" borderId="3" xfId="1" applyNumberFormat="1" applyFont="1" applyBorder="1"/>
    <xf numFmtId="0" fontId="18" fillId="0" borderId="0" xfId="3" applyFont="1" applyAlignment="1">
      <alignment horizontal="center"/>
    </xf>
    <xf numFmtId="0" fontId="19" fillId="0" borderId="0" xfId="3" applyFont="1"/>
    <xf numFmtId="0" fontId="18" fillId="0" borderId="0" xfId="3" applyFont="1"/>
    <xf numFmtId="37" fontId="17" fillId="0" borderId="0" xfId="2" applyNumberFormat="1" applyFont="1" applyFill="1"/>
    <xf numFmtId="5" fontId="17" fillId="0" borderId="0" xfId="2" applyNumberFormat="1" applyFont="1" applyFill="1"/>
    <xf numFmtId="164" fontId="17" fillId="0" borderId="0" xfId="1" applyNumberFormat="1" applyFont="1" applyFill="1"/>
    <xf numFmtId="164" fontId="17" fillId="0" borderId="3" xfId="1" quotePrefix="1" applyNumberFormat="1" applyFont="1" applyBorder="1" applyAlignment="1">
      <alignment horizontal="center"/>
    </xf>
    <xf numFmtId="0" fontId="17" fillId="0" borderId="3" xfId="3" quotePrefix="1" applyFont="1" applyBorder="1" applyAlignment="1">
      <alignment horizontal="center"/>
    </xf>
    <xf numFmtId="0" fontId="17" fillId="0" borderId="3" xfId="3" applyFont="1" applyBorder="1"/>
    <xf numFmtId="5" fontId="4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0" fontId="28" fillId="0" borderId="0" xfId="0" applyFont="1" applyAlignment="1" applyProtection="1">
      <alignment horizontal="left" indent="2"/>
      <protection locked="0"/>
    </xf>
    <xf numFmtId="0" fontId="28" fillId="0" borderId="0" xfId="0" applyFont="1" applyAlignment="1" applyProtection="1">
      <alignment horizontal="left"/>
      <protection locked="0"/>
    </xf>
    <xf numFmtId="0" fontId="29" fillId="0" borderId="0" xfId="0" applyFont="1" applyAlignment="1" applyProtection="1">
      <alignment horizontal="left"/>
      <protection locked="0"/>
    </xf>
    <xf numFmtId="0" fontId="28" fillId="0" borderId="0" xfId="0" applyFont="1"/>
    <xf numFmtId="5" fontId="4" fillId="0" borderId="0" xfId="1" applyNumberFormat="1" applyFont="1" applyFill="1"/>
    <xf numFmtId="0" fontId="30" fillId="0" borderId="0" xfId="0" applyFont="1"/>
    <xf numFmtId="5" fontId="4" fillId="0" borderId="0" xfId="1" applyNumberFormat="1" applyFont="1"/>
    <xf numFmtId="0" fontId="22" fillId="0" borderId="0" xfId="4" applyFont="1"/>
    <xf numFmtId="0" fontId="22" fillId="0" borderId="0" xfId="6" applyFont="1" applyAlignment="1">
      <alignment horizontal="right"/>
    </xf>
    <xf numFmtId="0" fontId="31" fillId="0" borderId="0" xfId="5" applyFont="1"/>
    <xf numFmtId="0" fontId="32" fillId="0" borderId="5" xfId="7" applyFont="1" applyBorder="1" applyAlignment="1">
      <alignment vertical="top" wrapText="1"/>
    </xf>
    <xf numFmtId="0" fontId="32" fillId="0" borderId="5" xfId="7" applyFont="1" applyBorder="1" applyAlignment="1">
      <alignment horizontal="center" vertical="top"/>
    </xf>
    <xf numFmtId="0" fontId="32" fillId="0" borderId="5" xfId="7" applyFont="1" applyBorder="1" applyAlignment="1">
      <alignment horizontal="center" vertical="top" wrapText="1"/>
    </xf>
    <xf numFmtId="0" fontId="33" fillId="0" borderId="0" xfId="11" applyFont="1"/>
    <xf numFmtId="0" fontId="32" fillId="0" borderId="0" xfId="7" applyFont="1" applyAlignment="1">
      <alignment horizontal="center" vertical="top"/>
    </xf>
    <xf numFmtId="0" fontId="32" fillId="0" borderId="0" xfId="7" applyFont="1" applyAlignment="1">
      <alignment vertical="top" wrapText="1"/>
    </xf>
    <xf numFmtId="0" fontId="32" fillId="0" borderId="0" xfId="7" applyFont="1" applyAlignment="1">
      <alignment horizontal="center" vertical="top" wrapText="1"/>
    </xf>
    <xf numFmtId="37" fontId="32" fillId="0" borderId="0" xfId="10" applyNumberFormat="1" applyFont="1" applyBorder="1" applyAlignment="1">
      <alignment horizontal="center" vertical="top"/>
    </xf>
    <xf numFmtId="0" fontId="33" fillId="0" borderId="0" xfId="11" applyFont="1" applyAlignment="1">
      <alignment horizontal="center"/>
    </xf>
    <xf numFmtId="164" fontId="33" fillId="0" borderId="0" xfId="10" applyNumberFormat="1" applyFont="1"/>
    <xf numFmtId="0" fontId="34" fillId="0" borderId="0" xfId="11" applyFont="1"/>
    <xf numFmtId="43" fontId="33" fillId="0" borderId="0" xfId="10" applyFont="1"/>
    <xf numFmtId="0" fontId="6" fillId="0" borderId="0" xfId="11" applyFont="1" applyAlignment="1">
      <alignment vertical="top" wrapText="1"/>
    </xf>
    <xf numFmtId="180" fontId="4" fillId="0" borderId="0" xfId="1" applyNumberFormat="1" applyFont="1" applyFill="1"/>
    <xf numFmtId="0" fontId="35" fillId="0" borderId="0" xfId="0" applyFont="1"/>
    <xf numFmtId="0" fontId="17" fillId="0" borderId="0" xfId="5" applyFont="1" applyAlignment="1">
      <alignment horizontal="right"/>
    </xf>
    <xf numFmtId="43" fontId="4" fillId="0" borderId="0" xfId="1" applyFont="1" applyFill="1" applyBorder="1" applyProtection="1"/>
    <xf numFmtId="172" fontId="4" fillId="0" borderId="0" xfId="6" applyNumberFormat="1" applyFont="1"/>
    <xf numFmtId="167" fontId="4" fillId="0" borderId="0" xfId="5" applyNumberFormat="1" applyFont="1"/>
    <xf numFmtId="37" fontId="4" fillId="0" borderId="6" xfId="6" applyNumberFormat="1" applyFont="1" applyBorder="1"/>
    <xf numFmtId="7" fontId="8" fillId="0" borderId="0" xfId="1" applyNumberFormat="1" applyFont="1" applyFill="1" applyProtection="1"/>
    <xf numFmtId="0" fontId="17" fillId="0" borderId="5" xfId="3" applyFont="1" applyBorder="1"/>
    <xf numFmtId="0" fontId="17" fillId="0" borderId="5" xfId="3" applyFont="1" applyBorder="1" applyAlignment="1">
      <alignment horizontal="center"/>
    </xf>
    <xf numFmtId="0" fontId="17" fillId="0" borderId="1" xfId="3" quotePrefix="1" applyFont="1" applyBorder="1" applyAlignment="1">
      <alignment horizontal="center"/>
    </xf>
    <xf numFmtId="37" fontId="18" fillId="0" borderId="0" xfId="3" applyNumberFormat="1" applyFont="1"/>
    <xf numFmtId="0" fontId="21" fillId="0" borderId="0" xfId="3" applyFont="1"/>
    <xf numFmtId="0" fontId="21" fillId="0" borderId="0" xfId="3" applyFont="1" applyAlignment="1">
      <alignment horizontal="center"/>
    </xf>
    <xf numFmtId="170" fontId="21" fillId="0" borderId="0" xfId="3" applyNumberFormat="1" applyFont="1"/>
    <xf numFmtId="37" fontId="17" fillId="0" borderId="1" xfId="3" applyNumberFormat="1" applyFont="1" applyBorder="1"/>
    <xf numFmtId="0" fontId="17" fillId="0" borderId="1" xfId="3" applyFont="1" applyBorder="1"/>
    <xf numFmtId="164" fontId="17" fillId="0" borderId="4" xfId="1" applyNumberFormat="1" applyFont="1" applyFill="1" applyBorder="1"/>
    <xf numFmtId="164" fontId="17" fillId="0" borderId="0" xfId="1" applyNumberFormat="1" applyFont="1" applyFill="1" applyBorder="1"/>
    <xf numFmtId="0" fontId="4" fillId="0" borderId="0" xfId="3" applyFont="1"/>
    <xf numFmtId="0" fontId="17" fillId="0" borderId="0" xfId="3" quotePrefix="1" applyFont="1"/>
    <xf numFmtId="0" fontId="4" fillId="0" borderId="0" xfId="0" applyFont="1" applyAlignment="1">
      <alignment horizontal="right"/>
    </xf>
    <xf numFmtId="0" fontId="17" fillId="0" borderId="0" xfId="0" applyFont="1"/>
    <xf numFmtId="164" fontId="17" fillId="0" borderId="0" xfId="0" applyNumberFormat="1" applyFont="1"/>
    <xf numFmtId="0" fontId="4" fillId="0" borderId="3" xfId="0" applyFont="1" applyBorder="1" applyAlignment="1">
      <alignment horizontal="center"/>
    </xf>
    <xf numFmtId="17" fontId="4" fillId="0" borderId="0" xfId="0" applyNumberFormat="1" applyFont="1"/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164" fontId="4" fillId="0" borderId="2" xfId="0" applyNumberFormat="1" applyFont="1" applyBorder="1"/>
    <xf numFmtId="164" fontId="21" fillId="0" borderId="0" xfId="1" applyNumberFormat="1" applyFont="1" applyFill="1" applyProtection="1"/>
    <xf numFmtId="43" fontId="17" fillId="0" borderId="0" xfId="3" applyNumberFormat="1" applyFont="1"/>
    <xf numFmtId="0" fontId="4" fillId="0" borderId="0" xfId="5" applyFont="1" applyAlignment="1">
      <alignment horizontal="centerContinuous"/>
    </xf>
    <xf numFmtId="185" fontId="4" fillId="0" borderId="0" xfId="4" applyNumberFormat="1" applyFont="1"/>
    <xf numFmtId="9" fontId="4" fillId="0" borderId="0" xfId="9" applyFont="1" applyFill="1"/>
    <xf numFmtId="179" fontId="20" fillId="0" borderId="9" xfId="4" applyNumberFormat="1" applyFont="1" applyBorder="1"/>
    <xf numFmtId="181" fontId="4" fillId="0" borderId="0" xfId="4" applyNumberFormat="1" applyFont="1"/>
    <xf numFmtId="176" fontId="4" fillId="0" borderId="0" xfId="2" applyNumberFormat="1" applyFont="1" applyFill="1"/>
    <xf numFmtId="5" fontId="4" fillId="0" borderId="0" xfId="4" applyNumberFormat="1" applyFont="1"/>
    <xf numFmtId="183" fontId="4" fillId="0" borderId="0" xfId="4" applyNumberFormat="1" applyFont="1"/>
    <xf numFmtId="7" fontId="4" fillId="0" borderId="0" xfId="4" applyNumberFormat="1" applyFont="1"/>
    <xf numFmtId="0" fontId="4" fillId="0" borderId="0" xfId="4" quotePrefix="1" applyFont="1" applyAlignment="1">
      <alignment horizontal="right"/>
    </xf>
    <xf numFmtId="37" fontId="17" fillId="0" borderId="0" xfId="8" applyFont="1" applyAlignment="1">
      <alignment horizontal="right"/>
    </xf>
    <xf numFmtId="37" fontId="17" fillId="0" borderId="0" xfId="8" applyFont="1" applyAlignment="1">
      <alignment horizontal="center"/>
    </xf>
    <xf numFmtId="37" fontId="17" fillId="0" borderId="1" xfId="8" applyFont="1" applyBorder="1"/>
    <xf numFmtId="37" fontId="17" fillId="0" borderId="1" xfId="8" applyFont="1" applyBorder="1" applyAlignment="1">
      <alignment horizontal="center"/>
    </xf>
    <xf numFmtId="17" fontId="17" fillId="0" borderId="0" xfId="8" applyNumberFormat="1" applyFont="1"/>
    <xf numFmtId="10" fontId="4" fillId="0" borderId="0" xfId="0" applyNumberFormat="1" applyFont="1"/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0" fontId="4" fillId="0" borderId="13" xfId="0" applyFont="1" applyBorder="1"/>
    <xf numFmtId="0" fontId="4" fillId="0" borderId="3" xfId="0" applyFont="1" applyBorder="1" applyAlignment="1">
      <alignment horizontal="center" wrapText="1"/>
    </xf>
    <xf numFmtId="2" fontId="4" fillId="0" borderId="0" xfId="0" applyNumberFormat="1" applyFont="1"/>
    <xf numFmtId="9" fontId="9" fillId="0" borderId="0" xfId="9" applyFont="1" applyFill="1" applyBorder="1" applyAlignment="1">
      <alignment horizontal="center"/>
    </xf>
    <xf numFmtId="169" fontId="4" fillId="0" borderId="0" xfId="9" applyNumberFormat="1" applyFont="1" applyFill="1" applyProtection="1"/>
    <xf numFmtId="167" fontId="8" fillId="0" borderId="0" xfId="1" applyNumberFormat="1" applyFont="1" applyFill="1" applyProtection="1"/>
    <xf numFmtId="9" fontId="17" fillId="0" borderId="0" xfId="9" applyFont="1" applyFill="1"/>
    <xf numFmtId="175" fontId="4" fillId="0" borderId="0" xfId="4" applyNumberFormat="1" applyFont="1"/>
    <xf numFmtId="0" fontId="4" fillId="6" borderId="0" xfId="4" applyFont="1" applyFill="1"/>
    <xf numFmtId="3" fontId="4" fillId="0" borderId="0" xfId="4" applyNumberFormat="1" applyFont="1"/>
    <xf numFmtId="3" fontId="4" fillId="0" borderId="3" xfId="4" applyNumberFormat="1" applyFont="1" applyBorder="1"/>
    <xf numFmtId="0" fontId="33" fillId="0" borderId="0" xfId="11" applyFont="1" applyAlignment="1">
      <alignment horizontal="center" wrapText="1"/>
    </xf>
    <xf numFmtId="185" fontId="4" fillId="0" borderId="0" xfId="0" applyNumberFormat="1" applyFont="1"/>
    <xf numFmtId="37" fontId="54" fillId="0" borderId="0" xfId="8" applyFont="1"/>
    <xf numFmtId="9" fontId="0" fillId="0" borderId="0" xfId="9" applyFont="1"/>
    <xf numFmtId="5" fontId="4" fillId="0" borderId="0" xfId="6" quotePrefix="1" applyNumberFormat="1" applyFont="1"/>
    <xf numFmtId="43" fontId="8" fillId="0" borderId="2" xfId="1" applyFont="1" applyBorder="1"/>
    <xf numFmtId="43" fontId="8" fillId="0" borderId="2" xfId="1" applyFont="1" applyBorder="1" applyAlignment="1">
      <alignment horizontal="right"/>
    </xf>
    <xf numFmtId="0" fontId="55" fillId="0" borderId="0" xfId="0" applyFont="1"/>
    <xf numFmtId="37" fontId="0" fillId="0" borderId="0" xfId="0" applyNumberFormat="1"/>
    <xf numFmtId="43" fontId="17" fillId="0" borderId="0" xfId="5" applyNumberFormat="1" applyFont="1"/>
    <xf numFmtId="169" fontId="8" fillId="0" borderId="0" xfId="9" applyNumberFormat="1" applyFont="1" applyFill="1" applyProtection="1"/>
    <xf numFmtId="10" fontId="4" fillId="0" borderId="0" xfId="9" applyNumberFormat="1" applyFont="1" applyFill="1"/>
    <xf numFmtId="0" fontId="56" fillId="0" borderId="0" xfId="5" applyFont="1"/>
    <xf numFmtId="0" fontId="0" fillId="0" borderId="0" xfId="0" applyAlignment="1">
      <alignment horizontal="center"/>
    </xf>
    <xf numFmtId="0" fontId="57" fillId="0" borderId="0" xfId="0" applyFont="1"/>
    <xf numFmtId="164" fontId="59" fillId="0" borderId="0" xfId="1" applyNumberFormat="1" applyFont="1" applyFill="1"/>
    <xf numFmtId="164" fontId="59" fillId="0" borderId="0" xfId="1" applyNumberFormat="1" applyFont="1"/>
    <xf numFmtId="165" fontId="58" fillId="0" borderId="1" xfId="6" applyNumberFormat="1" applyFont="1" applyBorder="1" applyAlignment="1">
      <alignment horizontal="center"/>
    </xf>
    <xf numFmtId="7" fontId="58" fillId="0" borderId="0" xfId="6" applyNumberFormat="1" applyFont="1"/>
    <xf numFmtId="5" fontId="59" fillId="0" borderId="0" xfId="6" applyNumberFormat="1" applyFont="1"/>
    <xf numFmtId="37" fontId="59" fillId="0" borderId="0" xfId="6" applyNumberFormat="1" applyFont="1"/>
    <xf numFmtId="37" fontId="59" fillId="0" borderId="2" xfId="6" applyNumberFormat="1" applyFont="1" applyBorder="1"/>
    <xf numFmtId="7" fontId="59" fillId="0" borderId="0" xfId="6" applyNumberFormat="1" applyFont="1"/>
    <xf numFmtId="37" fontId="58" fillId="0" borderId="0" xfId="6" applyNumberFormat="1" applyFont="1"/>
    <xf numFmtId="176" fontId="59" fillId="0" borderId="0" xfId="2" applyNumberFormat="1" applyFont="1" applyFill="1" applyBorder="1"/>
    <xf numFmtId="5" fontId="58" fillId="0" borderId="0" xfId="6" applyNumberFormat="1" applyFont="1"/>
    <xf numFmtId="10" fontId="59" fillId="0" borderId="0" xfId="9" applyNumberFormat="1" applyFont="1"/>
    <xf numFmtId="164" fontId="59" fillId="0" borderId="3" xfId="1" applyNumberFormat="1" applyFont="1" applyFill="1" applyBorder="1"/>
    <xf numFmtId="0" fontId="59" fillId="0" borderId="0" xfId="5" applyFont="1"/>
    <xf numFmtId="186" fontId="59" fillId="0" borderId="0" xfId="0" applyNumberFormat="1" applyFont="1"/>
    <xf numFmtId="2" fontId="59" fillId="0" borderId="0" xfId="0" applyNumberFormat="1" applyFont="1"/>
    <xf numFmtId="41" fontId="59" fillId="0" borderId="0" xfId="4" applyNumberFormat="1" applyFont="1"/>
    <xf numFmtId="175" fontId="59" fillId="0" borderId="0" xfId="2" applyNumberFormat="1" applyFont="1" applyFill="1"/>
    <xf numFmtId="176" fontId="59" fillId="0" borderId="0" xfId="2" applyNumberFormat="1" applyFont="1" applyFill="1"/>
    <xf numFmtId="14" fontId="0" fillId="40" borderId="0" xfId="0" applyNumberFormat="1" applyFill="1"/>
    <xf numFmtId="0" fontId="4" fillId="0" borderId="10" xfId="0" applyFont="1" applyBorder="1"/>
    <xf numFmtId="3" fontId="61" fillId="0" borderId="0" xfId="0" applyNumberFormat="1" applyFont="1"/>
    <xf numFmtId="3" fontId="22" fillId="0" borderId="0" xfId="6" applyNumberFormat="1" applyFont="1"/>
    <xf numFmtId="7" fontId="4" fillId="0" borderId="0" xfId="5" applyNumberFormat="1" applyFont="1"/>
    <xf numFmtId="171" fontId="8" fillId="0" borderId="0" xfId="5" applyNumberFormat="1" applyFont="1"/>
    <xf numFmtId="164" fontId="4" fillId="0" borderId="17" xfId="1" applyNumberFormat="1" applyFont="1" applyFill="1" applyBorder="1"/>
    <xf numFmtId="164" fontId="4" fillId="0" borderId="10" xfId="1" applyNumberFormat="1" applyFont="1" applyFill="1" applyBorder="1"/>
    <xf numFmtId="164" fontId="4" fillId="0" borderId="2" xfId="1" applyNumberFormat="1" applyFont="1" applyFill="1" applyBorder="1"/>
    <xf numFmtId="0" fontId="4" fillId="0" borderId="17" xfId="0" applyFont="1" applyBorder="1"/>
    <xf numFmtId="0" fontId="0" fillId="0" borderId="0" xfId="0" applyAlignment="1">
      <alignment wrapText="1"/>
    </xf>
    <xf numFmtId="0" fontId="63" fillId="0" borderId="0" xfId="0" applyFont="1"/>
    <xf numFmtId="0" fontId="3" fillId="0" borderId="0" xfId="0" applyFont="1"/>
    <xf numFmtId="0" fontId="64" fillId="0" borderId="0" xfId="0" applyFont="1"/>
    <xf numFmtId="0" fontId="62" fillId="0" borderId="3" xfId="0" applyFont="1" applyBorder="1" applyAlignment="1">
      <alignment horizontal="center"/>
    </xf>
    <xf numFmtId="0" fontId="66" fillId="0" borderId="0" xfId="0" applyFont="1"/>
    <xf numFmtId="164" fontId="4" fillId="0" borderId="3" xfId="1" applyNumberFormat="1" applyFont="1" applyFill="1" applyBorder="1"/>
    <xf numFmtId="43" fontId="4" fillId="0" borderId="17" xfId="1" applyFont="1" applyFill="1" applyBorder="1"/>
    <xf numFmtId="164" fontId="8" fillId="0" borderId="38" xfId="1" applyNumberFormat="1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59" fillId="0" borderId="15" xfId="1" quotePrefix="1" applyNumberFormat="1" applyFont="1" applyFill="1" applyBorder="1"/>
    <xf numFmtId="166" fontId="4" fillId="0" borderId="0" xfId="4" applyNumberFormat="1" applyFont="1"/>
    <xf numFmtId="0" fontId="4" fillId="0" borderId="11" xfId="4" applyFont="1" applyBorder="1"/>
    <xf numFmtId="0" fontId="4" fillId="0" borderId="2" xfId="4" applyFont="1" applyBorder="1"/>
    <xf numFmtId="0" fontId="8" fillId="0" borderId="11" xfId="4" applyFont="1" applyBorder="1"/>
    <xf numFmtId="0" fontId="8" fillId="0" borderId="2" xfId="4" applyFont="1" applyBorder="1"/>
    <xf numFmtId="0" fontId="67" fillId="0" borderId="12" xfId="0" applyFont="1" applyBorder="1" applyAlignment="1">
      <alignment horizontal="right" indent="1"/>
    </xf>
    <xf numFmtId="0" fontId="4" fillId="0" borderId="12" xfId="4" applyFont="1" applyBorder="1"/>
    <xf numFmtId="0" fontId="28" fillId="0" borderId="0" xfId="0" applyFont="1" applyAlignment="1" applyProtection="1">
      <alignment horizontal="center"/>
      <protection locked="0"/>
    </xf>
    <xf numFmtId="178" fontId="28" fillId="0" borderId="0" xfId="0" applyNumberFormat="1" applyFont="1" applyAlignment="1" applyProtection="1">
      <alignment horizontal="center"/>
      <protection locked="0"/>
    </xf>
    <xf numFmtId="0" fontId="28" fillId="0" borderId="0" xfId="0" applyFont="1" applyAlignment="1">
      <alignment horizontal="center"/>
    </xf>
    <xf numFmtId="0" fontId="62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70" fillId="0" borderId="43" xfId="0" applyFont="1" applyBorder="1" applyAlignment="1">
      <alignment horizontal="right"/>
    </xf>
    <xf numFmtId="0" fontId="70" fillId="0" borderId="44" xfId="0" applyFont="1" applyBorder="1" applyAlignment="1">
      <alignment horizontal="center"/>
    </xf>
    <xf numFmtId="0" fontId="70" fillId="0" borderId="45" xfId="0" applyFont="1" applyBorder="1" applyAlignment="1">
      <alignment horizontal="center"/>
    </xf>
    <xf numFmtId="0" fontId="70" fillId="0" borderId="48" xfId="0" applyFont="1" applyBorder="1" applyAlignment="1">
      <alignment horizontal="center"/>
    </xf>
    <xf numFmtId="0" fontId="69" fillId="0" borderId="49" xfId="0" applyFont="1" applyBorder="1" applyAlignment="1">
      <alignment horizontal="left" indent="3"/>
    </xf>
    <xf numFmtId="3" fontId="4" fillId="0" borderId="0" xfId="6" applyNumberFormat="1" applyFont="1" applyAlignment="1">
      <alignment horizontal="center"/>
    </xf>
    <xf numFmtId="44" fontId="8" fillId="0" borderId="0" xfId="2" applyFont="1" applyFill="1"/>
    <xf numFmtId="44" fontId="8" fillId="0" borderId="0" xfId="2" applyFont="1" applyFill="1" applyAlignment="1">
      <alignment horizontal="right" indent="1"/>
    </xf>
    <xf numFmtId="44" fontId="17" fillId="0" borderId="0" xfId="2" applyFont="1"/>
    <xf numFmtId="182" fontId="26" fillId="0" borderId="0" xfId="2" applyNumberFormat="1" applyFont="1" applyFill="1" applyProtection="1"/>
    <xf numFmtId="182" fontId="60" fillId="0" borderId="0" xfId="2" applyNumberFormat="1" applyFont="1" applyFill="1" applyProtection="1"/>
    <xf numFmtId="193" fontId="8" fillId="0" borderId="0" xfId="5" applyNumberFormat="1" applyFont="1"/>
    <xf numFmtId="164" fontId="4" fillId="0" borderId="0" xfId="1" applyNumberFormat="1" applyFont="1" applyAlignment="1">
      <alignment horizontal="center"/>
    </xf>
    <xf numFmtId="164" fontId="4" fillId="0" borderId="17" xfId="1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71" fillId="0" borderId="0" xfId="6" applyFont="1"/>
    <xf numFmtId="0" fontId="4" fillId="0" borderId="12" xfId="0" applyFont="1" applyBorder="1"/>
    <xf numFmtId="0" fontId="4" fillId="0" borderId="2" xfId="0" applyFont="1" applyBorder="1" applyAlignment="1">
      <alignment horizontal="center"/>
    </xf>
    <xf numFmtId="174" fontId="4" fillId="0" borderId="0" xfId="1" applyNumberFormat="1" applyFont="1" applyFill="1"/>
    <xf numFmtId="174" fontId="4" fillId="0" borderId="0" xfId="0" applyNumberFormat="1" applyFont="1"/>
    <xf numFmtId="194" fontId="4" fillId="0" borderId="0" xfId="0" applyNumberFormat="1" applyFont="1"/>
    <xf numFmtId="0" fontId="0" fillId="0" borderId="13" xfId="0" applyBorder="1" applyAlignment="1">
      <alignment horizontal="center"/>
    </xf>
    <xf numFmtId="0" fontId="62" fillId="0" borderId="0" xfId="0" applyFont="1" applyAlignment="1">
      <alignment horizontal="center"/>
    </xf>
    <xf numFmtId="9" fontId="55" fillId="0" borderId="0" xfId="9" applyFont="1" applyFill="1"/>
    <xf numFmtId="7" fontId="4" fillId="0" borderId="17" xfId="4" applyNumberFormat="1" applyFont="1" applyBorder="1"/>
    <xf numFmtId="167" fontId="22" fillId="0" borderId="0" xfId="4" applyNumberFormat="1" applyFont="1"/>
    <xf numFmtId="0" fontId="0" fillId="0" borderId="8" xfId="0" applyBorder="1"/>
    <xf numFmtId="0" fontId="4" fillId="0" borderId="8" xfId="4" applyFont="1" applyBorder="1"/>
    <xf numFmtId="164" fontId="4" fillId="0" borderId="8" xfId="1" applyNumberFormat="1" applyFont="1" applyBorder="1"/>
    <xf numFmtId="0" fontId="8" fillId="0" borderId="0" xfId="4" applyFont="1"/>
    <xf numFmtId="5" fontId="4" fillId="0" borderId="0" xfId="2" applyNumberFormat="1" applyFont="1" applyFill="1"/>
    <xf numFmtId="0" fontId="4" fillId="0" borderId="0" xfId="6" applyFont="1" applyAlignment="1">
      <alignment horizontal="right" indent="1"/>
    </xf>
    <xf numFmtId="195" fontId="8" fillId="0" borderId="0" xfId="5" applyNumberFormat="1" applyFont="1"/>
    <xf numFmtId="182" fontId="8" fillId="0" borderId="0" xfId="5" applyNumberFormat="1" applyFont="1"/>
    <xf numFmtId="182" fontId="8" fillId="0" borderId="0" xfId="1" applyNumberFormat="1" applyFont="1" applyFill="1" applyProtection="1"/>
    <xf numFmtId="0" fontId="73" fillId="0" borderId="0" xfId="5" applyFont="1" applyAlignment="1">
      <alignment horizontal="center"/>
    </xf>
    <xf numFmtId="0" fontId="67" fillId="0" borderId="0" xfId="6" applyFont="1"/>
    <xf numFmtId="0" fontId="4" fillId="4" borderId="0" xfId="0" applyFont="1" applyFill="1"/>
    <xf numFmtId="37" fontId="4" fillId="4" borderId="0" xfId="0" applyNumberFormat="1" applyFont="1" applyFill="1"/>
    <xf numFmtId="0" fontId="0" fillId="6" borderId="0" xfId="0" applyFill="1"/>
    <xf numFmtId="0" fontId="6" fillId="5" borderId="0" xfId="56" applyFill="1" applyAlignment="1">
      <alignment horizontal="center" wrapText="1"/>
    </xf>
    <xf numFmtId="37" fontId="6" fillId="5" borderId="0" xfId="56" applyNumberFormat="1" applyFill="1" applyAlignment="1">
      <alignment horizontal="center"/>
    </xf>
    <xf numFmtId="37" fontId="6" fillId="2" borderId="0" xfId="56" applyNumberFormat="1" applyFill="1" applyAlignment="1">
      <alignment horizontal="center"/>
    </xf>
    <xf numFmtId="0" fontId="6" fillId="0" borderId="0" xfId="56" applyAlignment="1">
      <alignment horizontal="center" vertical="top"/>
    </xf>
    <xf numFmtId="0" fontId="6" fillId="0" borderId="0" xfId="56" applyAlignment="1">
      <alignment vertical="top"/>
    </xf>
    <xf numFmtId="0" fontId="6" fillId="0" borderId="0" xfId="56" applyAlignment="1">
      <alignment vertical="top" wrapText="1"/>
    </xf>
    <xf numFmtId="164" fontId="6" fillId="0" borderId="0" xfId="1" applyNumberFormat="1" applyFont="1" applyFill="1" applyAlignment="1">
      <alignment vertical="top"/>
    </xf>
    <xf numFmtId="164" fontId="6" fillId="0" borderId="0" xfId="1" applyNumberFormat="1" applyFont="1" applyFill="1" applyAlignment="1">
      <alignment horizontal="right"/>
    </xf>
    <xf numFmtId="0" fontId="33" fillId="0" borderId="0" xfId="56" applyFont="1"/>
    <xf numFmtId="188" fontId="6" fillId="0" borderId="0" xfId="12" applyNumberFormat="1" applyFont="1" applyFill="1" applyAlignment="1">
      <alignment vertical="top" wrapText="1"/>
    </xf>
    <xf numFmtId="164" fontId="1" fillId="0" borderId="0" xfId="1" applyNumberFormat="1" applyFont="1"/>
    <xf numFmtId="44" fontId="33" fillId="0" borderId="0" xfId="12" applyFont="1" applyFill="1"/>
    <xf numFmtId="44" fontId="33" fillId="0" borderId="0" xfId="12" applyFont="1" applyFill="1" applyAlignment="1">
      <alignment horizontal="right"/>
    </xf>
    <xf numFmtId="0" fontId="6" fillId="2" borderId="0" xfId="56" applyFill="1" applyAlignment="1">
      <alignment horizontal="center"/>
    </xf>
    <xf numFmtId="164" fontId="33" fillId="0" borderId="0" xfId="1" applyNumberFormat="1" applyFont="1" applyFill="1"/>
    <xf numFmtId="164" fontId="33" fillId="0" borderId="0" xfId="1" applyNumberFormat="1" applyFont="1" applyFill="1" applyAlignment="1">
      <alignment horizontal="right"/>
    </xf>
    <xf numFmtId="164" fontId="33" fillId="0" borderId="0" xfId="10" applyNumberFormat="1" applyFont="1" applyFill="1"/>
    <xf numFmtId="0" fontId="6" fillId="0" borderId="0" xfId="56"/>
    <xf numFmtId="175" fontId="33" fillId="0" borderId="0" xfId="2" applyNumberFormat="1" applyFont="1" applyFill="1"/>
    <xf numFmtId="164" fontId="0" fillId="0" borderId="0" xfId="1" applyNumberFormat="1" applyFont="1"/>
    <xf numFmtId="175" fontId="33" fillId="0" borderId="0" xfId="2" applyNumberFormat="1" applyFont="1" applyFill="1" applyAlignment="1">
      <alignment horizontal="right"/>
    </xf>
    <xf numFmtId="164" fontId="33" fillId="0" borderId="0" xfId="1" applyNumberFormat="1" applyFont="1"/>
    <xf numFmtId="196" fontId="0" fillId="0" borderId="0" xfId="0" applyNumberFormat="1" applyAlignment="1">
      <alignment horizontal="left"/>
    </xf>
    <xf numFmtId="0" fontId="32" fillId="2" borderId="0" xfId="56" applyFont="1" applyFill="1" applyAlignment="1">
      <alignment wrapText="1"/>
    </xf>
    <xf numFmtId="0" fontId="6" fillId="2" borderId="0" xfId="56" applyFill="1"/>
    <xf numFmtId="0" fontId="32" fillId="5" borderId="0" xfId="56" applyFont="1" applyFill="1" applyAlignment="1">
      <alignment wrapText="1"/>
    </xf>
    <xf numFmtId="0" fontId="6" fillId="5" borderId="0" xfId="56" applyFill="1" applyAlignment="1">
      <alignment wrapText="1"/>
    </xf>
    <xf numFmtId="37" fontId="6" fillId="5" borderId="0" xfId="56" applyNumberFormat="1" applyFill="1"/>
    <xf numFmtId="37" fontId="6" fillId="2" borderId="0" xfId="56" applyNumberFormat="1" applyFill="1"/>
    <xf numFmtId="164" fontId="33" fillId="0" borderId="0" xfId="11" applyNumberFormat="1" applyFont="1"/>
    <xf numFmtId="169" fontId="4" fillId="0" borderId="0" xfId="5" applyNumberFormat="1" applyFont="1"/>
    <xf numFmtId="170" fontId="8" fillId="0" borderId="0" xfId="5" applyNumberFormat="1" applyFont="1"/>
    <xf numFmtId="0" fontId="12" fillId="0" borderId="0" xfId="5" applyFont="1"/>
    <xf numFmtId="0" fontId="17" fillId="0" borderId="0" xfId="5" quotePrefix="1" applyFont="1"/>
    <xf numFmtId="170" fontId="8" fillId="0" borderId="0" xfId="5" applyNumberFormat="1" applyFont="1" applyAlignment="1">
      <alignment horizontal="right"/>
    </xf>
    <xf numFmtId="43" fontId="8" fillId="0" borderId="8" xfId="1" applyFont="1" applyFill="1" applyBorder="1" applyProtection="1"/>
    <xf numFmtId="43" fontId="60" fillId="0" borderId="8" xfId="1" applyFont="1" applyFill="1" applyBorder="1" applyProtection="1"/>
    <xf numFmtId="174" fontId="8" fillId="0" borderId="8" xfId="1" applyNumberFormat="1" applyFont="1" applyFill="1" applyBorder="1" applyProtection="1"/>
    <xf numFmtId="7" fontId="8" fillId="0" borderId="8" xfId="5" applyNumberFormat="1" applyFont="1" applyBorder="1"/>
    <xf numFmtId="37" fontId="8" fillId="0" borderId="8" xfId="5" applyNumberFormat="1" applyFont="1" applyBorder="1"/>
    <xf numFmtId="37" fontId="17" fillId="0" borderId="8" xfId="5" applyNumberFormat="1" applyFont="1" applyBorder="1"/>
    <xf numFmtId="9" fontId="8" fillId="0" borderId="6" xfId="9" applyFont="1" applyFill="1" applyBorder="1"/>
    <xf numFmtId="174" fontId="8" fillId="0" borderId="8" xfId="1" applyNumberFormat="1" applyFont="1" applyFill="1" applyBorder="1" applyAlignment="1" applyProtection="1">
      <alignment horizontal="right"/>
    </xf>
    <xf numFmtId="169" fontId="8" fillId="0" borderId="8" xfId="5" applyNumberFormat="1" applyFont="1" applyBorder="1"/>
    <xf numFmtId="164" fontId="8" fillId="0" borderId="8" xfId="1" applyNumberFormat="1" applyFont="1" applyFill="1" applyBorder="1"/>
    <xf numFmtId="169" fontId="27" fillId="0" borderId="8" xfId="5" applyNumberFormat="1" applyFont="1" applyBorder="1"/>
    <xf numFmtId="164" fontId="8" fillId="0" borderId="8" xfId="5" applyNumberFormat="1" applyFont="1" applyBorder="1"/>
    <xf numFmtId="0" fontId="74" fillId="0" borderId="0" xfId="0" applyFont="1"/>
    <xf numFmtId="164" fontId="4" fillId="0" borderId="10" xfId="5" applyNumberFormat="1" applyFont="1" applyBorder="1"/>
    <xf numFmtId="182" fontId="8" fillId="0" borderId="20" xfId="2" applyNumberFormat="1" applyFont="1" applyFill="1" applyBorder="1"/>
    <xf numFmtId="182" fontId="8" fillId="0" borderId="41" xfId="2" applyNumberFormat="1" applyFont="1" applyFill="1" applyBorder="1"/>
    <xf numFmtId="182" fontId="8" fillId="0" borderId="42" xfId="2" applyNumberFormat="1" applyFont="1" applyFill="1" applyBorder="1"/>
    <xf numFmtId="193" fontId="8" fillId="0" borderId="13" xfId="2" applyNumberFormat="1" applyFont="1" applyFill="1" applyBorder="1" applyProtection="1"/>
    <xf numFmtId="164" fontId="4" fillId="0" borderId="0" xfId="1" applyNumberFormat="1" applyFont="1" applyFill="1" applyBorder="1" applyAlignment="1" applyProtection="1">
      <alignment horizontal="center"/>
    </xf>
    <xf numFmtId="169" fontId="4" fillId="0" borderId="0" xfId="9" applyNumberFormat="1" applyFont="1"/>
    <xf numFmtId="193" fontId="8" fillId="0" borderId="13" xfId="5" applyNumberFormat="1" applyFont="1" applyBorder="1"/>
    <xf numFmtId="164" fontId="1" fillId="0" borderId="0" xfId="1" applyNumberFormat="1" applyFont="1" applyFill="1"/>
    <xf numFmtId="164" fontId="0" fillId="0" borderId="0" xfId="0" applyNumberFormat="1"/>
    <xf numFmtId="14" fontId="3" fillId="0" borderId="0" xfId="0" applyNumberFormat="1" applyFont="1"/>
    <xf numFmtId="1" fontId="3" fillId="0" borderId="0" xfId="0" applyNumberFormat="1" applyFont="1"/>
    <xf numFmtId="164" fontId="3" fillId="0" borderId="0" xfId="1" applyNumberFormat="1" applyFont="1"/>
    <xf numFmtId="14" fontId="3" fillId="0" borderId="42" xfId="0" applyNumberFormat="1" applyFont="1" applyBorder="1" applyAlignment="1">
      <alignment horizontal="center"/>
    </xf>
    <xf numFmtId="7" fontId="4" fillId="0" borderId="0" xfId="0" applyNumberFormat="1" applyFont="1"/>
    <xf numFmtId="169" fontId="4" fillId="0" borderId="0" xfId="9" applyNumberFormat="1" applyFont="1" applyFill="1"/>
    <xf numFmtId="43" fontId="4" fillId="0" borderId="0" xfId="1" applyFont="1" applyFill="1" applyProtection="1"/>
    <xf numFmtId="189" fontId="4" fillId="0" borderId="0" xfId="2" applyNumberFormat="1" applyFont="1" applyFill="1" applyProtection="1"/>
    <xf numFmtId="189" fontId="4" fillId="0" borderId="0" xfId="0" applyNumberFormat="1" applyFont="1"/>
    <xf numFmtId="167" fontId="4" fillId="0" borderId="0" xfId="0" applyNumberFormat="1" applyFont="1"/>
    <xf numFmtId="44" fontId="4" fillId="0" borderId="0" xfId="2" applyFont="1" applyFill="1" applyProtection="1"/>
    <xf numFmtId="44" fontId="4" fillId="0" borderId="0" xfId="2" applyFont="1" applyAlignment="1">
      <alignment horizontal="right"/>
    </xf>
    <xf numFmtId="43" fontId="4" fillId="0" borderId="0" xfId="1" applyFont="1" applyAlignment="1">
      <alignment horizontal="right"/>
    </xf>
    <xf numFmtId="169" fontId="4" fillId="0" borderId="0" xfId="9" applyNumberFormat="1" applyFont="1" applyFill="1" applyAlignment="1">
      <alignment horizontal="right"/>
    </xf>
    <xf numFmtId="17" fontId="8" fillId="0" borderId="3" xfId="0" applyNumberFormat="1" applyFont="1" applyBorder="1" applyAlignment="1">
      <alignment horizontal="center"/>
    </xf>
    <xf numFmtId="1" fontId="8" fillId="0" borderId="2" xfId="0" quotePrefix="1" applyNumberFormat="1" applyFont="1" applyBorder="1" applyAlignment="1">
      <alignment horizontal="center"/>
    </xf>
    <xf numFmtId="1" fontId="4" fillId="0" borderId="0" xfId="0" applyNumberFormat="1" applyFont="1"/>
    <xf numFmtId="164" fontId="4" fillId="0" borderId="37" xfId="1" applyNumberFormat="1" applyFont="1" applyFill="1" applyBorder="1"/>
    <xf numFmtId="164" fontId="4" fillId="0" borderId="18" xfId="1" applyNumberFormat="1" applyFont="1" applyFill="1" applyBorder="1"/>
    <xf numFmtId="164" fontId="4" fillId="0" borderId="39" xfId="1" applyNumberFormat="1" applyFont="1" applyFill="1" applyBorder="1"/>
    <xf numFmtId="164" fontId="8" fillId="0" borderId="2" xfId="1" applyNumberFormat="1" applyFont="1" applyBorder="1"/>
    <xf numFmtId="164" fontId="4" fillId="0" borderId="15" xfId="1" quotePrefix="1" applyNumberFormat="1" applyFont="1" applyFill="1" applyBorder="1"/>
    <xf numFmtId="164" fontId="4" fillId="0" borderId="38" xfId="1" applyNumberFormat="1" applyFont="1" applyFill="1" applyBorder="1"/>
    <xf numFmtId="37" fontId="4" fillId="0" borderId="17" xfId="0" applyNumberFormat="1" applyFont="1" applyBorder="1"/>
    <xf numFmtId="37" fontId="4" fillId="0" borderId="3" xfId="0" applyNumberFormat="1" applyFont="1" applyBorder="1"/>
    <xf numFmtId="37" fontId="4" fillId="0" borderId="38" xfId="0" applyNumberFormat="1" applyFont="1" applyBorder="1"/>
    <xf numFmtId="164" fontId="4" fillId="0" borderId="3" xfId="0" applyNumberFormat="1" applyFont="1" applyBorder="1"/>
    <xf numFmtId="5" fontId="8" fillId="0" borderId="0" xfId="6" applyNumberFormat="1" applyFont="1" applyAlignment="1">
      <alignment horizontal="right"/>
    </xf>
    <xf numFmtId="165" fontId="4" fillId="0" borderId="0" xfId="6" applyNumberFormat="1" applyFont="1"/>
    <xf numFmtId="3" fontId="4" fillId="0" borderId="10" xfId="6" applyNumberFormat="1" applyFont="1" applyBorder="1"/>
    <xf numFmtId="37" fontId="4" fillId="0" borderId="10" xfId="6" applyNumberFormat="1" applyFont="1" applyBorder="1"/>
    <xf numFmtId="5" fontId="4" fillId="0" borderId="10" xfId="6" applyNumberFormat="1" applyFont="1" applyBorder="1"/>
    <xf numFmtId="3" fontId="4" fillId="0" borderId="2" xfId="6" applyNumberFormat="1" applyFont="1" applyBorder="1"/>
    <xf numFmtId="5" fontId="4" fillId="0" borderId="2" xfId="6" applyNumberFormat="1" applyFont="1" applyBorder="1"/>
    <xf numFmtId="173" fontId="4" fillId="0" borderId="0" xfId="6" applyNumberFormat="1" applyFont="1"/>
    <xf numFmtId="173" fontId="4" fillId="0" borderId="3" xfId="6" applyNumberFormat="1" applyFont="1" applyBorder="1"/>
    <xf numFmtId="7" fontId="17" fillId="0" borderId="0" xfId="3" applyNumberFormat="1" applyFont="1"/>
    <xf numFmtId="39" fontId="17" fillId="0" borderId="0" xfId="3" applyNumberFormat="1" applyFont="1"/>
    <xf numFmtId="170" fontId="17" fillId="0" borderId="0" xfId="3" applyNumberFormat="1" applyFont="1"/>
    <xf numFmtId="37" fontId="17" fillId="0" borderId="0" xfId="3" quotePrefix="1" applyNumberFormat="1" applyFont="1"/>
    <xf numFmtId="37" fontId="17" fillId="0" borderId="0" xfId="1" quotePrefix="1" applyNumberFormat="1" applyFont="1" applyFill="1"/>
    <xf numFmtId="37" fontId="17" fillId="0" borderId="4" xfId="1" applyNumberFormat="1" applyFont="1" applyFill="1" applyBorder="1"/>
    <xf numFmtId="164" fontId="17" fillId="0" borderId="1" xfId="1" applyNumberFormat="1" applyFont="1" applyFill="1" applyBorder="1"/>
    <xf numFmtId="175" fontId="17" fillId="0" borderId="4" xfId="2" applyNumberFormat="1" applyFont="1" applyFill="1" applyBorder="1" applyProtection="1"/>
    <xf numFmtId="17" fontId="4" fillId="0" borderId="3" xfId="8" applyNumberFormat="1" applyFont="1" applyBorder="1" applyAlignment="1">
      <alignment horizontal="center"/>
    </xf>
    <xf numFmtId="17" fontId="4" fillId="0" borderId="3" xfId="0" applyNumberFormat="1" applyFont="1" applyBorder="1" applyAlignment="1">
      <alignment horizontal="center"/>
    </xf>
    <xf numFmtId="180" fontId="4" fillId="0" borderId="0" xfId="1" applyNumberFormat="1" applyFont="1" applyFill="1" applyBorder="1"/>
    <xf numFmtId="180" fontId="4" fillId="0" borderId="0" xfId="0" applyNumberFormat="1" applyFont="1"/>
    <xf numFmtId="174" fontId="4" fillId="0" borderId="0" xfId="1" applyNumberFormat="1" applyFont="1"/>
    <xf numFmtId="3" fontId="4" fillId="0" borderId="11" xfId="0" applyNumberFormat="1" applyFont="1" applyBorder="1"/>
    <xf numFmtId="3" fontId="4" fillId="0" borderId="2" xfId="0" applyNumberFormat="1" applyFont="1" applyBorder="1"/>
    <xf numFmtId="3" fontId="4" fillId="0" borderId="12" xfId="0" applyNumberFormat="1" applyFont="1" applyBorder="1"/>
    <xf numFmtId="164" fontId="4" fillId="0" borderId="11" xfId="1" applyNumberFormat="1" applyFont="1" applyFill="1" applyBorder="1"/>
    <xf numFmtId="164" fontId="4" fillId="0" borderId="12" xfId="1" applyNumberFormat="1" applyFont="1" applyFill="1" applyBorder="1"/>
    <xf numFmtId="164" fontId="4" fillId="0" borderId="14" xfId="0" applyNumberFormat="1" applyFont="1" applyBorder="1"/>
    <xf numFmtId="0" fontId="76" fillId="0" borderId="48" xfId="0" applyFont="1" applyBorder="1" applyAlignment="1">
      <alignment horizontal="center"/>
    </xf>
    <xf numFmtId="0" fontId="76" fillId="0" borderId="44" xfId="0" applyFont="1" applyBorder="1" applyAlignment="1">
      <alignment horizontal="center"/>
    </xf>
    <xf numFmtId="0" fontId="76" fillId="0" borderId="45" xfId="0" applyFont="1" applyBorder="1" applyAlignment="1">
      <alignment horizontal="center"/>
    </xf>
    <xf numFmtId="37" fontId="8" fillId="0" borderId="0" xfId="6" applyNumberFormat="1" applyFont="1" applyAlignment="1">
      <alignment horizontal="right"/>
    </xf>
    <xf numFmtId="190" fontId="4" fillId="0" borderId="0" xfId="0" applyNumberFormat="1" applyFont="1"/>
    <xf numFmtId="170" fontId="4" fillId="0" borderId="0" xfId="0" applyNumberFormat="1" applyFont="1"/>
    <xf numFmtId="9" fontId="4" fillId="0" borderId="0" xfId="9" applyFont="1"/>
    <xf numFmtId="0" fontId="18" fillId="0" borderId="0" xfId="3" applyFont="1" applyAlignment="1">
      <alignment horizontal="right"/>
    </xf>
    <xf numFmtId="164" fontId="4" fillId="4" borderId="0" xfId="1" applyNumberFormat="1" applyFont="1" applyFill="1"/>
    <xf numFmtId="174" fontId="4" fillId="0" borderId="0" xfId="6" applyNumberFormat="1" applyFont="1"/>
    <xf numFmtId="22" fontId="4" fillId="0" borderId="0" xfId="5" applyNumberFormat="1" applyFont="1"/>
    <xf numFmtId="182" fontId="8" fillId="0" borderId="0" xfId="2" applyNumberFormat="1" applyFont="1"/>
    <xf numFmtId="182" fontId="8" fillId="0" borderId="0" xfId="2" applyNumberFormat="1" applyFont="1" applyFill="1"/>
    <xf numFmtId="182" fontId="8" fillId="0" borderId="0" xfId="2" applyNumberFormat="1" applyFont="1" applyFill="1" applyProtection="1"/>
    <xf numFmtId="182" fontId="8" fillId="0" borderId="0" xfId="1" applyNumberFormat="1" applyFont="1" applyFill="1"/>
    <xf numFmtId="2" fontId="8" fillId="0" borderId="0" xfId="1" applyNumberFormat="1" applyFont="1" applyFill="1"/>
    <xf numFmtId="182" fontId="8" fillId="0" borderId="0" xfId="2" applyNumberFormat="1" applyFont="1" applyFill="1" applyAlignment="1">
      <alignment horizontal="right" indent="1"/>
    </xf>
    <xf numFmtId="182" fontId="8" fillId="0" borderId="0" xfId="2" applyNumberFormat="1" applyFont="1" applyAlignment="1">
      <alignment horizontal="right" indent="1"/>
    </xf>
    <xf numFmtId="171" fontId="8" fillId="0" borderId="0" xfId="1" applyNumberFormat="1" applyFont="1" applyFill="1" applyProtection="1"/>
    <xf numFmtId="195" fontId="8" fillId="0" borderId="0" xfId="2" applyNumberFormat="1" applyFont="1" applyFill="1"/>
    <xf numFmtId="193" fontId="8" fillId="0" borderId="0" xfId="2" applyNumberFormat="1" applyFont="1" applyFill="1" applyProtection="1"/>
    <xf numFmtId="169" fontId="8" fillId="0" borderId="0" xfId="9" applyNumberFormat="1" applyFont="1" applyFill="1"/>
    <xf numFmtId="169" fontId="8" fillId="0" borderId="0" xfId="9" applyNumberFormat="1" applyFont="1"/>
    <xf numFmtId="164" fontId="4" fillId="0" borderId="0" xfId="1" applyNumberFormat="1" applyFont="1" applyFill="1" applyProtection="1"/>
    <xf numFmtId="9" fontId="8" fillId="0" borderId="0" xfId="9" applyFont="1" applyFill="1"/>
    <xf numFmtId="164" fontId="4" fillId="0" borderId="3" xfId="1" applyNumberFormat="1" applyFont="1" applyFill="1" applyBorder="1" applyProtection="1"/>
    <xf numFmtId="10" fontId="4" fillId="0" borderId="3" xfId="9" applyNumberFormat="1" applyFont="1" applyFill="1" applyBorder="1"/>
    <xf numFmtId="164" fontId="4" fillId="0" borderId="9" xfId="1" applyNumberFormat="1" applyFont="1" applyFill="1" applyBorder="1"/>
    <xf numFmtId="37" fontId="4" fillId="0" borderId="0" xfId="5" applyNumberFormat="1" applyFont="1" applyAlignment="1">
      <alignment horizontal="right"/>
    </xf>
    <xf numFmtId="164" fontId="4" fillId="0" borderId="0" xfId="5" applyNumberFormat="1" applyFont="1" applyAlignment="1">
      <alignment horizontal="center"/>
    </xf>
    <xf numFmtId="43" fontId="4" fillId="0" borderId="0" xfId="1" applyFont="1" applyFill="1" applyBorder="1"/>
    <xf numFmtId="7" fontId="4" fillId="0" borderId="13" xfId="5" applyNumberFormat="1" applyFont="1" applyBorder="1"/>
    <xf numFmtId="187" fontId="4" fillId="0" borderId="0" xfId="5" applyNumberFormat="1" applyFont="1"/>
    <xf numFmtId="7" fontId="4" fillId="0" borderId="20" xfId="5" applyNumberFormat="1" applyFont="1" applyBorder="1"/>
    <xf numFmtId="7" fontId="4" fillId="0" borderId="9" xfId="5" applyNumberFormat="1" applyFont="1" applyBorder="1"/>
    <xf numFmtId="187" fontId="3" fillId="0" borderId="0" xfId="0" applyNumberFormat="1" applyFont="1"/>
    <xf numFmtId="43" fontId="3" fillId="0" borderId="0" xfId="1" applyFont="1"/>
    <xf numFmtId="169" fontId="3" fillId="0" borderId="0" xfId="9" applyNumberFormat="1" applyFont="1"/>
    <xf numFmtId="7" fontId="3" fillId="0" borderId="0" xfId="0" applyNumberFormat="1" applyFont="1"/>
    <xf numFmtId="40" fontId="3" fillId="0" borderId="0" xfId="0" applyNumberFormat="1" applyFont="1"/>
    <xf numFmtId="192" fontId="3" fillId="0" borderId="0" xfId="0" applyNumberFormat="1" applyFont="1"/>
    <xf numFmtId="167" fontId="3" fillId="0" borderId="0" xfId="0" applyNumberFormat="1" applyFont="1"/>
    <xf numFmtId="167" fontId="3" fillId="0" borderId="0" xfId="6" applyNumberFormat="1" applyFont="1"/>
    <xf numFmtId="165" fontId="4" fillId="0" borderId="11" xfId="6" applyNumberFormat="1" applyFont="1" applyBorder="1" applyAlignment="1">
      <alignment horizontal="center"/>
    </xf>
    <xf numFmtId="165" fontId="4" fillId="0" borderId="2" xfId="6" applyNumberFormat="1" applyFont="1" applyBorder="1" applyAlignment="1">
      <alignment horizontal="center"/>
    </xf>
    <xf numFmtId="165" fontId="4" fillId="0" borderId="12" xfId="6" applyNumberFormat="1" applyFont="1" applyBorder="1" applyAlignment="1">
      <alignment horizontal="center"/>
    </xf>
    <xf numFmtId="7" fontId="4" fillId="0" borderId="0" xfId="1" applyNumberFormat="1" applyFont="1" applyFill="1" applyProtection="1"/>
    <xf numFmtId="165" fontId="8" fillId="0" borderId="5" xfId="6" applyNumberFormat="1" applyFont="1" applyBorder="1" applyAlignment="1">
      <alignment horizontal="center"/>
    </xf>
    <xf numFmtId="196" fontId="3" fillId="0" borderId="0" xfId="0" applyNumberFormat="1" applyFont="1" applyAlignment="1">
      <alignment horizontal="left"/>
    </xf>
    <xf numFmtId="164" fontId="3" fillId="0" borderId="0" xfId="10" applyNumberFormat="1" applyFont="1" applyFill="1"/>
    <xf numFmtId="164" fontId="3" fillId="0" borderId="0" xfId="10" applyNumberFormat="1" applyFont="1"/>
    <xf numFmtId="43" fontId="3" fillId="0" borderId="0" xfId="11" applyNumberFormat="1" applyFont="1"/>
    <xf numFmtId="0" fontId="3" fillId="0" borderId="0" xfId="11" applyFont="1"/>
    <xf numFmtId="4" fontId="4" fillId="0" borderId="0" xfId="0" applyNumberFormat="1" applyFont="1"/>
    <xf numFmtId="177" fontId="4" fillId="0" borderId="0" xfId="0" applyNumberFormat="1" applyFont="1"/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176" fontId="4" fillId="0" borderId="2" xfId="2" applyNumberFormat="1" applyFont="1" applyFill="1" applyBorder="1"/>
    <xf numFmtId="5" fontId="4" fillId="0" borderId="2" xfId="2" applyNumberFormat="1" applyFont="1" applyFill="1" applyBorder="1"/>
    <xf numFmtId="10" fontId="4" fillId="0" borderId="0" xfId="6" applyNumberFormat="1" applyFont="1" applyAlignment="1">
      <alignment horizontal="center"/>
    </xf>
    <xf numFmtId="37" fontId="17" fillId="0" borderId="3" xfId="8" applyFont="1" applyBorder="1"/>
    <xf numFmtId="37" fontId="17" fillId="0" borderId="4" xfId="8" applyFont="1" applyBorder="1"/>
    <xf numFmtId="186" fontId="4" fillId="0" borderId="0" xfId="0" applyNumberFormat="1" applyFont="1"/>
    <xf numFmtId="10" fontId="8" fillId="0" borderId="0" xfId="0" applyNumberFormat="1" applyFont="1"/>
    <xf numFmtId="186" fontId="4" fillId="0" borderId="0" xfId="0" applyNumberFormat="1" applyFont="1" applyAlignment="1">
      <alignment horizontal="left"/>
    </xf>
    <xf numFmtId="0" fontId="77" fillId="0" borderId="0" xfId="4" applyFont="1" applyAlignment="1">
      <alignment horizontal="center"/>
    </xf>
    <xf numFmtId="17" fontId="4" fillId="0" borderId="0" xfId="4" applyNumberFormat="1" applyFont="1" applyAlignment="1">
      <alignment horizontal="center"/>
    </xf>
    <xf numFmtId="10" fontId="4" fillId="0" borderId="0" xfId="9" applyNumberFormat="1" applyFont="1" applyFill="1" applyAlignment="1">
      <alignment horizontal="center"/>
    </xf>
    <xf numFmtId="179" fontId="4" fillId="0" borderId="9" xfId="4" applyNumberFormat="1" applyFont="1" applyBorder="1"/>
    <xf numFmtId="10" fontId="4" fillId="0" borderId="9" xfId="9" applyNumberFormat="1" applyFont="1" applyFill="1" applyBorder="1"/>
    <xf numFmtId="167" fontId="4" fillId="0" borderId="9" xfId="4" applyNumberFormat="1" applyFont="1" applyBorder="1"/>
    <xf numFmtId="167" fontId="4" fillId="0" borderId="15" xfId="4" applyNumberFormat="1" applyFont="1" applyBorder="1"/>
    <xf numFmtId="164" fontId="4" fillId="6" borderId="0" xfId="1" applyNumberFormat="1" applyFont="1" applyFill="1"/>
    <xf numFmtId="189" fontId="4" fillId="0" borderId="0" xfId="2" applyNumberFormat="1" applyFont="1" applyFill="1"/>
    <xf numFmtId="7" fontId="4" fillId="0" borderId="16" xfId="4" applyNumberFormat="1" applyFont="1" applyBorder="1"/>
    <xf numFmtId="7" fontId="8" fillId="0" borderId="18" xfId="4" applyNumberFormat="1" applyFont="1" applyBorder="1"/>
    <xf numFmtId="7" fontId="8" fillId="0" borderId="2" xfId="4" applyNumberFormat="1" applyFont="1" applyBorder="1"/>
    <xf numFmtId="7" fontId="8" fillId="0" borderId="19" xfId="4" applyNumberFormat="1" applyFont="1" applyBorder="1"/>
    <xf numFmtId="10" fontId="4" fillId="0" borderId="0" xfId="4" applyNumberFormat="1" applyFont="1"/>
    <xf numFmtId="0" fontId="4" fillId="0" borderId="0" xfId="4" quotePrefix="1" applyFont="1" applyAlignment="1">
      <alignment horizontal="center"/>
    </xf>
    <xf numFmtId="0" fontId="4" fillId="0" borderId="8" xfId="4" quotePrefix="1" applyFont="1" applyBorder="1" applyAlignment="1">
      <alignment horizontal="center"/>
    </xf>
    <xf numFmtId="0" fontId="4" fillId="0" borderId="0" xfId="4" applyFont="1" applyAlignment="1">
      <alignment horizontal="center"/>
    </xf>
    <xf numFmtId="0" fontId="4" fillId="0" borderId="8" xfId="4" applyFont="1" applyBorder="1" applyAlignment="1">
      <alignment horizontal="center"/>
    </xf>
    <xf numFmtId="164" fontId="4" fillId="0" borderId="33" xfId="1" applyNumberFormat="1" applyFont="1" applyBorder="1"/>
    <xf numFmtId="164" fontId="4" fillId="0" borderId="10" xfId="1" applyNumberFormat="1" applyFont="1" applyBorder="1"/>
    <xf numFmtId="164" fontId="4" fillId="0" borderId="8" xfId="1" applyNumberFormat="1" applyFont="1" applyFill="1" applyBorder="1"/>
    <xf numFmtId="164" fontId="4" fillId="0" borderId="35" xfId="1" applyNumberFormat="1" applyFont="1" applyFill="1" applyBorder="1"/>
    <xf numFmtId="5" fontId="4" fillId="0" borderId="13" xfId="6" applyNumberFormat="1" applyFont="1" applyBorder="1"/>
    <xf numFmtId="193" fontId="0" fillId="0" borderId="0" xfId="0" applyNumberFormat="1"/>
    <xf numFmtId="164" fontId="23" fillId="0" borderId="0" xfId="5" applyNumberFormat="1" applyFont="1" applyAlignment="1">
      <alignment horizontal="right"/>
    </xf>
    <xf numFmtId="5" fontId="3" fillId="0" borderId="0" xfId="0" applyNumberFormat="1" applyFont="1"/>
    <xf numFmtId="37" fontId="3" fillId="0" borderId="0" xfId="0" applyNumberFormat="1" applyFont="1"/>
    <xf numFmtId="37" fontId="3" fillId="0" borderId="0" xfId="5" applyNumberFormat="1" applyFont="1"/>
    <xf numFmtId="0" fontId="3" fillId="0" borderId="0" xfId="5" applyFont="1"/>
    <xf numFmtId="175" fontId="3" fillId="0" borderId="0" xfId="2" applyNumberFormat="1" applyFont="1"/>
    <xf numFmtId="0" fontId="3" fillId="0" borderId="3" xfId="5" applyFont="1" applyBorder="1" applyAlignment="1">
      <alignment horizontal="center"/>
    </xf>
    <xf numFmtId="9" fontId="3" fillId="0" borderId="0" xfId="9" applyFont="1"/>
    <xf numFmtId="44" fontId="3" fillId="0" borderId="0" xfId="5" applyNumberFormat="1" applyFont="1"/>
    <xf numFmtId="175" fontId="3" fillId="0" borderId="0" xfId="5" applyNumberFormat="1" applyFont="1"/>
    <xf numFmtId="175" fontId="3" fillId="0" borderId="3" xfId="2" applyNumberFormat="1" applyFont="1" applyBorder="1"/>
    <xf numFmtId="175" fontId="3" fillId="0" borderId="3" xfId="5" applyNumberFormat="1" applyFont="1" applyBorder="1"/>
    <xf numFmtId="37" fontId="3" fillId="0" borderId="3" xfId="5" applyNumberFormat="1" applyFont="1" applyBorder="1"/>
    <xf numFmtId="0" fontId="3" fillId="0" borderId="0" xfId="6" applyFont="1" applyAlignment="1">
      <alignment horizontal="center"/>
    </xf>
    <xf numFmtId="0" fontId="3" fillId="0" borderId="32" xfId="6" applyFont="1" applyBorder="1"/>
    <xf numFmtId="165" fontId="3" fillId="0" borderId="32" xfId="6" applyNumberFormat="1" applyFont="1" applyBorder="1" applyAlignment="1">
      <alignment horizontal="center"/>
    </xf>
    <xf numFmtId="0" fontId="79" fillId="0" borderId="0" xfId="6" applyFont="1"/>
    <xf numFmtId="176" fontId="3" fillId="0" borderId="0" xfId="2" applyNumberFormat="1" applyFont="1" applyFill="1" applyBorder="1"/>
    <xf numFmtId="176" fontId="57" fillId="0" borderId="0" xfId="2" applyNumberFormat="1" applyFont="1" applyFill="1" applyBorder="1"/>
    <xf numFmtId="0" fontId="3" fillId="0" borderId="0" xfId="6" applyFont="1"/>
    <xf numFmtId="37" fontId="3" fillId="0" borderId="0" xfId="6" applyNumberFormat="1" applyFont="1"/>
    <xf numFmtId="0" fontId="3" fillId="0" borderId="2" xfId="6" applyFont="1" applyBorder="1"/>
    <xf numFmtId="37" fontId="3" fillId="0" borderId="2" xfId="6" applyNumberFormat="1" applyFont="1" applyBorder="1"/>
    <xf numFmtId="7" fontId="3" fillId="0" borderId="0" xfId="6" applyNumberFormat="1" applyFont="1"/>
    <xf numFmtId="5" fontId="3" fillId="0" borderId="0" xfId="6" applyNumberFormat="1" applyFont="1"/>
    <xf numFmtId="5" fontId="57" fillId="0" borderId="0" xfId="6" applyNumberFormat="1" applyFont="1"/>
    <xf numFmtId="164" fontId="3" fillId="0" borderId="0" xfId="1" applyNumberFormat="1" applyFont="1" applyFill="1"/>
    <xf numFmtId="164" fontId="57" fillId="0" borderId="0" xfId="1" applyNumberFormat="1" applyFont="1" applyFill="1"/>
    <xf numFmtId="0" fontId="62" fillId="0" borderId="0" xfId="6" applyFont="1"/>
    <xf numFmtId="7" fontId="4" fillId="0" borderId="41" xfId="2" applyNumberFormat="1" applyFont="1" applyBorder="1"/>
    <xf numFmtId="7" fontId="4" fillId="0" borderId="42" xfId="2" applyNumberFormat="1" applyFont="1" applyBorder="1"/>
    <xf numFmtId="0" fontId="8" fillId="0" borderId="53" xfId="5" applyFont="1" applyBorder="1" applyAlignment="1">
      <alignment horizontal="center"/>
    </xf>
    <xf numFmtId="7" fontId="4" fillId="0" borderId="0" xfId="2" applyNumberFormat="1" applyFont="1" applyBorder="1"/>
    <xf numFmtId="167" fontId="4" fillId="0" borderId="41" xfId="2" applyNumberFormat="1" applyFont="1" applyFill="1" applyBorder="1"/>
    <xf numFmtId="0" fontId="4" fillId="41" borderId="41" xfId="5" applyFont="1" applyFill="1" applyBorder="1"/>
    <xf numFmtId="7" fontId="4" fillId="41" borderId="41" xfId="2" applyNumberFormat="1" applyFont="1" applyFill="1" applyBorder="1"/>
    <xf numFmtId="7" fontId="4" fillId="41" borderId="42" xfId="2" applyNumberFormat="1" applyFont="1" applyFill="1" applyBorder="1"/>
    <xf numFmtId="0" fontId="8" fillId="41" borderId="53" xfId="5" applyFont="1" applyFill="1" applyBorder="1" applyAlignment="1">
      <alignment horizontal="center"/>
    </xf>
    <xf numFmtId="167" fontId="4" fillId="41" borderId="41" xfId="2" applyNumberFormat="1" applyFont="1" applyFill="1" applyBorder="1"/>
    <xf numFmtId="0" fontId="3" fillId="0" borderId="54" xfId="6" applyFont="1" applyBorder="1" applyAlignment="1">
      <alignment horizontal="center"/>
    </xf>
    <xf numFmtId="165" fontId="3" fillId="0" borderId="55" xfId="6" applyNumberFormat="1" applyFont="1" applyBorder="1" applyAlignment="1">
      <alignment horizontal="center"/>
    </xf>
    <xf numFmtId="176" fontId="3" fillId="0" borderId="54" xfId="2" applyNumberFormat="1" applyFont="1" applyFill="1" applyBorder="1"/>
    <xf numFmtId="37" fontId="3" fillId="0" borderId="54" xfId="6" applyNumberFormat="1" applyFont="1" applyBorder="1"/>
    <xf numFmtId="37" fontId="3" fillId="0" borderId="56" xfId="6" applyNumberFormat="1" applyFont="1" applyBorder="1"/>
    <xf numFmtId="7" fontId="3" fillId="0" borderId="54" xfId="6" applyNumberFormat="1" applyFont="1" applyBorder="1"/>
    <xf numFmtId="5" fontId="3" fillId="0" borderId="54" xfId="6" applyNumberFormat="1" applyFont="1" applyBorder="1"/>
    <xf numFmtId="0" fontId="3" fillId="0" borderId="54" xfId="6" applyFont="1" applyBorder="1"/>
    <xf numFmtId="164" fontId="3" fillId="0" borderId="54" xfId="1" applyNumberFormat="1" applyFont="1" applyFill="1" applyBorder="1"/>
    <xf numFmtId="164" fontId="57" fillId="0" borderId="0" xfId="1" applyNumberFormat="1" applyFont="1" applyFill="1" applyBorder="1"/>
    <xf numFmtId="0" fontId="3" fillId="0" borderId="3" xfId="5" applyFont="1" applyBorder="1"/>
    <xf numFmtId="175" fontId="0" fillId="40" borderId="0" xfId="2" applyNumberFormat="1" applyFont="1" applyFill="1"/>
    <xf numFmtId="22" fontId="71" fillId="0" borderId="0" xfId="5" applyNumberFormat="1" applyFont="1"/>
    <xf numFmtId="0" fontId="71" fillId="0" borderId="0" xfId="5" applyFont="1"/>
    <xf numFmtId="0" fontId="80" fillId="0" borderId="0" xfId="5" applyFont="1"/>
    <xf numFmtId="174" fontId="4" fillId="0" borderId="0" xfId="5" applyNumberFormat="1" applyFont="1"/>
    <xf numFmtId="173" fontId="4" fillId="0" borderId="0" xfId="5" applyNumberFormat="1" applyFont="1"/>
    <xf numFmtId="37" fontId="62" fillId="0" borderId="0" xfId="0" applyNumberFormat="1" applyFont="1" applyAlignment="1">
      <alignment horizontal="center"/>
    </xf>
    <xf numFmtId="175" fontId="0" fillId="0" borderId="0" xfId="0" applyNumberFormat="1"/>
    <xf numFmtId="0" fontId="0" fillId="0" borderId="0" xfId="0" applyAlignment="1">
      <alignment horizontal="left"/>
    </xf>
    <xf numFmtId="0" fontId="22" fillId="0" borderId="0" xfId="5" applyFont="1"/>
    <xf numFmtId="0" fontId="75" fillId="0" borderId="0" xfId="0" applyFont="1"/>
    <xf numFmtId="0" fontId="0" fillId="0" borderId="0" xfId="0" applyAlignment="1">
      <alignment horizontal="left" indent="1"/>
    </xf>
    <xf numFmtId="169" fontId="4" fillId="0" borderId="10" xfId="9" applyNumberFormat="1" applyFont="1" applyFill="1" applyBorder="1"/>
    <xf numFmtId="0" fontId="17" fillId="0" borderId="0" xfId="5" applyFont="1" applyAlignment="1">
      <alignment horizontal="left" indent="1"/>
    </xf>
    <xf numFmtId="0" fontId="71" fillId="0" borderId="3" xfId="5" applyFont="1" applyBorder="1"/>
    <xf numFmtId="0" fontId="3" fillId="0" borderId="0" xfId="0" applyFont="1" applyAlignment="1">
      <alignment horizontal="center"/>
    </xf>
    <xf numFmtId="187" fontId="4" fillId="0" borderId="0" xfId="1" applyNumberFormat="1" applyFont="1"/>
    <xf numFmtId="165" fontId="8" fillId="0" borderId="0" xfId="6" applyNumberFormat="1" applyFont="1" applyAlignment="1">
      <alignment horizontal="center"/>
    </xf>
    <xf numFmtId="0" fontId="6" fillId="0" borderId="0" xfId="7" applyAlignment="1">
      <alignment horizontal="center" vertical="top"/>
    </xf>
    <xf numFmtId="0" fontId="6" fillId="0" borderId="0" xfId="7" applyAlignment="1">
      <alignment horizontal="center" vertical="top" wrapText="1"/>
    </xf>
    <xf numFmtId="165" fontId="4" fillId="0" borderId="3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left"/>
    </xf>
    <xf numFmtId="0" fontId="62" fillId="0" borderId="3" xfId="0" applyFont="1" applyBorder="1" applyAlignment="1">
      <alignment horizontal="center" wrapText="1"/>
    </xf>
    <xf numFmtId="0" fontId="62" fillId="0" borderId="0" xfId="0" applyFont="1" applyAlignment="1">
      <alignment horizontal="center"/>
    </xf>
    <xf numFmtId="0" fontId="64" fillId="0" borderId="0" xfId="0" applyFont="1" applyAlignment="1">
      <alignment horizontal="left"/>
    </xf>
    <xf numFmtId="0" fontId="4" fillId="0" borderId="0" xfId="5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64" fontId="4" fillId="0" borderId="0" xfId="1" applyNumberFormat="1" applyFont="1" applyAlignment="1">
      <alignment horizontal="right"/>
    </xf>
    <xf numFmtId="0" fontId="4" fillId="0" borderId="0" xfId="6" applyFont="1" applyAlignment="1">
      <alignment horizontal="center"/>
    </xf>
    <xf numFmtId="0" fontId="17" fillId="0" borderId="0" xfId="3" applyFont="1" applyAlignment="1">
      <alignment horizontal="center"/>
    </xf>
    <xf numFmtId="0" fontId="17" fillId="0" borderId="5" xfId="3" applyFont="1" applyBorder="1" applyAlignment="1">
      <alignment horizontal="center"/>
    </xf>
    <xf numFmtId="0" fontId="18" fillId="0" borderId="0" xfId="6" applyFont="1" applyAlignment="1">
      <alignment horizontal="center"/>
    </xf>
    <xf numFmtId="0" fontId="18" fillId="0" borderId="0" xfId="3" applyFont="1" applyAlignment="1">
      <alignment horizontal="center"/>
    </xf>
    <xf numFmtId="5" fontId="8" fillId="0" borderId="0" xfId="6" applyNumberFormat="1" applyFont="1" applyAlignment="1">
      <alignment horizontal="right"/>
    </xf>
    <xf numFmtId="0" fontId="69" fillId="0" borderId="47" xfId="0" applyFont="1" applyBorder="1" applyAlignment="1">
      <alignment horizontal="center"/>
    </xf>
    <xf numFmtId="0" fontId="69" fillId="0" borderId="46" xfId="0" applyFont="1" applyBorder="1" applyAlignment="1">
      <alignment horizontal="center"/>
    </xf>
    <xf numFmtId="0" fontId="8" fillId="0" borderId="0" xfId="0" applyFont="1" applyAlignment="1">
      <alignment horizontal="right"/>
    </xf>
    <xf numFmtId="37" fontId="18" fillId="0" borderId="0" xfId="8" applyFont="1" applyAlignment="1">
      <alignment horizontal="center"/>
    </xf>
    <xf numFmtId="0" fontId="9" fillId="0" borderId="0" xfId="6" applyFont="1" applyAlignment="1">
      <alignment horizontal="center"/>
    </xf>
    <xf numFmtId="37" fontId="8" fillId="0" borderId="0" xfId="6" applyNumberFormat="1" applyFont="1" applyAlignment="1">
      <alignment horizontal="right"/>
    </xf>
    <xf numFmtId="0" fontId="75" fillId="0" borderId="0" xfId="0" applyFont="1" applyAlignment="1">
      <alignment horizontal="left" wrapText="1"/>
    </xf>
    <xf numFmtId="0" fontId="8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7" fillId="0" borderId="3" xfId="5" applyFont="1" applyBorder="1" applyAlignment="1">
      <alignment horizontal="center"/>
    </xf>
    <xf numFmtId="0" fontId="3" fillId="0" borderId="3" xfId="5" applyFont="1" applyBorder="1" applyAlignment="1">
      <alignment horizontal="center"/>
    </xf>
    <xf numFmtId="0" fontId="62" fillId="0" borderId="3" xfId="5" applyFont="1" applyBorder="1" applyAlignment="1">
      <alignment horizontal="center"/>
    </xf>
    <xf numFmtId="0" fontId="79" fillId="0" borderId="0" xfId="5" applyFont="1" applyAlignment="1">
      <alignment horizontal="center"/>
    </xf>
    <xf numFmtId="0" fontId="79" fillId="0" borderId="54" xfId="5" applyFont="1" applyBorder="1" applyAlignment="1">
      <alignment horizontal="center"/>
    </xf>
    <xf numFmtId="0" fontId="81" fillId="0" borderId="3" xfId="0" applyFont="1" applyBorder="1" applyAlignment="1">
      <alignment horizontal="center"/>
    </xf>
    <xf numFmtId="0" fontId="55" fillId="0" borderId="32" xfId="0" applyFont="1" applyBorder="1" applyAlignment="1">
      <alignment horizontal="center"/>
    </xf>
    <xf numFmtId="164" fontId="23" fillId="0" borderId="0" xfId="5" applyNumberFormat="1" applyFont="1" applyAlignment="1">
      <alignment horizontal="right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33" xfId="0" applyFont="1" applyBorder="1"/>
    <xf numFmtId="0" fontId="9" fillId="0" borderId="10" xfId="0" applyFont="1" applyBorder="1"/>
    <xf numFmtId="0" fontId="9" fillId="0" borderId="34" xfId="0" applyFont="1" applyBorder="1"/>
    <xf numFmtId="0" fontId="4" fillId="0" borderId="1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6" applyFont="1" applyBorder="1" applyAlignment="1">
      <alignment horizontal="center"/>
    </xf>
    <xf numFmtId="0" fontId="4" fillId="0" borderId="0" xfId="0" applyFont="1" applyAlignment="1">
      <alignment horizontal="center"/>
    </xf>
    <xf numFmtId="10" fontId="25" fillId="0" borderId="11" xfId="0" applyNumberFormat="1" applyFont="1" applyBorder="1" applyAlignment="1">
      <alignment horizontal="center"/>
    </xf>
    <xf numFmtId="10" fontId="25" fillId="0" borderId="2" xfId="0" applyNumberFormat="1" applyFont="1" applyBorder="1" applyAlignment="1">
      <alignment horizontal="center"/>
    </xf>
    <xf numFmtId="10" fontId="25" fillId="0" borderId="12" xfId="0" applyNumberFormat="1" applyFont="1" applyBorder="1" applyAlignment="1">
      <alignment horizontal="center"/>
    </xf>
    <xf numFmtId="37" fontId="18" fillId="0" borderId="0" xfId="8" quotePrefix="1" applyFont="1" applyAlignment="1">
      <alignment horizontal="center"/>
    </xf>
    <xf numFmtId="37" fontId="17" fillId="0" borderId="0" xfId="8" applyFont="1" applyAlignment="1">
      <alignment horizontal="left" wrapText="1"/>
    </xf>
    <xf numFmtId="0" fontId="72" fillId="0" borderId="50" xfId="4" applyFont="1" applyBorder="1" applyAlignment="1">
      <alignment horizontal="center"/>
    </xf>
    <xf numFmtId="0" fontId="72" fillId="0" borderId="51" xfId="4" applyFont="1" applyBorder="1" applyAlignment="1">
      <alignment horizontal="center"/>
    </xf>
    <xf numFmtId="0" fontId="72" fillId="0" borderId="52" xfId="4" applyFont="1" applyBorder="1" applyAlignment="1">
      <alignment horizontal="center"/>
    </xf>
  </cellXfs>
  <cellStyles count="61">
    <cellStyle name="20% - Accent1 2" xfId="33" xr:uid="{00000000-0005-0000-0000-000000000000}"/>
    <cellStyle name="20% - Accent2 2" xfId="37" xr:uid="{00000000-0005-0000-0000-000001000000}"/>
    <cellStyle name="20% - Accent3 2" xfId="41" xr:uid="{00000000-0005-0000-0000-000002000000}"/>
    <cellStyle name="20% - Accent4 2" xfId="45" xr:uid="{00000000-0005-0000-0000-000003000000}"/>
    <cellStyle name="20% - Accent5 2" xfId="49" xr:uid="{00000000-0005-0000-0000-000004000000}"/>
    <cellStyle name="20% - Accent6 2" xfId="53" xr:uid="{00000000-0005-0000-0000-000005000000}"/>
    <cellStyle name="40% - Accent1 2" xfId="34" xr:uid="{00000000-0005-0000-0000-000006000000}"/>
    <cellStyle name="40% - Accent2 2" xfId="38" xr:uid="{00000000-0005-0000-0000-000007000000}"/>
    <cellStyle name="40% - Accent3 2" xfId="42" xr:uid="{00000000-0005-0000-0000-000008000000}"/>
    <cellStyle name="40% - Accent4 2" xfId="46" xr:uid="{00000000-0005-0000-0000-000009000000}"/>
    <cellStyle name="40% - Accent5 2" xfId="50" xr:uid="{00000000-0005-0000-0000-00000A000000}"/>
    <cellStyle name="40% - Accent6 2" xfId="54" xr:uid="{00000000-0005-0000-0000-00000B000000}"/>
    <cellStyle name="60% - Accent1 2" xfId="35" xr:uid="{00000000-0005-0000-0000-00000C000000}"/>
    <cellStyle name="60% - Accent2 2" xfId="39" xr:uid="{00000000-0005-0000-0000-00000D000000}"/>
    <cellStyle name="60% - Accent3 2" xfId="43" xr:uid="{00000000-0005-0000-0000-00000E000000}"/>
    <cellStyle name="60% - Accent4 2" xfId="47" xr:uid="{00000000-0005-0000-0000-00000F000000}"/>
    <cellStyle name="60% - Accent5 2" xfId="51" xr:uid="{00000000-0005-0000-0000-000010000000}"/>
    <cellStyle name="60% - Accent6 2" xfId="55" xr:uid="{00000000-0005-0000-0000-000011000000}"/>
    <cellStyle name="Accent1 2" xfId="32" xr:uid="{00000000-0005-0000-0000-000012000000}"/>
    <cellStyle name="Accent2 2" xfId="36" xr:uid="{00000000-0005-0000-0000-000013000000}"/>
    <cellStyle name="Accent3 2" xfId="40" xr:uid="{00000000-0005-0000-0000-000014000000}"/>
    <cellStyle name="Accent4 2" xfId="44" xr:uid="{00000000-0005-0000-0000-000015000000}"/>
    <cellStyle name="Accent5 2" xfId="48" xr:uid="{00000000-0005-0000-0000-000016000000}"/>
    <cellStyle name="Accent6 2" xfId="52" xr:uid="{00000000-0005-0000-0000-000017000000}"/>
    <cellStyle name="Bad 2" xfId="22" xr:uid="{00000000-0005-0000-0000-000018000000}"/>
    <cellStyle name="Calculation 2" xfId="26" xr:uid="{00000000-0005-0000-0000-000019000000}"/>
    <cellStyle name="Check Cell 2" xfId="28" xr:uid="{00000000-0005-0000-0000-00001A000000}"/>
    <cellStyle name="Comma" xfId="1" builtinId="3"/>
    <cellStyle name="Comma 2" xfId="10" xr:uid="{00000000-0005-0000-0000-00001C000000}"/>
    <cellStyle name="Currency" xfId="2" builtinId="4"/>
    <cellStyle name="Currency 2" xfId="12" xr:uid="{00000000-0005-0000-0000-00001E000000}"/>
    <cellStyle name="Currency 3" xfId="14" xr:uid="{00000000-0005-0000-0000-00001F000000}"/>
    <cellStyle name="Explanatory Text 2" xfId="30" xr:uid="{00000000-0005-0000-0000-000020000000}"/>
    <cellStyle name="Good 2" xfId="21" xr:uid="{00000000-0005-0000-0000-000021000000}"/>
    <cellStyle name="Heading 1 2" xfId="17" xr:uid="{00000000-0005-0000-0000-000022000000}"/>
    <cellStyle name="Heading 2 2" xfId="18" xr:uid="{00000000-0005-0000-0000-000023000000}"/>
    <cellStyle name="Heading 3 2" xfId="19" xr:uid="{00000000-0005-0000-0000-000024000000}"/>
    <cellStyle name="Heading 4 2" xfId="20" xr:uid="{00000000-0005-0000-0000-000025000000}"/>
    <cellStyle name="Input 2" xfId="24" xr:uid="{00000000-0005-0000-0000-000026000000}"/>
    <cellStyle name="Linked Cell 2" xfId="27" xr:uid="{00000000-0005-0000-0000-000027000000}"/>
    <cellStyle name="Neutral 2" xfId="23" xr:uid="{00000000-0005-0000-0000-000028000000}"/>
    <cellStyle name="Normal" xfId="0" builtinId="0"/>
    <cellStyle name="Normal 2" xfId="11" xr:uid="{00000000-0005-0000-0000-00002A000000}"/>
    <cellStyle name="Normal 2 2" xfId="56" xr:uid="{00000000-0005-0000-0000-00002B000000}"/>
    <cellStyle name="Normal_1994 Rate Design Template mock-up" xfId="3" xr:uid="{00000000-0005-0000-0000-00002C000000}"/>
    <cellStyle name="Normal_FY 2004 Gas Cost - Monthly Budget (04 05))" xfId="4" xr:uid="{00000000-0005-0000-0000-00002D000000}"/>
    <cellStyle name="Normal_GenBillFrequency with Rate Design (Final)" xfId="5" xr:uid="{00000000-0005-0000-0000-00002E000000}"/>
    <cellStyle name="Normal_Kentucky - CCS98 as filed" xfId="6" xr:uid="{00000000-0005-0000-0000-00002F000000}"/>
    <cellStyle name="Normal_WKG Handbills 24 Month_August2006 (GS2)" xfId="7" xr:uid="{00000000-0005-0000-0000-000030000000}"/>
    <cellStyle name="Normal_WTH_998 garysmith" xfId="8" xr:uid="{00000000-0005-0000-0000-000031000000}"/>
    <cellStyle name="Note 2" xfId="16" xr:uid="{00000000-0005-0000-0000-000032000000}"/>
    <cellStyle name="Output 2" xfId="25" xr:uid="{00000000-0005-0000-0000-000033000000}"/>
    <cellStyle name="Percent" xfId="9" builtinId="5"/>
    <cellStyle name="Percent 2" xfId="15" xr:uid="{00000000-0005-0000-0000-000035000000}"/>
    <cellStyle name="Percent 3" xfId="60" xr:uid="{00000000-0005-0000-0000-000036000000}"/>
    <cellStyle name="SAPDataCell" xfId="59" xr:uid="{00000000-0005-0000-0000-000037000000}"/>
    <cellStyle name="SAPDimensionCell" xfId="57" xr:uid="{00000000-0005-0000-0000-000038000000}"/>
    <cellStyle name="SAPMemberCell" xfId="58" xr:uid="{00000000-0005-0000-0000-000039000000}"/>
    <cellStyle name="Title" xfId="13" builtinId="15" customBuiltin="1"/>
    <cellStyle name="Total 2" xfId="31" xr:uid="{00000000-0005-0000-0000-00003B000000}"/>
    <cellStyle name="Warning Text 2" xfId="29" xr:uid="{00000000-0005-0000-0000-00003C000000}"/>
  </cellStyles>
  <dxfs count="2"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  <color rgb="FF00FF00"/>
      <color rgb="FFCCFFCC"/>
      <color rgb="FF008000"/>
      <color rgb="FF99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Q33"/>
  <sheetViews>
    <sheetView workbookViewId="0">
      <selection activeCell="D5" sqref="D5"/>
    </sheetView>
  </sheetViews>
  <sheetFormatPr defaultRowHeight="12.75"/>
  <cols>
    <col min="1" max="1" width="10.140625" bestFit="1" customWidth="1"/>
    <col min="2" max="2" width="9.140625" bestFit="1" customWidth="1"/>
    <col min="3" max="3" width="10.140625" bestFit="1" customWidth="1"/>
    <col min="4" max="4" width="15" bestFit="1" customWidth="1"/>
    <col min="5" max="5" width="13.28515625" bestFit="1" customWidth="1"/>
    <col min="6" max="6" width="9.42578125" bestFit="1" customWidth="1"/>
    <col min="7" max="7" width="15.5703125" bestFit="1" customWidth="1"/>
    <col min="8" max="8" width="10.85546875" bestFit="1" customWidth="1"/>
    <col min="9" max="9" width="12.28515625" bestFit="1" customWidth="1"/>
    <col min="10" max="10" width="14.28515625" bestFit="1" customWidth="1"/>
    <col min="11" max="22" width="14.85546875" customWidth="1"/>
    <col min="23" max="24" width="15" bestFit="1" customWidth="1"/>
    <col min="25" max="25" width="18.5703125" bestFit="1" customWidth="1"/>
    <col min="26" max="26" width="14.85546875" bestFit="1" customWidth="1"/>
    <col min="27" max="27" width="11.85546875" customWidth="1"/>
  </cols>
  <sheetData>
    <row r="1" spans="1:12">
      <c r="A1" s="659" t="s">
        <v>677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</row>
    <row r="2" spans="1:12">
      <c r="A2" s="659" t="s">
        <v>675</v>
      </c>
      <c r="B2" s="659"/>
      <c r="C2" s="659"/>
      <c r="D2" s="659"/>
      <c r="E2" s="659"/>
      <c r="F2" s="659"/>
      <c r="G2" s="659"/>
      <c r="H2" s="659"/>
      <c r="I2" s="659"/>
      <c r="J2" s="659"/>
      <c r="K2" s="659"/>
      <c r="L2" s="659"/>
    </row>
    <row r="3" spans="1:12">
      <c r="A3" s="659" t="s">
        <v>676</v>
      </c>
      <c r="B3" s="659"/>
      <c r="C3" s="659"/>
      <c r="D3" s="659"/>
      <c r="E3" s="659"/>
      <c r="F3" s="659"/>
      <c r="G3" s="659"/>
      <c r="H3" s="659"/>
      <c r="I3" s="659"/>
      <c r="J3" s="659"/>
      <c r="K3" s="659"/>
      <c r="L3" s="659"/>
    </row>
    <row r="4" spans="1:12">
      <c r="A4" s="358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</row>
    <row r="5" spans="1:12">
      <c r="A5" s="650" t="s">
        <v>678</v>
      </c>
      <c r="B5" s="650"/>
      <c r="C5" s="650"/>
      <c r="D5" s="628">
        <v>33001303.719418034</v>
      </c>
      <c r="E5" s="660" t="s">
        <v>679</v>
      </c>
      <c r="F5" s="660"/>
      <c r="G5" s="660"/>
      <c r="H5" s="358"/>
      <c r="I5" s="634"/>
      <c r="J5" s="358"/>
      <c r="K5" s="358"/>
      <c r="L5" s="358"/>
    </row>
    <row r="7" spans="1:12">
      <c r="A7" s="650" t="s">
        <v>669</v>
      </c>
      <c r="B7" s="650"/>
      <c r="C7" s="650"/>
      <c r="D7" s="434">
        <f>EOMONTH(D8,-12)+1</f>
        <v>45108</v>
      </c>
      <c r="E7" s="312" t="s">
        <v>649</v>
      </c>
      <c r="I7" s="635"/>
    </row>
    <row r="8" spans="1:12">
      <c r="A8" s="650" t="s">
        <v>670</v>
      </c>
      <c r="B8" s="650"/>
      <c r="C8" s="650"/>
      <c r="D8" s="301">
        <v>45473</v>
      </c>
      <c r="E8" s="314" t="s">
        <v>645</v>
      </c>
    </row>
    <row r="10" spans="1:12">
      <c r="A10" s="650" t="s">
        <v>547</v>
      </c>
      <c r="B10" s="650"/>
      <c r="C10" s="650"/>
      <c r="D10" s="434">
        <f>EOMONTH(D8,6+3+1)</f>
        <v>45777</v>
      </c>
      <c r="E10" s="312" t="s">
        <v>649</v>
      </c>
      <c r="F10" s="1"/>
    </row>
    <row r="11" spans="1:12">
      <c r="A11" s="650" t="s">
        <v>548</v>
      </c>
      <c r="B11" s="650"/>
      <c r="C11" s="650"/>
      <c r="D11" s="434">
        <f>EOMONTH(D10,11)</f>
        <v>46112</v>
      </c>
      <c r="E11" s="312" t="s">
        <v>649</v>
      </c>
      <c r="F11" s="1"/>
    </row>
    <row r="13" spans="1:12">
      <c r="A13" s="650" t="s">
        <v>640</v>
      </c>
      <c r="B13" s="650"/>
      <c r="C13" s="650"/>
      <c r="D13" s="313">
        <f>IF(MONTH(D7)=10,YEAR(D7),YEAR(D7)+1)</f>
        <v>2024</v>
      </c>
      <c r="E13" s="312" t="s">
        <v>649</v>
      </c>
    </row>
    <row r="16" spans="1:12">
      <c r="A16" s="650" t="s">
        <v>642</v>
      </c>
      <c r="B16" s="650"/>
      <c r="C16" s="650"/>
      <c r="D16" s="280" t="s">
        <v>638</v>
      </c>
      <c r="E16" s="316" t="s">
        <v>644</v>
      </c>
    </row>
    <row r="17" spans="1:17">
      <c r="A17" s="650" t="s">
        <v>643</v>
      </c>
      <c r="B17" s="650"/>
      <c r="C17" s="650"/>
      <c r="D17" s="280" t="s">
        <v>639</v>
      </c>
      <c r="E17" s="316" t="s">
        <v>644</v>
      </c>
    </row>
    <row r="19" spans="1:17">
      <c r="A19" s="311"/>
      <c r="B19" s="311"/>
      <c r="C19" s="311"/>
      <c r="D19" s="651" t="s">
        <v>19</v>
      </c>
      <c r="E19" s="652"/>
      <c r="F19" s="652"/>
      <c r="G19" s="653"/>
      <c r="H19" s="651" t="s">
        <v>20</v>
      </c>
      <c r="I19" s="652"/>
      <c r="J19" s="652"/>
      <c r="K19" s="653"/>
    </row>
    <row r="20" spans="1:17" ht="38.25" customHeight="1">
      <c r="A20" s="658" t="s">
        <v>641</v>
      </c>
      <c r="B20" s="658"/>
      <c r="C20" s="334" t="s">
        <v>672</v>
      </c>
      <c r="D20" s="315" t="s">
        <v>68</v>
      </c>
      <c r="E20" s="315" t="s">
        <v>96</v>
      </c>
      <c r="F20" s="315" t="s">
        <v>286</v>
      </c>
      <c r="G20" s="315" t="s">
        <v>502</v>
      </c>
      <c r="H20" s="315" t="s">
        <v>68</v>
      </c>
      <c r="I20" s="315" t="s">
        <v>96</v>
      </c>
      <c r="J20" s="315" t="s">
        <v>286</v>
      </c>
      <c r="K20" s="315" t="s">
        <v>502</v>
      </c>
      <c r="L20" s="313"/>
    </row>
    <row r="21" spans="1:17">
      <c r="A21" s="434">
        <f>DATE(D13-1,10,31)</f>
        <v>45230</v>
      </c>
      <c r="B21" s="434">
        <f>EOMONTH(A21,11)</f>
        <v>45565</v>
      </c>
      <c r="C21" s="435">
        <f>YEAR(B21)</f>
        <v>2024</v>
      </c>
      <c r="D21" s="436">
        <f>AVERAGEIFS('Monthly Forecast'!$D$12:$CI$12,'Monthly Forecast'!$D$8:$CI$8,"&gt;="&amp;Dashboard!$A21,'Monthly Forecast'!$D$8:$CI$8,"&lt;="&amp;Dashboard!$B21)</f>
        <v>160460.25</v>
      </c>
      <c r="E21" s="436">
        <f>AVERAGEIFS('Monthly Forecast'!$D$21:$CI$21,'Monthly Forecast'!$D$8:$CI$8,"&gt;="&amp;Dashboard!$A21,'Monthly Forecast'!$D$8:$CI$8,"&lt;="&amp;Dashboard!$B21)+AVERAGEIFS('Monthly Forecast'!$D$48:$CI$48,'Monthly Forecast'!$D$8:$CI$8,"&gt;="&amp;Dashboard!$A21,'Monthly Forecast'!$D$8:$CI$8,"&lt;="&amp;Dashboard!$B21)</f>
        <v>18326.083333333336</v>
      </c>
      <c r="F21" s="436">
        <f>AVERAGEIFS('Monthly Forecast'!$D$30:$CI$30,'Monthly Forecast'!$D$8:$CI$8,"&gt;="&amp;Dashboard!$A21,'Monthly Forecast'!$D$8:$CI$8,"&lt;="&amp;Dashboard!$B21)+AVERAGEIFS('Monthly Forecast'!$D$56:$CI$56,'Monthly Forecast'!$D$8:$CI$8,"&gt;="&amp;Dashboard!$A21,'Monthly Forecast'!$D$8:$CI$8,"&lt;="&amp;Dashboard!$B21)</f>
        <v>216.41666666666669</v>
      </c>
      <c r="G21" s="436">
        <f>AVERAGEIFS('Monthly Forecast'!$D$39:$CI$39,'Monthly Forecast'!$D$8:$CI$8,"&gt;="&amp;Dashboard!$A21,'Monthly Forecast'!$D$8:$CI$8,"&lt;="&amp;Dashboard!$B21)</f>
        <v>1501.5</v>
      </c>
      <c r="H21" s="436">
        <f>SUMIFS('Monthly Forecast'!$D$16:$CI$16,'Monthly Forecast'!$D$8:$CI$8,"&gt;="&amp;Dashboard!$A21,'Monthly Forecast'!$D$8:$CI$8,"&lt;="&amp;Dashboard!$B21)</f>
        <v>9938592.8244971242</v>
      </c>
      <c r="I21" s="436">
        <f>SUMIFS('Monthly Forecast'!$D$25:$CI$25,'Monthly Forecast'!$D$8:$CI$8,"&gt;="&amp;Dashboard!$A21,'Monthly Forecast'!$D$8:$CI$8,"&lt;="&amp;Dashboard!$B21)+SUMIFS('Monthly Forecast'!$D$51:$CI$51,'Monthly Forecast'!$D$8:$CI$8,"&gt;="&amp;Dashboard!$A21,'Monthly Forecast'!$D$8:$CI$8,"&lt;="&amp;Dashboard!$B21)</f>
        <v>5587496.4232023628</v>
      </c>
      <c r="J21" s="436">
        <f>SUMIFS('Monthly Forecast'!$D$34:$CI$34,'Monthly Forecast'!$D$8:$CI$8,"&gt;="&amp;Dashboard!$A21,'Monthly Forecast'!$D$8:$CI$8,"&lt;="&amp;Dashboard!$B21)+SUMIFS('Monthly Forecast'!$D$59:$CI$59,'Monthly Forecast'!$D$8:$CI$8,"&gt;="&amp;Dashboard!$A21,'Monthly Forecast'!$D$8:$CI$8,"&lt;="&amp;Dashboard!$B21)</f>
        <v>825382.21760000009</v>
      </c>
      <c r="K21" s="436">
        <f>SUMIFS('Monthly Forecast'!$D$43:$CI$43,'Monthly Forecast'!$D$8:$CI$8,"&gt;="&amp;Dashboard!$A21,'Monthly Forecast'!$D$8:$CI$8,"&lt;="&amp;Dashboard!$B21)</f>
        <v>915391.3162</v>
      </c>
      <c r="L21" s="312" t="s">
        <v>649</v>
      </c>
    </row>
    <row r="22" spans="1:17">
      <c r="A22" s="434">
        <f>EOMONTH(A21,12)</f>
        <v>45596</v>
      </c>
      <c r="B22" s="434">
        <f t="shared" ref="B22:B26" si="0">EOMONTH(B21,12)</f>
        <v>45930</v>
      </c>
      <c r="C22" s="435">
        <f t="shared" ref="C22:C26" si="1">YEAR(B22)</f>
        <v>2025</v>
      </c>
      <c r="D22" s="436">
        <f>AVERAGEIFS('Monthly Forecast'!$D$12:$CI$12,'Monthly Forecast'!$D$8:$CI$8,"&gt;="&amp;Dashboard!$A22,'Monthly Forecast'!$D$8:$CI$8,"&lt;="&amp;Dashboard!$B22)</f>
        <v>160460.25</v>
      </c>
      <c r="E22" s="436">
        <f>AVERAGEIFS('Monthly Forecast'!$D$21:$CI$21,'Monthly Forecast'!$D$8:$CI$8,"&gt;="&amp;Dashboard!$A22,'Monthly Forecast'!$D$8:$CI$8,"&lt;="&amp;Dashboard!$B22)+AVERAGEIFS('Monthly Forecast'!$D$48:$CI$48,'Monthly Forecast'!$D$8:$CI$8,"&gt;="&amp;Dashboard!$A22,'Monthly Forecast'!$D$8:$CI$8,"&lt;="&amp;Dashboard!$B22)</f>
        <v>18376.083333333336</v>
      </c>
      <c r="F22" s="436">
        <f>AVERAGEIFS('Monthly Forecast'!$D$30:$CI$30,'Monthly Forecast'!$D$8:$CI$8,"&gt;="&amp;Dashboard!$A22,'Monthly Forecast'!$D$8:$CI$8,"&lt;="&amp;Dashboard!$B22)+AVERAGEIFS('Monthly Forecast'!$D$56:$CI$56,'Monthly Forecast'!$D$8:$CI$8,"&gt;="&amp;Dashboard!$A22,'Monthly Forecast'!$D$8:$CI$8,"&lt;="&amp;Dashboard!$B22)</f>
        <v>216.41666666666669</v>
      </c>
      <c r="G22" s="436">
        <f>AVERAGEIFS('Monthly Forecast'!$D$39:$CI$39,'Monthly Forecast'!$D$8:$CI$8,"&gt;="&amp;Dashboard!$A22,'Monthly Forecast'!$D$8:$CI$8,"&lt;="&amp;Dashboard!$B22)</f>
        <v>1501.5</v>
      </c>
      <c r="H22" s="436">
        <f>SUMIFS('Monthly Forecast'!$D$16:$CI$16,'Monthly Forecast'!$D$8:$CI$8,"&gt;="&amp;Dashboard!$A22,'Monthly Forecast'!$D$8:$CI$8,"&lt;="&amp;Dashboard!$B22)</f>
        <v>9938592.8194675092</v>
      </c>
      <c r="I22" s="436">
        <f>SUMIFS('Monthly Forecast'!$D$25:$CI$25,'Monthly Forecast'!$D$8:$CI$8,"&gt;="&amp;Dashboard!$A22,'Monthly Forecast'!$D$8:$CI$8,"&lt;="&amp;Dashboard!$B22)+SUMIFS('Monthly Forecast'!$D$51:$CI$51,'Monthly Forecast'!$D$8:$CI$8,"&gt;="&amp;Dashboard!$A22,'Monthly Forecast'!$D$8:$CI$8,"&lt;="&amp;Dashboard!$B22)</f>
        <v>5602731.160611812</v>
      </c>
      <c r="J22" s="436">
        <f>SUMIFS('Monthly Forecast'!$D$34:$CI$34,'Monthly Forecast'!$D$8:$CI$8,"&gt;="&amp;Dashboard!$A22,'Monthly Forecast'!$D$8:$CI$8,"&lt;="&amp;Dashboard!$B22)+SUMIFS('Monthly Forecast'!$D$59:$CI$59,'Monthly Forecast'!$D$8:$CI$8,"&gt;="&amp;Dashboard!$A22,'Monthly Forecast'!$D$8:$CI$8,"&lt;="&amp;Dashboard!$B22)</f>
        <v>825382.21760000009</v>
      </c>
      <c r="K22" s="436">
        <f>SUMIFS('Monthly Forecast'!$D$43:$CI$43,'Monthly Forecast'!$D$8:$CI$8,"&gt;="&amp;Dashboard!$A22,'Monthly Forecast'!$D$8:$CI$8,"&lt;="&amp;Dashboard!$B22)</f>
        <v>915391.3162</v>
      </c>
      <c r="L22" s="312" t="s">
        <v>649</v>
      </c>
    </row>
    <row r="23" spans="1:17">
      <c r="A23" s="434">
        <f t="shared" ref="A23:A26" si="2">EOMONTH(A22,12)</f>
        <v>45961</v>
      </c>
      <c r="B23" s="434">
        <f t="shared" si="0"/>
        <v>46295</v>
      </c>
      <c r="C23" s="435">
        <f t="shared" si="1"/>
        <v>2026</v>
      </c>
      <c r="D23" s="436">
        <f>AVERAGEIFS('Monthly Forecast'!$D$12:$CI$12,'Monthly Forecast'!$D$8:$CI$8,"&gt;="&amp;Dashboard!$A23,'Monthly Forecast'!$D$8:$CI$8,"&lt;="&amp;Dashboard!$B23)</f>
        <v>160460.25</v>
      </c>
      <c r="E23" s="436">
        <f>AVERAGEIFS('Monthly Forecast'!$D$21:$CI$21,'Monthly Forecast'!$D$8:$CI$8,"&gt;="&amp;Dashboard!$A23,'Monthly Forecast'!$D$8:$CI$8,"&lt;="&amp;Dashboard!$B23)+AVERAGEIFS('Monthly Forecast'!$D$48:$CI$48,'Monthly Forecast'!$D$8:$CI$8,"&gt;="&amp;Dashboard!$A23,'Monthly Forecast'!$D$8:$CI$8,"&lt;="&amp;Dashboard!$B23)</f>
        <v>18426.083333333336</v>
      </c>
      <c r="F23" s="436">
        <f>AVERAGEIFS('Monthly Forecast'!$D$30:$CI$30,'Monthly Forecast'!$D$8:$CI$8,"&gt;="&amp;Dashboard!$A23,'Monthly Forecast'!$D$8:$CI$8,"&lt;="&amp;Dashboard!$B23)+AVERAGEIFS('Monthly Forecast'!$D$56:$CI$56,'Monthly Forecast'!$D$8:$CI$8,"&gt;="&amp;Dashboard!$A23,'Monthly Forecast'!$D$8:$CI$8,"&lt;="&amp;Dashboard!$B23)</f>
        <v>216.41666666666669</v>
      </c>
      <c r="G23" s="436">
        <f>AVERAGEIFS('Monthly Forecast'!$D$39:$CI$39,'Monthly Forecast'!$D$8:$CI$8,"&gt;="&amp;Dashboard!$A23,'Monthly Forecast'!$D$8:$CI$8,"&lt;="&amp;Dashboard!$B23)</f>
        <v>1501.5</v>
      </c>
      <c r="H23" s="436">
        <f>SUMIFS('Monthly Forecast'!$D$16:$CI$16,'Monthly Forecast'!$D$8:$CI$8,"&gt;="&amp;Dashboard!$A23,'Monthly Forecast'!$D$8:$CI$8,"&lt;="&amp;Dashboard!$B23)</f>
        <v>9938592.8194675092</v>
      </c>
      <c r="I23" s="436">
        <f>SUMIFS('Monthly Forecast'!$D$25:$CI$25,'Monthly Forecast'!$D$8:$CI$8,"&gt;="&amp;Dashboard!$A23,'Monthly Forecast'!$D$8:$CI$8,"&lt;="&amp;Dashboard!$B23)+SUMIFS('Monthly Forecast'!$D$51:$CI$51,'Monthly Forecast'!$D$8:$CI$8,"&gt;="&amp;Dashboard!$A23,'Monthly Forecast'!$D$8:$CI$8,"&lt;="&amp;Dashboard!$B23)</f>
        <v>5617966.948021261</v>
      </c>
      <c r="J23" s="436">
        <f>SUMIFS('Monthly Forecast'!$D$34:$CI$34,'Monthly Forecast'!$D$8:$CI$8,"&gt;="&amp;Dashboard!$A23,'Monthly Forecast'!$D$8:$CI$8,"&lt;="&amp;Dashboard!$B23)+SUMIFS('Monthly Forecast'!$D$59:$CI$59,'Monthly Forecast'!$D$8:$CI$8,"&gt;="&amp;Dashboard!$A23,'Monthly Forecast'!$D$8:$CI$8,"&lt;="&amp;Dashboard!$B23)</f>
        <v>825382.21760000009</v>
      </c>
      <c r="K23" s="436">
        <f>SUMIFS('Monthly Forecast'!$D$43:$CI$43,'Monthly Forecast'!$D$8:$CI$8,"&gt;="&amp;Dashboard!$A23,'Monthly Forecast'!$D$8:$CI$8,"&lt;="&amp;Dashboard!$B23)</f>
        <v>915391.3162</v>
      </c>
      <c r="L23" s="312" t="s">
        <v>649</v>
      </c>
    </row>
    <row r="24" spans="1:17">
      <c r="A24" s="434">
        <f t="shared" si="2"/>
        <v>46326</v>
      </c>
      <c r="B24" s="434">
        <f t="shared" si="0"/>
        <v>46660</v>
      </c>
      <c r="C24" s="435">
        <f t="shared" si="1"/>
        <v>2027</v>
      </c>
      <c r="D24" s="436">
        <f>AVERAGEIFS('Monthly Forecast'!$D$12:$CI$12,'Monthly Forecast'!$D$8:$CI$8,"&gt;="&amp;Dashboard!$A24,'Monthly Forecast'!$D$8:$CI$8,"&lt;="&amp;Dashboard!$B24)</f>
        <v>160460.25</v>
      </c>
      <c r="E24" s="436">
        <f>AVERAGEIFS('Monthly Forecast'!$D$21:$CI$21,'Monthly Forecast'!$D$8:$CI$8,"&gt;="&amp;Dashboard!$A24,'Monthly Forecast'!$D$8:$CI$8,"&lt;="&amp;Dashboard!$B24)+AVERAGEIFS('Monthly Forecast'!$D$48:$CI$48,'Monthly Forecast'!$D$8:$CI$8,"&gt;="&amp;Dashboard!$A24,'Monthly Forecast'!$D$8:$CI$8,"&lt;="&amp;Dashboard!$B24)</f>
        <v>18476.083333333336</v>
      </c>
      <c r="F24" s="436">
        <f>AVERAGEIFS('Monthly Forecast'!$D$30:$CI$30,'Monthly Forecast'!$D$8:$CI$8,"&gt;="&amp;Dashboard!$A24,'Monthly Forecast'!$D$8:$CI$8,"&lt;="&amp;Dashboard!$B24)+AVERAGEIFS('Monthly Forecast'!$D$56:$CI$56,'Monthly Forecast'!$D$8:$CI$8,"&gt;="&amp;Dashboard!$A24,'Monthly Forecast'!$D$8:$CI$8,"&lt;="&amp;Dashboard!$B24)</f>
        <v>216.41666666666669</v>
      </c>
      <c r="G24" s="436">
        <f>AVERAGEIFS('Monthly Forecast'!$D$39:$CI$39,'Monthly Forecast'!$D$8:$CI$8,"&gt;="&amp;Dashboard!$A24,'Monthly Forecast'!$D$8:$CI$8,"&lt;="&amp;Dashboard!$B24)</f>
        <v>1501.5</v>
      </c>
      <c r="H24" s="436">
        <f>SUMIFS('Monthly Forecast'!$D$16:$CI$16,'Monthly Forecast'!$D$8:$CI$8,"&gt;="&amp;Dashboard!$A24,'Monthly Forecast'!$D$8:$CI$8,"&lt;="&amp;Dashboard!$B24)</f>
        <v>9938592.8194675092</v>
      </c>
      <c r="I24" s="436">
        <f>SUMIFS('Monthly Forecast'!$D$25:$CI$25,'Monthly Forecast'!$D$8:$CI$8,"&gt;="&amp;Dashboard!$A24,'Monthly Forecast'!$D$8:$CI$8,"&lt;="&amp;Dashboard!$B24)+SUMIFS('Monthly Forecast'!$D$51:$CI$51,'Monthly Forecast'!$D$8:$CI$8,"&gt;="&amp;Dashboard!$A24,'Monthly Forecast'!$D$8:$CI$8,"&lt;="&amp;Dashboard!$B24)</f>
        <v>5633205.6469307104</v>
      </c>
      <c r="J24" s="436">
        <f>SUMIFS('Monthly Forecast'!$D$34:$CI$34,'Monthly Forecast'!$D$8:$CI$8,"&gt;="&amp;Dashboard!$A24,'Monthly Forecast'!$D$8:$CI$8,"&lt;="&amp;Dashboard!$B24)+SUMIFS('Monthly Forecast'!$D$59:$CI$59,'Monthly Forecast'!$D$8:$CI$8,"&gt;="&amp;Dashboard!$A24,'Monthly Forecast'!$D$8:$CI$8,"&lt;="&amp;Dashboard!$B24)</f>
        <v>825382.21760000009</v>
      </c>
      <c r="K24" s="436">
        <f>SUMIFS('Monthly Forecast'!$D$43:$CI$43,'Monthly Forecast'!$D$8:$CI$8,"&gt;="&amp;Dashboard!$A24,'Monthly Forecast'!$D$8:$CI$8,"&lt;="&amp;Dashboard!$B24)</f>
        <v>915391.3162</v>
      </c>
      <c r="L24" s="312" t="s">
        <v>649</v>
      </c>
    </row>
    <row r="25" spans="1:17">
      <c r="A25" s="434">
        <f t="shared" si="2"/>
        <v>46691</v>
      </c>
      <c r="B25" s="434">
        <f t="shared" si="0"/>
        <v>47026</v>
      </c>
      <c r="C25" s="435">
        <f t="shared" si="1"/>
        <v>2028</v>
      </c>
      <c r="D25" s="436">
        <f>AVERAGEIFS('Monthly Forecast'!$D$12:$CI$12,'Monthly Forecast'!$D$8:$CI$8,"&gt;="&amp;Dashboard!$A25,'Monthly Forecast'!$D$8:$CI$8,"&lt;="&amp;Dashboard!$B25)</f>
        <v>160460.25</v>
      </c>
      <c r="E25" s="436">
        <f>AVERAGEIFS('Monthly Forecast'!$D$21:$CI$21,'Monthly Forecast'!$D$8:$CI$8,"&gt;="&amp;Dashboard!$A25,'Monthly Forecast'!$D$8:$CI$8,"&lt;="&amp;Dashboard!$B25)+AVERAGEIFS('Monthly Forecast'!$D$48:$CI$48,'Monthly Forecast'!$D$8:$CI$8,"&gt;="&amp;Dashboard!$A25,'Monthly Forecast'!$D$8:$CI$8,"&lt;="&amp;Dashboard!$B25)</f>
        <v>18526.083333333336</v>
      </c>
      <c r="F25" s="436">
        <f>AVERAGEIFS('Monthly Forecast'!$D$30:$CI$30,'Monthly Forecast'!$D$8:$CI$8,"&gt;="&amp;Dashboard!$A25,'Monthly Forecast'!$D$8:$CI$8,"&lt;="&amp;Dashboard!$B25)+AVERAGEIFS('Monthly Forecast'!$D$56:$CI$56,'Monthly Forecast'!$D$8:$CI$8,"&gt;="&amp;Dashboard!$A25,'Monthly Forecast'!$D$8:$CI$8,"&lt;="&amp;Dashboard!$B25)</f>
        <v>216.41666666666669</v>
      </c>
      <c r="G25" s="436">
        <f>AVERAGEIFS('Monthly Forecast'!$D$39:$CI$39,'Monthly Forecast'!$D$8:$CI$8,"&gt;="&amp;Dashboard!$A25,'Monthly Forecast'!$D$8:$CI$8,"&lt;="&amp;Dashboard!$B25)</f>
        <v>1501.5</v>
      </c>
      <c r="H25" s="436">
        <f>SUMIFS('Monthly Forecast'!$D$16:$CI$16,'Monthly Forecast'!$D$8:$CI$8,"&gt;="&amp;Dashboard!$A25,'Monthly Forecast'!$D$8:$CI$8,"&lt;="&amp;Dashboard!$B25)</f>
        <v>9938592.8194675092</v>
      </c>
      <c r="I25" s="436">
        <f>SUMIFS('Monthly Forecast'!$D$25:$CI$25,'Monthly Forecast'!$D$8:$CI$8,"&gt;="&amp;Dashboard!$A25,'Monthly Forecast'!$D$8:$CI$8,"&lt;="&amp;Dashboard!$B25)+SUMIFS('Monthly Forecast'!$D$51:$CI$51,'Monthly Forecast'!$D$8:$CI$8,"&gt;="&amp;Dashboard!$A25,'Monthly Forecast'!$D$8:$CI$8,"&lt;="&amp;Dashboard!$B25)</f>
        <v>5648443.5393401589</v>
      </c>
      <c r="J25" s="436">
        <f>SUMIFS('Monthly Forecast'!$D$34:$CI$34,'Monthly Forecast'!$D$8:$CI$8,"&gt;="&amp;Dashboard!$A25,'Monthly Forecast'!$D$8:$CI$8,"&lt;="&amp;Dashboard!$B25)+SUMIFS('Monthly Forecast'!$D$59:$CI$59,'Monthly Forecast'!$D$8:$CI$8,"&gt;="&amp;Dashboard!$A25,'Monthly Forecast'!$D$8:$CI$8,"&lt;="&amp;Dashboard!$B25)</f>
        <v>825382.21760000009</v>
      </c>
      <c r="K25" s="436">
        <f>SUMIFS('Monthly Forecast'!$D$43:$CI$43,'Monthly Forecast'!$D$8:$CI$8,"&gt;="&amp;Dashboard!$A25,'Monthly Forecast'!$D$8:$CI$8,"&lt;="&amp;Dashboard!$B25)</f>
        <v>915391.3162</v>
      </c>
      <c r="L25" s="312" t="s">
        <v>649</v>
      </c>
      <c r="M25" s="357" t="s">
        <v>671</v>
      </c>
      <c r="N25" s="656" t="s">
        <v>673</v>
      </c>
      <c r="O25" s="656"/>
      <c r="P25" s="657"/>
    </row>
    <row r="26" spans="1:17">
      <c r="A26" s="434">
        <f t="shared" si="2"/>
        <v>47057</v>
      </c>
      <c r="B26" s="434">
        <f t="shared" si="0"/>
        <v>47391</v>
      </c>
      <c r="C26" s="435">
        <f t="shared" si="1"/>
        <v>2029</v>
      </c>
      <c r="D26" s="436">
        <f>AVERAGEIFS('Monthly Forecast'!$D$12:$CI$12,'Monthly Forecast'!$D$8:$CI$8,"&gt;="&amp;Dashboard!$A26,'Monthly Forecast'!$D$8:$CI$8,"&lt;="&amp;Dashboard!$B26)</f>
        <v>160460.25</v>
      </c>
      <c r="E26" s="436">
        <f>AVERAGEIFS('Monthly Forecast'!$D$21:$CI$21,'Monthly Forecast'!$D$8:$CI$8,"&gt;="&amp;Dashboard!$A26,'Monthly Forecast'!$D$8:$CI$8,"&lt;="&amp;Dashboard!$B26)+AVERAGEIFS('Monthly Forecast'!$D$48:$CI$48,'Monthly Forecast'!$D$8:$CI$8,"&gt;="&amp;Dashboard!$A26,'Monthly Forecast'!$D$8:$CI$8,"&lt;="&amp;Dashboard!$B26)</f>
        <v>18576.083333333336</v>
      </c>
      <c r="F26" s="436">
        <f>AVERAGEIFS('Monthly Forecast'!$D$30:$CI$30,'Monthly Forecast'!$D$8:$CI$8,"&gt;="&amp;Dashboard!$A26,'Monthly Forecast'!$D$8:$CI$8,"&lt;="&amp;Dashboard!$B26)+AVERAGEIFS('Monthly Forecast'!$D$56:$CI$56,'Monthly Forecast'!$D$8:$CI$8,"&gt;="&amp;Dashboard!$A26,'Monthly Forecast'!$D$8:$CI$8,"&lt;="&amp;Dashboard!$B26)</f>
        <v>216.41666666666669</v>
      </c>
      <c r="G26" s="436">
        <f>AVERAGEIFS('Monthly Forecast'!$D$39:$CI$39,'Monthly Forecast'!$D$8:$CI$8,"&gt;="&amp;Dashboard!$A26,'Monthly Forecast'!$D$8:$CI$8,"&lt;="&amp;Dashboard!$B26)</f>
        <v>1501.5</v>
      </c>
      <c r="H26" s="436">
        <f>SUMIFS('Monthly Forecast'!$D$16:$CI$16,'Monthly Forecast'!$D$8:$CI$8,"&gt;="&amp;Dashboard!$A26,'Monthly Forecast'!$D$8:$CI$8,"&lt;="&amp;Dashboard!$B26)</f>
        <v>9938592.8194675092</v>
      </c>
      <c r="I26" s="436">
        <f>SUMIFS('Monthly Forecast'!$D$25:$CI$25,'Monthly Forecast'!$D$8:$CI$8,"&gt;="&amp;Dashboard!$A26,'Monthly Forecast'!$D$8:$CI$8,"&lt;="&amp;Dashboard!$B26)+SUMIFS('Monthly Forecast'!$D$51:$CI$51,'Monthly Forecast'!$D$8:$CI$8,"&gt;="&amp;Dashboard!$A26,'Monthly Forecast'!$D$8:$CI$8,"&lt;="&amp;Dashboard!$B26)</f>
        <v>5663676.8121496076</v>
      </c>
      <c r="J26" s="436">
        <f>SUMIFS('Monthly Forecast'!$D$34:$CI$34,'Monthly Forecast'!$D$8:$CI$8,"&gt;="&amp;Dashboard!$A26,'Monthly Forecast'!$D$8:$CI$8,"&lt;="&amp;Dashboard!$B26)+SUMIFS('Monthly Forecast'!$D$59:$CI$59,'Monthly Forecast'!$D$8:$CI$8,"&gt;="&amp;Dashboard!$A26,'Monthly Forecast'!$D$8:$CI$8,"&lt;="&amp;Dashboard!$B26)</f>
        <v>825382.21760000009</v>
      </c>
      <c r="K26" s="436">
        <f>SUMIFS('Monthly Forecast'!$D$43:$CI$43,'Monthly Forecast'!$D$8:$CI$8,"&gt;="&amp;Dashboard!$A26,'Monthly Forecast'!$D$8:$CI$8,"&lt;="&amp;Dashboard!$B26)</f>
        <v>915391.3162</v>
      </c>
      <c r="L26" s="312" t="s">
        <v>649</v>
      </c>
      <c r="M26" s="437">
        <f>MAX('Monthly Forecast'!D8:CI8)</f>
        <v>47664</v>
      </c>
      <c r="N26" s="654" t="str">
        <f>IF(B26&gt;M26,"Not full fiscal year: only " &amp; 12 + ROUNDDOWN((M26-B26)/30,0) &amp; " months of data.","Last FY has full year of data.")</f>
        <v>Last FY has full year of data.</v>
      </c>
      <c r="O26" s="654"/>
      <c r="P26" s="655"/>
    </row>
    <row r="27" spans="1:17">
      <c r="L27" s="281"/>
      <c r="M27" s="281"/>
    </row>
    <row r="28" spans="1:17">
      <c r="L28" s="281"/>
      <c r="M28" s="281"/>
    </row>
    <row r="29" spans="1:17">
      <c r="L29" s="281"/>
      <c r="M29" s="281"/>
    </row>
    <row r="30" spans="1:17">
      <c r="L30" s="281"/>
      <c r="M30" s="281"/>
    </row>
    <row r="31" spans="1:17">
      <c r="L31" s="281"/>
      <c r="M31" s="281"/>
      <c r="P31" s="1"/>
      <c r="Q31" s="1"/>
    </row>
    <row r="32" spans="1:17">
      <c r="L32" s="281"/>
      <c r="M32" s="281"/>
    </row>
    <row r="33" spans="12:13">
      <c r="L33" s="281"/>
      <c r="M33" s="281"/>
    </row>
  </sheetData>
  <mergeCells count="17">
    <mergeCell ref="A1:L1"/>
    <mergeCell ref="A2:L2"/>
    <mergeCell ref="A3:L3"/>
    <mergeCell ref="A5:C5"/>
    <mergeCell ref="E5:G5"/>
    <mergeCell ref="N26:P26"/>
    <mergeCell ref="N25:P25"/>
    <mergeCell ref="A13:C13"/>
    <mergeCell ref="A16:C16"/>
    <mergeCell ref="A17:C17"/>
    <mergeCell ref="A20:B20"/>
    <mergeCell ref="A7:C7"/>
    <mergeCell ref="A8:C8"/>
    <mergeCell ref="A10:C10"/>
    <mergeCell ref="A11:C11"/>
    <mergeCell ref="H19:K19"/>
    <mergeCell ref="D19:G19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"/>
  <sheetViews>
    <sheetView tabSelected="1" zoomScaleNormal="100" workbookViewId="0">
      <selection activeCell="D50" sqref="D50"/>
    </sheetView>
  </sheetViews>
  <sheetFormatPr defaultColWidth="9.140625" defaultRowHeight="12.75"/>
  <cols>
    <col min="1" max="1" width="9.140625" style="26"/>
    <col min="2" max="2" width="26" style="26" bestFit="1" customWidth="1"/>
    <col min="3" max="6" width="10.7109375" style="26" customWidth="1"/>
    <col min="7" max="16384" width="9.140625" style="26"/>
  </cols>
  <sheetData>
    <row r="1" spans="1:9">
      <c r="A1" s="661" t="s">
        <v>67</v>
      </c>
      <c r="B1" s="661"/>
      <c r="C1" s="661"/>
      <c r="D1" s="661"/>
      <c r="E1" s="661"/>
      <c r="F1" s="661"/>
    </row>
    <row r="2" spans="1:9">
      <c r="A2" s="661" t="s">
        <v>585</v>
      </c>
      <c r="B2" s="661"/>
      <c r="C2" s="661"/>
      <c r="D2" s="661"/>
      <c r="E2" s="661"/>
      <c r="F2" s="661"/>
    </row>
    <row r="3" spans="1:9">
      <c r="A3" s="661" t="str">
        <f>'Test Year Revenue Present'!A6</f>
        <v>TEST YEAR ENDING MARCH 31 2026</v>
      </c>
      <c r="B3" s="661"/>
      <c r="C3" s="661"/>
      <c r="D3" s="661"/>
      <c r="E3" s="661"/>
      <c r="F3" s="661"/>
    </row>
    <row r="4" spans="1:9">
      <c r="A4" s="121"/>
      <c r="B4" s="121"/>
      <c r="C4" s="121"/>
      <c r="D4" s="121"/>
      <c r="E4" s="121"/>
    </row>
    <row r="5" spans="1:9">
      <c r="A5" s="121"/>
      <c r="B5" s="121"/>
      <c r="C5" s="121"/>
      <c r="D5" s="121"/>
      <c r="E5" s="121"/>
    </row>
    <row r="6" spans="1:9">
      <c r="A6" s="128" t="s">
        <v>11</v>
      </c>
      <c r="B6" s="121"/>
      <c r="C6" s="128" t="s">
        <v>586</v>
      </c>
      <c r="D6" s="128" t="s">
        <v>141</v>
      </c>
      <c r="E6" s="128" t="s">
        <v>142</v>
      </c>
    </row>
    <row r="7" spans="1:9">
      <c r="A7" s="134" t="s">
        <v>16</v>
      </c>
      <c r="B7" s="135" t="s">
        <v>144</v>
      </c>
      <c r="C7" s="134" t="s">
        <v>587</v>
      </c>
      <c r="D7" s="134" t="s">
        <v>5</v>
      </c>
      <c r="E7" s="134" t="s">
        <v>5</v>
      </c>
      <c r="F7" s="120"/>
    </row>
    <row r="8" spans="1:9" ht="15.75">
      <c r="A8" s="122"/>
      <c r="B8" s="128" t="s">
        <v>12</v>
      </c>
      <c r="C8" s="128" t="s">
        <v>13</v>
      </c>
      <c r="D8" s="128" t="s">
        <v>14</v>
      </c>
      <c r="E8" s="128" t="s">
        <v>15</v>
      </c>
      <c r="F8" s="128" t="s">
        <v>80</v>
      </c>
    </row>
    <row r="9" spans="1:9">
      <c r="A9" s="121"/>
      <c r="B9" s="123"/>
      <c r="C9" s="121"/>
      <c r="D9" s="121"/>
      <c r="E9" s="121"/>
    </row>
    <row r="10" spans="1:9" ht="15.75">
      <c r="A10" s="128">
        <v>1</v>
      </c>
      <c r="B10" s="123" t="s">
        <v>148</v>
      </c>
      <c r="C10" s="124"/>
      <c r="D10" s="193"/>
      <c r="E10" s="124"/>
    </row>
    <row r="11" spans="1:9">
      <c r="A11" s="128">
        <v>2</v>
      </c>
      <c r="B11" s="121" t="s">
        <v>150</v>
      </c>
      <c r="C11" s="125" t="s">
        <v>6</v>
      </c>
      <c r="D11" s="305">
        <f>'Rate Design'!G12</f>
        <v>19.3</v>
      </c>
      <c r="E11" s="305">
        <f>'Rate Design'!J12</f>
        <v>25</v>
      </c>
      <c r="H11" s="438">
        <f>+E11-D11</f>
        <v>5.6999999999999993</v>
      </c>
      <c r="I11" s="439">
        <f>+H11/D11</f>
        <v>0.29533678756476678</v>
      </c>
    </row>
    <row r="12" spans="1:9">
      <c r="A12" s="128">
        <v>3</v>
      </c>
      <c r="B12" s="121" t="s">
        <v>152</v>
      </c>
      <c r="C12" s="125" t="s">
        <v>6</v>
      </c>
      <c r="D12" s="440">
        <f>'Rate Design'!G13</f>
        <v>66</v>
      </c>
      <c r="E12" s="440">
        <f>'Rate Design'!J13</f>
        <v>75</v>
      </c>
      <c r="H12" s="438">
        <f t="shared" ref="H12:H15" si="0">+E12-D12</f>
        <v>9</v>
      </c>
      <c r="I12" s="439">
        <f t="shared" ref="I12:I15" si="1">+H12/D12</f>
        <v>0.13636363636363635</v>
      </c>
    </row>
    <row r="13" spans="1:9">
      <c r="A13" s="128">
        <v>4</v>
      </c>
      <c r="B13" s="121" t="s">
        <v>471</v>
      </c>
      <c r="C13" s="125" t="s">
        <v>466</v>
      </c>
      <c r="D13" s="440">
        <f>'Rate Design'!G14</f>
        <v>520</v>
      </c>
      <c r="E13" s="440">
        <f>'Rate Design'!J14</f>
        <v>685</v>
      </c>
      <c r="H13" s="438">
        <f t="shared" si="0"/>
        <v>165</v>
      </c>
      <c r="I13" s="439">
        <f t="shared" si="1"/>
        <v>0.31730769230769229</v>
      </c>
    </row>
    <row r="14" spans="1:9">
      <c r="A14" s="128">
        <v>5</v>
      </c>
      <c r="B14" s="121" t="s">
        <v>468</v>
      </c>
      <c r="C14" s="125" t="s">
        <v>467</v>
      </c>
      <c r="D14" s="440">
        <f>'Rate Design'!G15</f>
        <v>520</v>
      </c>
      <c r="E14" s="440">
        <f>'Rate Design'!J15</f>
        <v>685</v>
      </c>
      <c r="H14" s="438">
        <f t="shared" si="0"/>
        <v>165</v>
      </c>
      <c r="I14" s="439">
        <f t="shared" si="1"/>
        <v>0.31730769230769229</v>
      </c>
    </row>
    <row r="15" spans="1:9">
      <c r="A15" s="128">
        <v>6</v>
      </c>
      <c r="B15" s="121" t="s">
        <v>470</v>
      </c>
      <c r="C15" s="125" t="s">
        <v>469</v>
      </c>
      <c r="D15" s="440">
        <f>'Rate Design'!G16</f>
        <v>520</v>
      </c>
      <c r="E15" s="440">
        <f>'Rate Design'!J16</f>
        <v>685</v>
      </c>
      <c r="H15" s="438">
        <f t="shared" si="0"/>
        <v>165</v>
      </c>
      <c r="I15" s="439">
        <f t="shared" si="1"/>
        <v>0.31730769230769229</v>
      </c>
    </row>
    <row r="16" spans="1:9">
      <c r="A16" s="128">
        <v>7</v>
      </c>
      <c r="B16" s="121"/>
      <c r="C16" s="125"/>
      <c r="D16" s="214"/>
      <c r="E16" s="143"/>
    </row>
    <row r="17" spans="1:12" ht="15.75">
      <c r="A17" s="128">
        <v>8</v>
      </c>
      <c r="B17" s="123" t="s">
        <v>158</v>
      </c>
      <c r="C17" s="122"/>
      <c r="D17" s="214"/>
      <c r="E17" s="143">
        <f>+D17</f>
        <v>0</v>
      </c>
    </row>
    <row r="18" spans="1:12">
      <c r="A18" s="128">
        <v>9</v>
      </c>
      <c r="B18" s="121" t="s">
        <v>654</v>
      </c>
      <c r="C18" s="125" t="s">
        <v>6</v>
      </c>
      <c r="D18" s="127"/>
      <c r="E18" s="127"/>
    </row>
    <row r="19" spans="1:12" ht="15.75">
      <c r="A19" s="128">
        <v>10</v>
      </c>
      <c r="B19" s="128" t="s">
        <v>161</v>
      </c>
      <c r="C19" s="122"/>
      <c r="D19" s="441">
        <f>'Rate Design'!G19</f>
        <v>1.5483</v>
      </c>
      <c r="E19" s="441">
        <f>'Rate Design'!J19</f>
        <v>2.2951000000000001</v>
      </c>
    </row>
    <row r="20" spans="1:12">
      <c r="A20" s="128">
        <v>11</v>
      </c>
      <c r="B20" s="128" t="s">
        <v>162</v>
      </c>
      <c r="C20" s="125"/>
      <c r="D20" s="12">
        <f>'Rate Design'!G20</f>
        <v>1.0762</v>
      </c>
      <c r="E20" s="12">
        <f>'Rate Design'!J20</f>
        <v>1.5952999999999999</v>
      </c>
    </row>
    <row r="21" spans="1:12">
      <c r="A21" s="128">
        <v>12</v>
      </c>
      <c r="B21" s="128" t="s">
        <v>163</v>
      </c>
      <c r="C21" s="124"/>
      <c r="D21" s="12">
        <f>'Rate Design'!G21</f>
        <v>0.88880000000000003</v>
      </c>
      <c r="E21" s="12">
        <f>'Rate Design'!J21</f>
        <v>1.3174999999999999</v>
      </c>
    </row>
    <row r="22" spans="1:12">
      <c r="A22" s="128">
        <v>13</v>
      </c>
      <c r="B22" s="121" t="s">
        <v>655</v>
      </c>
      <c r="C22" s="125" t="s">
        <v>6</v>
      </c>
      <c r="D22" s="127"/>
      <c r="E22" s="127"/>
    </row>
    <row r="23" spans="1:12" ht="15.75">
      <c r="A23" s="128">
        <v>14</v>
      </c>
      <c r="B23" s="128" t="s">
        <v>161</v>
      </c>
      <c r="C23" s="122"/>
      <c r="D23" s="441">
        <f>'Rate Design'!G23</f>
        <v>1.5483</v>
      </c>
      <c r="E23" s="441">
        <f>'Rate Design'!J23</f>
        <v>2.2951000000000001</v>
      </c>
      <c r="G23" s="442">
        <f>'Monthly Forecast'!Q17</f>
        <v>4.0815000000000001</v>
      </c>
      <c r="I23" s="442">
        <f>+G23+D23</f>
        <v>5.6298000000000004</v>
      </c>
      <c r="J23" s="442">
        <f>+E23+G23</f>
        <v>6.3765999999999998</v>
      </c>
      <c r="K23" s="442">
        <f>+J23-I23</f>
        <v>0.74679999999999946</v>
      </c>
      <c r="L23" s="439">
        <f>+K23/I23</f>
        <v>0.13265124871220993</v>
      </c>
    </row>
    <row r="24" spans="1:12">
      <c r="A24" s="128">
        <v>15</v>
      </c>
      <c r="B24" s="128" t="s">
        <v>162</v>
      </c>
      <c r="C24" s="125"/>
      <c r="D24" s="12">
        <f>'Rate Design'!G24</f>
        <v>1.0762</v>
      </c>
      <c r="E24" s="12">
        <f>'Rate Design'!J24</f>
        <v>1.5952999999999999</v>
      </c>
      <c r="G24" s="442">
        <f>+G23</f>
        <v>4.0815000000000001</v>
      </c>
      <c r="I24" s="442">
        <f>+G24+D24</f>
        <v>5.1577000000000002</v>
      </c>
      <c r="J24" s="442">
        <f>+E24+G24</f>
        <v>5.6768000000000001</v>
      </c>
      <c r="K24" s="442">
        <f t="shared" ref="K24:K25" si="2">+J24-I24</f>
        <v>0.51909999999999989</v>
      </c>
      <c r="L24" s="439">
        <f t="shared" ref="L24:L25" si="3">+K24/I24</f>
        <v>0.10064563662097444</v>
      </c>
    </row>
    <row r="25" spans="1:12">
      <c r="A25" s="128">
        <v>16</v>
      </c>
      <c r="B25" s="128" t="s">
        <v>163</v>
      </c>
      <c r="C25" s="124"/>
      <c r="D25" s="12">
        <f>'Rate Design'!G25</f>
        <v>0.88880000000000003</v>
      </c>
      <c r="E25" s="12">
        <f>'Rate Design'!J25</f>
        <v>1.3174999999999999</v>
      </c>
      <c r="G25" s="442">
        <f>+G24</f>
        <v>4.0815000000000001</v>
      </c>
      <c r="I25" s="442">
        <f>+G25+D25</f>
        <v>4.9702999999999999</v>
      </c>
      <c r="J25" s="442">
        <f>+E25+G25</f>
        <v>5.399</v>
      </c>
      <c r="K25" s="442">
        <f t="shared" si="2"/>
        <v>0.42870000000000008</v>
      </c>
      <c r="L25" s="439">
        <f t="shared" si="3"/>
        <v>8.6252338893024583E-2</v>
      </c>
    </row>
    <row r="26" spans="1:12">
      <c r="A26" s="128">
        <v>17</v>
      </c>
      <c r="B26" s="121" t="s">
        <v>468</v>
      </c>
      <c r="C26" s="125" t="s">
        <v>467</v>
      </c>
      <c r="D26" s="305"/>
      <c r="E26" s="305"/>
    </row>
    <row r="27" spans="1:12" ht="15.75">
      <c r="A27" s="128">
        <v>18</v>
      </c>
      <c r="B27" s="128" t="s">
        <v>161</v>
      </c>
      <c r="C27" s="122"/>
      <c r="D27" s="441">
        <f>'Rate Design'!G27</f>
        <v>1.5483</v>
      </c>
      <c r="E27" s="441">
        <f>'Rate Design'!J27</f>
        <v>2.2951000000000001</v>
      </c>
      <c r="K27" s="442">
        <f>+E27-D27</f>
        <v>0.74680000000000013</v>
      </c>
      <c r="L27" s="439">
        <f>+K27/D27</f>
        <v>0.48233546470322297</v>
      </c>
    </row>
    <row r="28" spans="1:12">
      <c r="A28" s="128">
        <v>19</v>
      </c>
      <c r="B28" s="128" t="s">
        <v>162</v>
      </c>
      <c r="C28" s="125"/>
      <c r="D28" s="12">
        <f>'Rate Design'!G28</f>
        <v>1.0762</v>
      </c>
      <c r="E28" s="12">
        <f>'Rate Design'!J28</f>
        <v>1.5952999999999999</v>
      </c>
      <c r="K28" s="442">
        <f t="shared" ref="K28:K29" si="4">+E28-D28</f>
        <v>0.51909999999999989</v>
      </c>
      <c r="L28" s="439">
        <f t="shared" ref="L28:L29" si="5">+K28/D28</f>
        <v>0.48234528897974344</v>
      </c>
    </row>
    <row r="29" spans="1:12">
      <c r="A29" s="128">
        <v>20</v>
      </c>
      <c r="B29" s="128" t="s">
        <v>163</v>
      </c>
      <c r="C29" s="124"/>
      <c r="D29" s="12">
        <f>'Rate Design'!G29</f>
        <v>0.88880000000000003</v>
      </c>
      <c r="E29" s="12">
        <f>'Rate Design'!J29</f>
        <v>1.3174999999999999</v>
      </c>
      <c r="K29" s="442">
        <f t="shared" si="4"/>
        <v>0.42869999999999986</v>
      </c>
      <c r="L29" s="439">
        <f t="shared" si="5"/>
        <v>0.48233573357335718</v>
      </c>
    </row>
    <row r="30" spans="1:12">
      <c r="A30" s="128">
        <v>21</v>
      </c>
      <c r="B30" s="121" t="s">
        <v>471</v>
      </c>
      <c r="C30" s="125" t="s">
        <v>466</v>
      </c>
      <c r="D30" s="124"/>
      <c r="E30" s="124"/>
    </row>
    <row r="31" spans="1:12">
      <c r="A31" s="128">
        <v>22</v>
      </c>
      <c r="B31" s="128" t="s">
        <v>167</v>
      </c>
      <c r="C31" s="124"/>
      <c r="D31" s="441">
        <f>'Rate Design'!G31</f>
        <v>0.95569999999999999</v>
      </c>
      <c r="E31" s="441">
        <f>'Rate Design'!J31</f>
        <v>1.2955999999999999</v>
      </c>
      <c r="G31" s="443">
        <f>'Monthly Forecast'!Q52</f>
        <v>2.9218000000000002</v>
      </c>
      <c r="I31" s="442">
        <f>+D31+G31</f>
        <v>3.8775000000000004</v>
      </c>
      <c r="J31" s="442">
        <f>+G31+E31</f>
        <v>4.2173999999999996</v>
      </c>
      <c r="K31" s="442">
        <f>+J31-I31</f>
        <v>0.3398999999999992</v>
      </c>
      <c r="L31" s="439">
        <f>+K31/I31</f>
        <v>8.7659574468084894E-2</v>
      </c>
    </row>
    <row r="32" spans="1:12">
      <c r="A32" s="128">
        <v>23</v>
      </c>
      <c r="B32" s="128" t="s">
        <v>163</v>
      </c>
      <c r="C32" s="124"/>
      <c r="D32" s="12">
        <f>'Rate Design'!G32</f>
        <v>0.78369999999999995</v>
      </c>
      <c r="E32" s="12">
        <f>'Rate Design'!J32</f>
        <v>1.0624</v>
      </c>
      <c r="G32" s="443">
        <f>+G31</f>
        <v>2.9218000000000002</v>
      </c>
      <c r="I32" s="355">
        <f>+G32+D32</f>
        <v>3.7055000000000002</v>
      </c>
      <c r="J32" s="355">
        <f>+G32+E32</f>
        <v>3.9842000000000004</v>
      </c>
      <c r="K32" s="442">
        <f t="shared" ref="K32" si="6">+J32-I32</f>
        <v>0.27870000000000017</v>
      </c>
      <c r="L32" s="439">
        <f t="shared" ref="L32" si="7">+K32/I32</f>
        <v>7.5212521926865505E-2</v>
      </c>
    </row>
    <row r="33" spans="1:12">
      <c r="A33" s="128">
        <v>24</v>
      </c>
      <c r="B33" s="121" t="s">
        <v>470</v>
      </c>
      <c r="C33" s="125" t="s">
        <v>469</v>
      </c>
      <c r="D33" s="124"/>
      <c r="E33" s="124"/>
    </row>
    <row r="34" spans="1:12">
      <c r="A34" s="128">
        <v>25</v>
      </c>
      <c r="B34" s="128" t="s">
        <v>167</v>
      </c>
      <c r="C34" s="124"/>
      <c r="D34" s="441">
        <f>'Rate Design'!G34</f>
        <v>0.95569999999999999</v>
      </c>
      <c r="E34" s="441">
        <f>'Rate Design'!J34</f>
        <v>1.2955999999999999</v>
      </c>
      <c r="K34" s="442">
        <f t="shared" ref="K34" si="8">+E34-D34</f>
        <v>0.33989999999999987</v>
      </c>
      <c r="L34" s="439">
        <f t="shared" ref="L34" si="9">+K34/D34</f>
        <v>0.355655540441561</v>
      </c>
    </row>
    <row r="35" spans="1:12">
      <c r="A35" s="128">
        <v>26</v>
      </c>
      <c r="B35" s="128" t="s">
        <v>163</v>
      </c>
      <c r="C35" s="124"/>
      <c r="D35" s="12">
        <f>'Rate Design'!G35</f>
        <v>0.78369999999999995</v>
      </c>
      <c r="E35" s="12">
        <f>'Rate Design'!J35</f>
        <v>1.0624</v>
      </c>
      <c r="K35" s="442">
        <f t="shared" ref="K35" si="10">+E35-D35</f>
        <v>0.27870000000000006</v>
      </c>
      <c r="L35" s="439">
        <f t="shared" ref="L35" si="11">+K35/D35</f>
        <v>0.35562077325507219</v>
      </c>
    </row>
    <row r="36" spans="1:12">
      <c r="A36" s="128">
        <v>27</v>
      </c>
      <c r="B36" s="128"/>
      <c r="C36" s="124"/>
      <c r="D36" s="12"/>
      <c r="E36" s="12"/>
    </row>
    <row r="37" spans="1:12">
      <c r="A37" s="128">
        <v>28</v>
      </c>
      <c r="B37" s="123" t="s">
        <v>174</v>
      </c>
      <c r="C37" s="124"/>
      <c r="D37" s="133"/>
      <c r="E37" s="133"/>
    </row>
    <row r="38" spans="1:12">
      <c r="A38" s="128">
        <v>29</v>
      </c>
      <c r="B38" s="121" t="s">
        <v>175</v>
      </c>
      <c r="C38" s="125" t="s">
        <v>176</v>
      </c>
      <c r="D38" s="444">
        <f>'Rate Design'!G37</f>
        <v>50</v>
      </c>
      <c r="E38" s="444">
        <f>'Rate Design'!J37</f>
        <v>50</v>
      </c>
    </row>
    <row r="39" spans="1:12">
      <c r="A39" s="128">
        <v>30</v>
      </c>
      <c r="B39" s="121" t="s">
        <v>177</v>
      </c>
      <c r="C39" s="125" t="s">
        <v>157</v>
      </c>
      <c r="D39" s="440">
        <f>'Rate Design'!G38</f>
        <v>0</v>
      </c>
      <c r="E39" s="440">
        <f>'Rate Design'!J38</f>
        <v>0</v>
      </c>
    </row>
    <row r="40" spans="1:12">
      <c r="A40" s="128">
        <v>31</v>
      </c>
      <c r="B40" s="121"/>
      <c r="C40" s="125"/>
      <c r="D40" s="143"/>
      <c r="E40" s="143"/>
    </row>
    <row r="41" spans="1:12">
      <c r="A41" s="128">
        <v>32</v>
      </c>
      <c r="B41" s="121"/>
      <c r="C41" s="238" t="s">
        <v>189</v>
      </c>
      <c r="D41" s="238"/>
      <c r="E41" s="238" t="s">
        <v>143</v>
      </c>
      <c r="F41" s="238"/>
    </row>
    <row r="42" spans="1:12">
      <c r="A42" s="128">
        <v>33</v>
      </c>
      <c r="B42" s="121"/>
      <c r="C42" s="134" t="s">
        <v>146</v>
      </c>
      <c r="D42" s="134" t="s">
        <v>147</v>
      </c>
      <c r="E42" s="134" t="s">
        <v>146</v>
      </c>
      <c r="F42" s="137" t="s">
        <v>147</v>
      </c>
    </row>
    <row r="43" spans="1:12">
      <c r="A43" s="128">
        <v>34</v>
      </c>
      <c r="B43" s="123" t="s">
        <v>149</v>
      </c>
    </row>
    <row r="44" spans="1:12">
      <c r="A44" s="128">
        <v>35</v>
      </c>
      <c r="B44" s="121" t="s">
        <v>151</v>
      </c>
      <c r="C44" s="445">
        <f>'Rate Design'!N12</f>
        <v>3</v>
      </c>
      <c r="D44" s="445">
        <f>'Rate Design'!O12</f>
        <v>44</v>
      </c>
      <c r="E44" s="445">
        <f>'Rate Design'!P12</f>
        <v>3</v>
      </c>
      <c r="F44" s="445">
        <f>'Rate Design'!Q12</f>
        <v>44</v>
      </c>
    </row>
    <row r="45" spans="1:12">
      <c r="A45" s="128">
        <v>36</v>
      </c>
      <c r="B45" s="121" t="s">
        <v>190</v>
      </c>
      <c r="C45" s="446">
        <f>'Rate Design'!N13</f>
        <v>3</v>
      </c>
      <c r="D45" s="446">
        <f>'Rate Design'!O13</f>
        <v>28</v>
      </c>
      <c r="E45" s="446">
        <f>'Rate Design'!P13</f>
        <v>3</v>
      </c>
      <c r="F45" s="446">
        <f>'Rate Design'!Q13</f>
        <v>28</v>
      </c>
    </row>
    <row r="46" spans="1:12">
      <c r="A46" s="128">
        <v>37</v>
      </c>
      <c r="B46" s="121" t="s">
        <v>191</v>
      </c>
      <c r="C46" s="446">
        <f>'Rate Design'!N14</f>
        <v>3</v>
      </c>
      <c r="D46" s="446">
        <f>'Rate Design'!O14</f>
        <v>14</v>
      </c>
      <c r="E46" s="446">
        <f>'Rate Design'!P14</f>
        <v>3</v>
      </c>
      <c r="F46" s="446">
        <f>'Rate Design'!Q14</f>
        <v>14</v>
      </c>
    </row>
    <row r="47" spans="1:12">
      <c r="A47" s="128">
        <v>38</v>
      </c>
      <c r="B47" s="121" t="s">
        <v>192</v>
      </c>
      <c r="C47" s="446">
        <f>'Rate Design'!N15</f>
        <v>3</v>
      </c>
      <c r="D47" s="446">
        <f>'Rate Design'!O15</f>
        <v>47</v>
      </c>
      <c r="E47" s="446">
        <f>'Rate Design'!P15</f>
        <v>3</v>
      </c>
      <c r="F47" s="446">
        <f>'Rate Design'!Q15</f>
        <v>47</v>
      </c>
    </row>
    <row r="48" spans="1:12">
      <c r="A48" s="128">
        <v>39</v>
      </c>
      <c r="B48" s="121" t="s">
        <v>193</v>
      </c>
      <c r="C48" s="446">
        <f>'Rate Design'!N16</f>
        <v>3</v>
      </c>
      <c r="D48" s="446">
        <f>'Rate Design'!O16</f>
        <v>60</v>
      </c>
      <c r="E48" s="446">
        <f>'Rate Design'!P16</f>
        <v>3</v>
      </c>
      <c r="F48" s="446">
        <f>'Rate Design'!Q16</f>
        <v>60</v>
      </c>
    </row>
    <row r="49" spans="1:6">
      <c r="A49" s="128">
        <v>40</v>
      </c>
      <c r="B49" s="121" t="s">
        <v>166</v>
      </c>
      <c r="C49" s="446">
        <f>'Rate Design'!N17</f>
        <v>0</v>
      </c>
      <c r="D49" s="446" t="str">
        <f>'Rate Design'!O17</f>
        <v>N/A</v>
      </c>
      <c r="E49" s="446">
        <f>'Rate Design'!P17</f>
        <v>0</v>
      </c>
      <c r="F49" s="446" t="str">
        <f>'Rate Design'!Q17</f>
        <v>N/A</v>
      </c>
    </row>
    <row r="50" spans="1:6">
      <c r="A50" s="128">
        <v>41</v>
      </c>
      <c r="B50" s="121" t="s">
        <v>194</v>
      </c>
      <c r="C50" s="446">
        <f>'Rate Design'!N18</f>
        <v>20</v>
      </c>
      <c r="D50" s="446" t="str">
        <f>'Rate Design'!O18</f>
        <v>N/A</v>
      </c>
      <c r="E50" s="446">
        <f>'Rate Design'!P18</f>
        <v>20</v>
      </c>
      <c r="F50" s="446" t="str">
        <f>'Rate Design'!Q18</f>
        <v>N/A</v>
      </c>
    </row>
    <row r="51" spans="1:6">
      <c r="A51" s="128">
        <v>42</v>
      </c>
      <c r="B51" s="121" t="s">
        <v>168</v>
      </c>
      <c r="C51" s="446">
        <f>'Rate Design'!N19</f>
        <v>4</v>
      </c>
      <c r="D51" s="446" t="str">
        <f>'Rate Design'!O19</f>
        <v>N/A</v>
      </c>
      <c r="E51" s="446">
        <f>'Rate Design'!P19</f>
        <v>4</v>
      </c>
      <c r="F51" s="446" t="str">
        <f>'Rate Design'!Q19</f>
        <v>N/A</v>
      </c>
    </row>
    <row r="52" spans="1:6">
      <c r="A52" s="128">
        <v>43</v>
      </c>
      <c r="B52" s="121" t="s">
        <v>169</v>
      </c>
      <c r="C52" s="446">
        <f>'Rate Design'!N22</f>
        <v>75</v>
      </c>
      <c r="D52" s="446" t="str">
        <f>'Rate Design'!O22</f>
        <v>N/A</v>
      </c>
      <c r="E52" s="446">
        <f>'Rate Design'!P22</f>
        <v>75</v>
      </c>
      <c r="F52" s="446" t="str">
        <f>'Rate Design'!Q22</f>
        <v>N/A</v>
      </c>
    </row>
    <row r="53" spans="1:6">
      <c r="A53" s="128">
        <v>44</v>
      </c>
      <c r="B53" s="121" t="s">
        <v>170</v>
      </c>
      <c r="C53" s="446">
        <f>'Rate Design'!N23</f>
        <v>175</v>
      </c>
      <c r="D53" s="446" t="str">
        <f>'Rate Design'!O23</f>
        <v>N/A</v>
      </c>
      <c r="E53" s="446">
        <f>'Rate Design'!P23</f>
        <v>175</v>
      </c>
      <c r="F53" s="446" t="str">
        <f>'Rate Design'!Q23</f>
        <v>N/A</v>
      </c>
    </row>
    <row r="54" spans="1:6">
      <c r="A54" s="128">
        <v>45</v>
      </c>
      <c r="B54" s="121" t="s">
        <v>695</v>
      </c>
      <c r="C54" s="447">
        <f>'Rate Design'!N20</f>
        <v>0</v>
      </c>
      <c r="D54" s="447">
        <f>'Rate Design'!O20</f>
        <v>0</v>
      </c>
      <c r="E54" s="447">
        <f>'Rate Design'!P20</f>
        <v>0</v>
      </c>
      <c r="F54" s="447">
        <f>'Rate Design'!Q20</f>
        <v>0</v>
      </c>
    </row>
    <row r="55" spans="1:6">
      <c r="A55" s="128">
        <v>46</v>
      </c>
      <c r="B55" s="121" t="s">
        <v>696</v>
      </c>
      <c r="C55" s="447">
        <f>'Rate Design'!N21</f>
        <v>0.05</v>
      </c>
      <c r="D55" s="447">
        <f>'Rate Design'!O21</f>
        <v>0</v>
      </c>
      <c r="E55" s="447">
        <f>'Rate Design'!P21</f>
        <v>0.05</v>
      </c>
      <c r="F55" s="447">
        <f>'Rate Design'!Q21</f>
        <v>0</v>
      </c>
    </row>
  </sheetData>
  <mergeCells count="3">
    <mergeCell ref="A1:F1"/>
    <mergeCell ref="A2:F2"/>
    <mergeCell ref="A3:F3"/>
  </mergeCells>
  <printOptions horizontalCentered="1"/>
  <pageMargins left="0.25" right="0.25" top="0.75" bottom="0.75" header="0.3" footer="0.3"/>
  <pageSetup scale="97" orientation="portrait" r:id="rId1"/>
  <headerFooter>
    <oddFooter>&amp;C&amp;A&amp;R&amp;P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A74"/>
  <sheetViews>
    <sheetView topLeftCell="AF1" zoomScaleNormal="100" workbookViewId="0">
      <selection activeCell="C46" sqref="C46"/>
    </sheetView>
  </sheetViews>
  <sheetFormatPr defaultColWidth="9.140625" defaultRowHeight="12.75"/>
  <cols>
    <col min="1" max="1" width="6.7109375" style="26" bestFit="1" customWidth="1"/>
    <col min="2" max="2" width="9.5703125" style="26" bestFit="1" customWidth="1"/>
    <col min="3" max="3" width="45.140625" style="26" bestFit="1" customWidth="1"/>
    <col min="4" max="7" width="9.85546875" style="26" customWidth="1"/>
    <col min="8" max="9" width="10.140625" style="26" bestFit="1" customWidth="1"/>
    <col min="10" max="15" width="10.7109375" style="26" bestFit="1" customWidth="1"/>
    <col min="16" max="16" width="12.42578125" style="26" bestFit="1" customWidth="1"/>
    <col min="17" max="19" width="10.7109375" style="26" bestFit="1" customWidth="1"/>
    <col min="20" max="25" width="11" style="26" bestFit="1" customWidth="1"/>
    <col min="26" max="26" width="3.85546875" style="26" customWidth="1"/>
    <col min="27" max="28" width="10.7109375" style="26" bestFit="1" customWidth="1"/>
    <col min="29" max="37" width="10.7109375" style="22" bestFit="1" customWidth="1"/>
    <col min="38" max="38" width="11.42578125" style="22" bestFit="1" customWidth="1"/>
    <col min="39" max="39" width="12.85546875" style="29" bestFit="1" customWidth="1"/>
    <col min="40" max="45" width="12" style="26" bestFit="1" customWidth="1"/>
    <col min="46" max="46" width="9.140625" style="26"/>
    <col min="47" max="47" width="13" style="26" bestFit="1" customWidth="1"/>
    <col min="48" max="48" width="14" style="26" bestFit="1" customWidth="1"/>
    <col min="49" max="49" width="10.7109375" style="26" customWidth="1"/>
    <col min="50" max="52" width="13" style="26" bestFit="1" customWidth="1"/>
    <col min="53" max="53" width="12" style="26" bestFit="1" customWidth="1"/>
    <col min="54" max="16384" width="9.140625" style="26"/>
  </cols>
  <sheetData>
    <row r="1" spans="1:52">
      <c r="A1" s="26" t="s">
        <v>67</v>
      </c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</row>
    <row r="5" spans="1:52" ht="13.5" thickBot="1"/>
    <row r="6" spans="1:52">
      <c r="D6" s="663" t="str">
        <f>"Base Period – 12 Months Ending " &amp; TEXT(EOMONTH(Dashboard!$D$8,0),"MMMM YYYY")</f>
        <v>Base Period – 12 Months Ending June 2024</v>
      </c>
      <c r="E6" s="663"/>
      <c r="F6" s="663"/>
      <c r="G6" s="663"/>
      <c r="H6" s="663"/>
      <c r="I6" s="663"/>
      <c r="J6" s="663"/>
      <c r="K6" s="663"/>
      <c r="L6" s="663"/>
      <c r="M6" s="663"/>
      <c r="N6" s="663"/>
      <c r="O6" s="664"/>
      <c r="P6" s="320" t="s">
        <v>646</v>
      </c>
      <c r="T6" s="182"/>
      <c r="U6" s="182"/>
      <c r="V6" s="182"/>
      <c r="W6" s="182"/>
      <c r="X6" s="182"/>
      <c r="Y6" s="182"/>
      <c r="Z6" s="182"/>
      <c r="AA6" s="663" t="str">
        <f>"Test Period – 12 Months Ending " &amp; TEXT(Dashboard!$D$11,"MMMM YYYY")</f>
        <v>Test Period – 12 Months Ending March 2026</v>
      </c>
      <c r="AB6" s="663"/>
      <c r="AC6" s="663"/>
      <c r="AD6" s="663"/>
      <c r="AE6" s="663"/>
      <c r="AF6" s="663"/>
      <c r="AG6" s="663"/>
      <c r="AH6" s="663"/>
      <c r="AI6" s="663"/>
      <c r="AJ6" s="663"/>
      <c r="AK6" s="663"/>
      <c r="AL6" s="664"/>
      <c r="AM6" s="320" t="s">
        <v>646</v>
      </c>
      <c r="AN6" s="662" t="s">
        <v>496</v>
      </c>
      <c r="AO6" s="662"/>
      <c r="AP6" s="662"/>
      <c r="AQ6" s="662"/>
      <c r="AR6" s="662"/>
      <c r="AS6" s="662"/>
    </row>
    <row r="7" spans="1:52">
      <c r="A7" s="231" t="s">
        <v>652</v>
      </c>
      <c r="B7" s="231" t="s">
        <v>653</v>
      </c>
      <c r="C7" s="120"/>
      <c r="D7" s="448">
        <f>EOMONTH(Dashboard!D7,0)</f>
        <v>45138</v>
      </c>
      <c r="E7" s="448">
        <f>EOMONTH(D7,1)</f>
        <v>45169</v>
      </c>
      <c r="F7" s="448">
        <f t="shared" ref="F7:O7" si="0">EOMONTH(E7,1)</f>
        <v>45199</v>
      </c>
      <c r="G7" s="448">
        <f t="shared" si="0"/>
        <v>45230</v>
      </c>
      <c r="H7" s="448">
        <f t="shared" si="0"/>
        <v>45260</v>
      </c>
      <c r="I7" s="448">
        <f t="shared" si="0"/>
        <v>45291</v>
      </c>
      <c r="J7" s="448">
        <f t="shared" si="0"/>
        <v>45322</v>
      </c>
      <c r="K7" s="448">
        <f t="shared" si="0"/>
        <v>45351</v>
      </c>
      <c r="L7" s="448">
        <f t="shared" si="0"/>
        <v>45382</v>
      </c>
      <c r="M7" s="448">
        <f t="shared" si="0"/>
        <v>45412</v>
      </c>
      <c r="N7" s="448">
        <f t="shared" si="0"/>
        <v>45443</v>
      </c>
      <c r="O7" s="448">
        <f t="shared" si="0"/>
        <v>45473</v>
      </c>
      <c r="P7" s="319" t="s">
        <v>551</v>
      </c>
      <c r="Q7" s="448">
        <f>EOMONTH(O7,1)</f>
        <v>45504</v>
      </c>
      <c r="R7" s="448">
        <f>EOMONTH(Q7,1)</f>
        <v>45535</v>
      </c>
      <c r="S7" s="448">
        <f t="shared" ref="S7:Y7" si="1">EOMONTH(R7,1)</f>
        <v>45565</v>
      </c>
      <c r="T7" s="448">
        <f t="shared" si="1"/>
        <v>45596</v>
      </c>
      <c r="U7" s="448">
        <f t="shared" si="1"/>
        <v>45626</v>
      </c>
      <c r="V7" s="448">
        <f t="shared" si="1"/>
        <v>45657</v>
      </c>
      <c r="W7" s="448">
        <f t="shared" si="1"/>
        <v>45688</v>
      </c>
      <c r="X7" s="448">
        <f t="shared" si="1"/>
        <v>45716</v>
      </c>
      <c r="Y7" s="448">
        <f t="shared" si="1"/>
        <v>45747</v>
      </c>
      <c r="Z7" s="322"/>
      <c r="AA7" s="448">
        <f>EOMONTH(Y7,1)</f>
        <v>45777</v>
      </c>
      <c r="AB7" s="448">
        <f>EOMONTH(AA7,1)</f>
        <v>45808</v>
      </c>
      <c r="AC7" s="448">
        <f t="shared" ref="AC7:AL7" si="2">EOMONTH(AB7,1)</f>
        <v>45838</v>
      </c>
      <c r="AD7" s="448">
        <f t="shared" si="2"/>
        <v>45869</v>
      </c>
      <c r="AE7" s="448">
        <f t="shared" si="2"/>
        <v>45900</v>
      </c>
      <c r="AF7" s="448">
        <f t="shared" si="2"/>
        <v>45930</v>
      </c>
      <c r="AG7" s="448">
        <f t="shared" si="2"/>
        <v>45961</v>
      </c>
      <c r="AH7" s="448">
        <f t="shared" si="2"/>
        <v>45991</v>
      </c>
      <c r="AI7" s="448">
        <f t="shared" si="2"/>
        <v>46022</v>
      </c>
      <c r="AJ7" s="448">
        <f t="shared" si="2"/>
        <v>46053</v>
      </c>
      <c r="AK7" s="448">
        <f t="shared" si="2"/>
        <v>46081</v>
      </c>
      <c r="AL7" s="448">
        <f t="shared" si="2"/>
        <v>46112</v>
      </c>
      <c r="AM7" s="319" t="s">
        <v>294</v>
      </c>
      <c r="AN7" s="449">
        <f>Dashboard!D13</f>
        <v>2024</v>
      </c>
      <c r="AO7" s="449">
        <f>AN7+1</f>
        <v>2025</v>
      </c>
      <c r="AP7" s="449">
        <f>+AO7+1</f>
        <v>2026</v>
      </c>
      <c r="AQ7" s="449">
        <f>+AP7+1</f>
        <v>2027</v>
      </c>
      <c r="AR7" s="449">
        <f t="shared" ref="AR7:AS7" si="3">+AQ7+1</f>
        <v>2028</v>
      </c>
      <c r="AS7" s="449">
        <f t="shared" si="3"/>
        <v>2029</v>
      </c>
      <c r="AU7"/>
      <c r="AV7"/>
      <c r="AW7"/>
      <c r="AX7"/>
      <c r="AY7"/>
      <c r="AZ7"/>
    </row>
    <row r="8" spans="1:52">
      <c r="B8" s="233"/>
      <c r="D8" s="233" t="s">
        <v>12</v>
      </c>
      <c r="E8" s="233" t="s">
        <v>13</v>
      </c>
      <c r="F8" s="233" t="s">
        <v>14</v>
      </c>
      <c r="G8" s="233" t="s">
        <v>15</v>
      </c>
      <c r="H8" s="233" t="s">
        <v>80</v>
      </c>
      <c r="I8" s="233" t="s">
        <v>81</v>
      </c>
      <c r="J8" s="233" t="s">
        <v>82</v>
      </c>
      <c r="K8" s="233" t="s">
        <v>83</v>
      </c>
      <c r="L8" s="233" t="s">
        <v>84</v>
      </c>
      <c r="M8" s="233" t="s">
        <v>85</v>
      </c>
      <c r="N8" s="233" t="s">
        <v>86</v>
      </c>
      <c r="O8" s="233" t="s">
        <v>87</v>
      </c>
      <c r="P8" s="349" t="s">
        <v>88</v>
      </c>
      <c r="Q8" s="233" t="s">
        <v>204</v>
      </c>
      <c r="R8" s="233" t="s">
        <v>205</v>
      </c>
      <c r="S8" s="233" t="s">
        <v>206</v>
      </c>
      <c r="T8" s="233" t="s">
        <v>207</v>
      </c>
      <c r="U8" s="233" t="s">
        <v>208</v>
      </c>
      <c r="V8" s="233" t="s">
        <v>209</v>
      </c>
      <c r="W8" s="233" t="s">
        <v>210</v>
      </c>
      <c r="X8" s="233" t="s">
        <v>211</v>
      </c>
      <c r="Y8" s="233" t="s">
        <v>212</v>
      </c>
      <c r="Z8" s="233" t="s">
        <v>213</v>
      </c>
      <c r="AA8" s="233" t="s">
        <v>214</v>
      </c>
      <c r="AB8" s="233" t="s">
        <v>215</v>
      </c>
      <c r="AC8" s="348" t="s">
        <v>216</v>
      </c>
      <c r="AD8" s="348" t="s">
        <v>217</v>
      </c>
      <c r="AE8" s="348" t="s">
        <v>218</v>
      </c>
      <c r="AF8" s="348" t="s">
        <v>219</v>
      </c>
      <c r="AG8" s="348" t="s">
        <v>220</v>
      </c>
      <c r="AH8" s="348" t="s">
        <v>221</v>
      </c>
      <c r="AI8" s="348" t="s">
        <v>222</v>
      </c>
      <c r="AJ8" s="348" t="s">
        <v>223</v>
      </c>
      <c r="AK8" s="348" t="s">
        <v>224</v>
      </c>
      <c r="AL8" s="348" t="s">
        <v>225</v>
      </c>
      <c r="AM8" s="349" t="s">
        <v>226</v>
      </c>
      <c r="AN8" s="233" t="s">
        <v>227</v>
      </c>
      <c r="AO8" s="233" t="s">
        <v>228</v>
      </c>
      <c r="AP8" s="233" t="s">
        <v>229</v>
      </c>
      <c r="AQ8" s="233" t="s">
        <v>230</v>
      </c>
      <c r="AR8" s="233" t="s">
        <v>231</v>
      </c>
      <c r="AS8" s="233" t="s">
        <v>232</v>
      </c>
      <c r="AU8"/>
      <c r="AV8"/>
      <c r="AW8"/>
      <c r="AX8"/>
      <c r="AY8"/>
      <c r="AZ8"/>
    </row>
    <row r="9" spans="1:52" ht="15.75">
      <c r="A9" s="233">
        <v>1</v>
      </c>
      <c r="B9" s="331"/>
      <c r="C9" s="186" t="s">
        <v>284</v>
      </c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307"/>
      <c r="Q9" s="186"/>
      <c r="R9" s="186"/>
      <c r="S9" s="186"/>
      <c r="AM9" s="307"/>
      <c r="AN9" s="450">
        <f>Dashboard!C21</f>
        <v>2024</v>
      </c>
      <c r="AO9" s="450">
        <f>Dashboard!C22</f>
        <v>2025</v>
      </c>
      <c r="AP9" s="450">
        <f>Dashboard!C23</f>
        <v>2026</v>
      </c>
      <c r="AQ9" s="450">
        <f>Dashboard!C24</f>
        <v>2027</v>
      </c>
      <c r="AR9" s="450">
        <f>Dashboard!C25</f>
        <v>2028</v>
      </c>
      <c r="AS9" s="450">
        <f>Dashboard!C26</f>
        <v>2029</v>
      </c>
      <c r="AU9"/>
      <c r="AV9"/>
      <c r="AW9"/>
      <c r="AX9"/>
      <c r="AY9"/>
      <c r="AZ9"/>
    </row>
    <row r="10" spans="1:52" ht="15.75">
      <c r="A10" s="233">
        <v>2</v>
      </c>
      <c r="B10" s="331"/>
      <c r="C10" s="186" t="s">
        <v>285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307"/>
      <c r="Q10" s="186"/>
      <c r="R10" s="186"/>
      <c r="S10" s="186"/>
      <c r="T10" s="158"/>
      <c r="U10" s="158"/>
      <c r="V10" s="158"/>
      <c r="W10" s="162"/>
      <c r="X10" s="162"/>
      <c r="Y10" s="162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307"/>
      <c r="AN10" s="162"/>
      <c r="AO10" s="162"/>
      <c r="AP10" s="162"/>
      <c r="AQ10" s="162"/>
      <c r="AR10" s="162"/>
      <c r="AS10" s="162"/>
      <c r="AT10" s="158"/>
      <c r="AU10"/>
      <c r="AV10"/>
      <c r="AW10"/>
      <c r="AX10"/>
      <c r="AY10"/>
      <c r="AZ10"/>
    </row>
    <row r="11" spans="1:52" ht="15.75">
      <c r="A11" s="233">
        <v>3</v>
      </c>
      <c r="B11" s="332">
        <v>4800</v>
      </c>
      <c r="C11" s="184" t="s">
        <v>68</v>
      </c>
      <c r="D11" s="29">
        <f>'Monthly Forecast'!D11+'Monthly Forecast'!D18</f>
        <v>3969751.9495913102</v>
      </c>
      <c r="E11" s="29">
        <f>'Monthly Forecast'!E11+'Monthly Forecast'!E18</f>
        <v>3792267.9969074996</v>
      </c>
      <c r="F11" s="29">
        <f>'Monthly Forecast'!F11+'Monthly Forecast'!F18</f>
        <v>3784927.1153308996</v>
      </c>
      <c r="G11" s="29">
        <f>'Monthly Forecast'!G11+'Monthly Forecast'!G18</f>
        <v>4486490.1382784499</v>
      </c>
      <c r="H11" s="29">
        <f>'Monthly Forecast'!H11+'Monthly Forecast'!H18</f>
        <v>7992001.5352331996</v>
      </c>
      <c r="I11" s="29">
        <f>'Monthly Forecast'!I11+'Monthly Forecast'!I18</f>
        <v>11381337.708756</v>
      </c>
      <c r="J11" s="29">
        <f>'Monthly Forecast'!J11+'Monthly Forecast'!J18</f>
        <v>13142261.7257546</v>
      </c>
      <c r="K11" s="29">
        <f>'Monthly Forecast'!K11+'Monthly Forecast'!K18</f>
        <v>13301826.117949001</v>
      </c>
      <c r="L11" s="29">
        <f>'Monthly Forecast'!L11+'Monthly Forecast'!L18</f>
        <v>10193121.290026</v>
      </c>
      <c r="M11" s="29">
        <f>'Monthly Forecast'!M11+'Monthly Forecast'!M18</f>
        <v>7610648.3279617503</v>
      </c>
      <c r="N11" s="29">
        <f>'Monthly Forecast'!N11+'Monthly Forecast'!N18</f>
        <v>5193076.9077027198</v>
      </c>
      <c r="O11" s="29">
        <f>'Monthly Forecast'!O11+'Monthly Forecast'!O18</f>
        <v>3977900.6982728704</v>
      </c>
      <c r="P11" s="307">
        <f>SUM(D11:O11)</f>
        <v>88825611.511764303</v>
      </c>
      <c r="Q11" s="29">
        <f>'Monthly Forecast'!P11+'Monthly Forecast'!P18</f>
        <v>3801156.1528409775</v>
      </c>
      <c r="R11" s="29">
        <f>'Monthly Forecast'!Q11+'Monthly Forecast'!Q18</f>
        <v>3927290.2220665663</v>
      </c>
      <c r="S11" s="29">
        <f>'Monthly Forecast'!R11+'Monthly Forecast'!R18</f>
        <v>3922582.5558007024</v>
      </c>
      <c r="T11" s="29">
        <f>'Monthly Forecast'!S11+'Monthly Forecast'!S18</f>
        <v>4749660.9925711043</v>
      </c>
      <c r="U11" s="29">
        <f>'Monthly Forecast'!T11+'Monthly Forecast'!T18</f>
        <v>7428871.4514146149</v>
      </c>
      <c r="V11" s="29">
        <f>'Monthly Forecast'!U11+'Monthly Forecast'!U18</f>
        <v>10431445.24170484</v>
      </c>
      <c r="W11" s="29">
        <f>'Monthly Forecast'!V11+'Monthly Forecast'!V18</f>
        <v>11992252.294919178</v>
      </c>
      <c r="X11" s="29">
        <f>'Monthly Forecast'!W11+'Monthly Forecast'!W18</f>
        <v>15409287.06234552</v>
      </c>
      <c r="Y11" s="29">
        <f>'Monthly Forecast'!X11+'Monthly Forecast'!X18</f>
        <v>11656804.767033098</v>
      </c>
      <c r="Z11" s="29"/>
      <c r="AA11" s="29">
        <f>'Monthly Forecast'!Y11+'Monthly Forecast'!Y18</f>
        <v>8538618.3919688705</v>
      </c>
      <c r="AB11" s="29">
        <f>'Monthly Forecast'!Z11+'Monthly Forecast'!Z18</f>
        <v>5934429.0411818093</v>
      </c>
      <c r="AC11" s="29">
        <f>'Monthly Forecast'!AA11+'Monthly Forecast'!AA18</f>
        <v>4292695.357756936</v>
      </c>
      <c r="AD11" s="29">
        <f>'Monthly Forecast'!AB11+'Monthly Forecast'!AB18</f>
        <v>4063744.3259086246</v>
      </c>
      <c r="AE11" s="29">
        <f>'Monthly Forecast'!AC11+'Monthly Forecast'!AC18</f>
        <v>4114450.8999801613</v>
      </c>
      <c r="AF11" s="29">
        <f>'Monthly Forecast'!AD11+'Monthly Forecast'!AD18</f>
        <v>4113391.3245159043</v>
      </c>
      <c r="AG11" s="29">
        <f>'Monthly Forecast'!AE11+'Monthly Forecast'!AE18</f>
        <v>5114451.1981932959</v>
      </c>
      <c r="AH11" s="29">
        <f>'Monthly Forecast'!AF11+'Monthly Forecast'!AF18</f>
        <v>9311834.6008788608</v>
      </c>
      <c r="AI11" s="29">
        <f>'Monthly Forecast'!AG11+'Monthly Forecast'!AG18</f>
        <v>13607654.429036487</v>
      </c>
      <c r="AJ11" s="29">
        <f>'Monthly Forecast'!AH11+'Monthly Forecast'!AH18</f>
        <v>15837596.794330386</v>
      </c>
      <c r="AK11" s="29">
        <f>'Monthly Forecast'!AI11+'Monthly Forecast'!AI18</f>
        <v>16032940.521572027</v>
      </c>
      <c r="AL11" s="29">
        <f>'Monthly Forecast'!AJ11+'Monthly Forecast'!AJ18</f>
        <v>12089948.515114415</v>
      </c>
      <c r="AM11" s="307">
        <f t="shared" ref="AM11:AM14" si="4">SUM(AA11:AL11)</f>
        <v>103051755.40043777</v>
      </c>
      <c r="AN11" s="29">
        <f>SUMIFS('Monthly Forecast'!$D$11:$CI$11,'Monthly Forecast'!$D$8:$CI$8,"&gt;="&amp;Dashboard!$A21,'Monthly Forecast'!$D$8:$CI$8,"&lt;="&amp;Dashboard!$B21)+SUMIFS('Monthly Forecast'!$D$18:$CI$18,'Monthly Forecast'!$D$8:$CI$8,"&gt;="&amp;Dashboard!$A21,'Monthly Forecast'!$D$8:$CI$8,"&lt;="&amp;Dashboard!$B21)</f>
        <v>88929693.380642831</v>
      </c>
      <c r="AO11" s="29">
        <f>SUMIFS('Monthly Forecast'!$D$11:$CI$11,'Monthly Forecast'!$D$8:$CI$8,"&gt;="&amp;Dashboard!$A22,'Monthly Forecast'!$D$8:$CI$8,"&lt;="&amp;Dashboard!$B22)+SUMIFS('Monthly Forecast'!$D$18:$CI$18,'Monthly Forecast'!$D$8:$CI$8,"&gt;="&amp;Dashboard!$A22,'Monthly Forecast'!$D$8:$CI$8,"&lt;="&amp;Dashboard!$B22)</f>
        <v>92725651.151300669</v>
      </c>
      <c r="AP11" s="29">
        <f>SUMIFS('Monthly Forecast'!$D$11:$CI$11,'Monthly Forecast'!$D$8:$CI$8,"&gt;="&amp;Dashboard!$A23,'Monthly Forecast'!$D$8:$CI$8,"&lt;="&amp;Dashboard!$B23)+SUMIFS('Monthly Forecast'!$D$18:$CI$18,'Monthly Forecast'!$D$8:$CI$8,"&gt;="&amp;Dashboard!$A23,'Monthly Forecast'!$D$8:$CI$8,"&lt;="&amp;Dashboard!$B23)</f>
        <v>103672727.1825574</v>
      </c>
      <c r="AQ11" s="29">
        <f>SUMIFS('Monthly Forecast'!$D$11:$CI$11,'Monthly Forecast'!$D$8:$CI$8,"&gt;="&amp;Dashboard!$A24,'Monthly Forecast'!$D$8:$CI$8,"&lt;="&amp;Dashboard!$B24)+SUMIFS('Monthly Forecast'!$D$18:$CI$18,'Monthly Forecast'!$D$8:$CI$8,"&gt;="&amp;Dashboard!$A24,'Monthly Forecast'!$D$8:$CI$8,"&lt;="&amp;Dashboard!$B24)</f>
        <v>105137089.56675391</v>
      </c>
      <c r="AR11" s="29">
        <f>SUMIFS('Monthly Forecast'!$D$11:$CI$11,'Monthly Forecast'!$D$8:$CI$8,"&gt;="&amp;Dashboard!$A25,'Monthly Forecast'!$D$8:$CI$8,"&lt;="&amp;Dashboard!$B25)+SUMIFS('Monthly Forecast'!$D$18:$CI$18,'Monthly Forecast'!$D$8:$CI$8,"&gt;="&amp;Dashboard!$A25,'Monthly Forecast'!$D$8:$CI$8,"&lt;="&amp;Dashboard!$B25)</f>
        <v>104815040.98490888</v>
      </c>
      <c r="AS11" s="29">
        <f>SUMIFS('Monthly Forecast'!$D$11:$CI$11,'Monthly Forecast'!$D$8:$CI$8,"&gt;="&amp;Dashboard!$A26,'Monthly Forecast'!$D$8:$CI$8,"&lt;="&amp;Dashboard!$B26)+SUMIFS('Monthly Forecast'!$D$18:$CI$18,'Monthly Forecast'!$D$8:$CI$8,"&gt;="&amp;Dashboard!$A26,'Monthly Forecast'!$D$8:$CI$8,"&lt;="&amp;Dashboard!$B26)</f>
        <v>104295358.88034868</v>
      </c>
      <c r="AT11" s="158"/>
      <c r="AU11"/>
      <c r="AV11"/>
      <c r="AW11"/>
      <c r="AX11"/>
      <c r="AY11"/>
      <c r="AZ11"/>
    </row>
    <row r="12" spans="1:52" ht="15.75">
      <c r="A12" s="233">
        <v>4</v>
      </c>
      <c r="B12" s="332">
        <v>4811</v>
      </c>
      <c r="C12" s="184" t="s">
        <v>96</v>
      </c>
      <c r="D12" s="29">
        <f>'Monthly Forecast'!D20+'Monthly Forecast'!D27+'Monthly Forecast'!D47+'Monthly Forecast'!D53</f>
        <v>2046599.3423022632</v>
      </c>
      <c r="E12" s="29">
        <f>'Monthly Forecast'!E20+'Monthly Forecast'!E27+'Monthly Forecast'!E47+'Monthly Forecast'!E53</f>
        <v>1875322.6035215338</v>
      </c>
      <c r="F12" s="29">
        <f>'Monthly Forecast'!F20+'Monthly Forecast'!F27+'Monthly Forecast'!F47+'Monthly Forecast'!F53</f>
        <v>1860976.9598723857</v>
      </c>
      <c r="G12" s="29">
        <f>'Monthly Forecast'!G20+'Monthly Forecast'!G27+'Monthly Forecast'!G47+'Monthly Forecast'!G53</f>
        <v>2171283.2961406028</v>
      </c>
      <c r="H12" s="29">
        <f>'Monthly Forecast'!H20+'Monthly Forecast'!H27+'Monthly Forecast'!H47+'Monthly Forecast'!H53</f>
        <v>3866691.2343560201</v>
      </c>
      <c r="I12" s="29">
        <f>'Monthly Forecast'!I20+'Monthly Forecast'!I27+'Monthly Forecast'!I47+'Monthly Forecast'!I53</f>
        <v>5448425.312686366</v>
      </c>
      <c r="J12" s="29">
        <f>'Monthly Forecast'!J20+'Monthly Forecast'!J27+'Monthly Forecast'!J47+'Monthly Forecast'!J53</f>
        <v>6290067.7391743567</v>
      </c>
      <c r="K12" s="29">
        <f>'Monthly Forecast'!K20+'Monthly Forecast'!K27+'Monthly Forecast'!K47+'Monthly Forecast'!K53</f>
        <v>6326431.5314044263</v>
      </c>
      <c r="L12" s="29">
        <f>'Monthly Forecast'!L20+'Monthly Forecast'!L27+'Monthly Forecast'!L47+'Monthly Forecast'!L53</f>
        <v>4920479.6318482794</v>
      </c>
      <c r="M12" s="29">
        <f>'Monthly Forecast'!M20+'Monthly Forecast'!M27+'Monthly Forecast'!M47+'Monthly Forecast'!M53</f>
        <v>3738435.6819428089</v>
      </c>
      <c r="N12" s="29">
        <f>'Monthly Forecast'!N20+'Monthly Forecast'!N27+'Monthly Forecast'!N47+'Monthly Forecast'!N53</f>
        <v>2568384.3977711415</v>
      </c>
      <c r="O12" s="29">
        <f>'Monthly Forecast'!O20+'Monthly Forecast'!O27+'Monthly Forecast'!O47+'Monthly Forecast'!O53</f>
        <v>1984127.3977947198</v>
      </c>
      <c r="P12" s="307">
        <f t="shared" ref="P12:P15" si="5">SUM(D12:O12)</f>
        <v>43097225.128814906</v>
      </c>
      <c r="Q12" s="29">
        <f>'Monthly Forecast'!P20+'Monthly Forecast'!P27+'Monthly Forecast'!P47+'Monthly Forecast'!P53</f>
        <v>1887756.7397423061</v>
      </c>
      <c r="R12" s="29">
        <f>'Monthly Forecast'!Q20+'Monthly Forecast'!Q27+'Monthly Forecast'!Q47+'Monthly Forecast'!Q53</f>
        <v>2012201.7785806181</v>
      </c>
      <c r="S12" s="29">
        <f>'Monthly Forecast'!R20+'Monthly Forecast'!R27+'Monthly Forecast'!R47+'Monthly Forecast'!R53</f>
        <v>1998651.0531115844</v>
      </c>
      <c r="T12" s="29">
        <f>'Monthly Forecast'!S20+'Monthly Forecast'!S27+'Monthly Forecast'!S47+'Monthly Forecast'!S53</f>
        <v>2367384.4493297972</v>
      </c>
      <c r="U12" s="29">
        <f>'Monthly Forecast'!T20+'Monthly Forecast'!T27+'Monthly Forecast'!T47+'Monthly Forecast'!T53</f>
        <v>3567915.760764868</v>
      </c>
      <c r="V12" s="29">
        <f>'Monthly Forecast'!U20+'Monthly Forecast'!U27+'Monthly Forecast'!U47+'Monthly Forecast'!U53</f>
        <v>4972940.9546995321</v>
      </c>
      <c r="W12" s="29">
        <f>'Monthly Forecast'!V20+'Monthly Forecast'!V27+'Monthly Forecast'!V47+'Monthly Forecast'!V53</f>
        <v>5719509.107989125</v>
      </c>
      <c r="X12" s="29">
        <f>'Monthly Forecast'!W20+'Monthly Forecast'!W27+'Monthly Forecast'!W47+'Monthly Forecast'!W53</f>
        <v>7414296.2125599412</v>
      </c>
      <c r="Y12" s="29">
        <f>'Monthly Forecast'!X20+'Monthly Forecast'!X27+'Monthly Forecast'!X47+'Monthly Forecast'!X53</f>
        <v>5705584.7104940973</v>
      </c>
      <c r="Z12" s="29"/>
      <c r="AA12" s="29">
        <f>'Monthly Forecast'!Y20+'Monthly Forecast'!Y27+'Monthly Forecast'!Y47+'Monthly Forecast'!Y53</f>
        <v>4271267.0598839633</v>
      </c>
      <c r="AB12" s="29">
        <f>'Monthly Forecast'!Z20+'Monthly Forecast'!Z27+'Monthly Forecast'!Z47+'Monthly Forecast'!Z53</f>
        <v>3061246.5196948908</v>
      </c>
      <c r="AC12" s="29">
        <f>'Monthly Forecast'!AA20+'Monthly Forecast'!AA27+'Monthly Forecast'!AA47+'Monthly Forecast'!AA53</f>
        <v>2273715.0112157352</v>
      </c>
      <c r="AD12" s="29">
        <f>'Monthly Forecast'!AB20+'Monthly Forecast'!AB27+'Monthly Forecast'!AB47+'Monthly Forecast'!AB53</f>
        <v>2150099.1898706001</v>
      </c>
      <c r="AE12" s="29">
        <f>'Monthly Forecast'!AC20+'Monthly Forecast'!AC27+'Monthly Forecast'!AC47+'Monthly Forecast'!AC53</f>
        <v>2200779.2252973286</v>
      </c>
      <c r="AF12" s="29">
        <f>'Monthly Forecast'!AD20+'Monthly Forecast'!AD27+'Monthly Forecast'!AD47+'Monthly Forecast'!AD53</f>
        <v>2188343.7497986248</v>
      </c>
      <c r="AG12" s="29">
        <f>'Monthly Forecast'!AE20+'Monthly Forecast'!AE27+'Monthly Forecast'!AE47+'Monthly Forecast'!AE53</f>
        <v>2638127.7950633024</v>
      </c>
      <c r="AH12" s="29">
        <f>'Monthly Forecast'!AF20+'Monthly Forecast'!AF27+'Monthly Forecast'!AF47+'Monthly Forecast'!AF53</f>
        <v>4615856.0679500345</v>
      </c>
      <c r="AI12" s="29">
        <f>'Monthly Forecast'!AG20+'Monthly Forecast'!AG27+'Monthly Forecast'!AG47+'Monthly Forecast'!AG53</f>
        <v>6633460.0328641133</v>
      </c>
      <c r="AJ12" s="29">
        <f>'Monthly Forecast'!AH20+'Monthly Forecast'!AH27+'Monthly Forecast'!AH47+'Monthly Forecast'!AH53</f>
        <v>7709055.9460917469</v>
      </c>
      <c r="AK12" s="29">
        <f>'Monthly Forecast'!AI20+'Monthly Forecast'!AI27+'Monthly Forecast'!AI47+'Monthly Forecast'!AI53</f>
        <v>7751955.211258404</v>
      </c>
      <c r="AL12" s="29">
        <f>'Monthly Forecast'!AJ20+'Monthly Forecast'!AJ27+'Monthly Forecast'!AJ47+'Monthly Forecast'!AJ53</f>
        <v>5949916.2813429879</v>
      </c>
      <c r="AM12" s="307">
        <f t="shared" si="4"/>
        <v>51443822.090331733</v>
      </c>
      <c r="AN12" s="29">
        <f>SUMIFS('Monthly Forecast'!$D$20:$CI$20,'Monthly Forecast'!$D$8:$CI$8,"&gt;="&amp;Dashboard!$A21,'Monthly Forecast'!$D$8:$CI$8,"&lt;="&amp;Dashboard!$B21)+SUMIFS('Monthly Forecast'!$D$27:$CI$27,'Monthly Forecast'!$D$8:$CI$8,"&gt;="&amp;Dashboard!$A21,'Monthly Forecast'!$D$8:$CI$8,"&lt;="&amp;Dashboard!$B21)+SUMIFS('Monthly Forecast'!$D$47:$CI$47,'Monthly Forecast'!$D$8:$CI$8,"&gt;="&amp;Dashboard!$A21,'Monthly Forecast'!$D$8:$CI$8,"&lt;="&amp;Dashboard!$B21)+SUMIFS('Monthly Forecast'!$D$53:$CI$53,'Monthly Forecast'!$D$8:$CI$8,"&gt;="&amp;Dashboard!$A21,'Monthly Forecast'!$D$8:$CI$8,"&lt;="&amp;Dashboard!$B21)</f>
        <v>43212935.794553228</v>
      </c>
      <c r="AO12" s="29">
        <f>SUMIFS('Monthly Forecast'!$D$20:$CI$20,'Monthly Forecast'!$D$8:$CI$8,"&gt;="&amp;Dashboard!$A22,'Monthly Forecast'!$D$8:$CI$8,"&lt;="&amp;Dashboard!$B22)+SUMIFS('Monthly Forecast'!$D$27:$CI$27,'Monthly Forecast'!$D$8:$CI$8,"&gt;="&amp;Dashboard!$A22,'Monthly Forecast'!$D$8:$CI$8,"&lt;="&amp;Dashboard!$B22)+SUMIFS('Monthly Forecast'!$D$47:$CI$47,'Monthly Forecast'!$D$8:$CI$8,"&gt;="&amp;Dashboard!$A22,'Monthly Forecast'!$D$8:$CI$8,"&lt;="&amp;Dashboard!$B22)+SUMIFS('Monthly Forecast'!$D$53:$CI$53,'Monthly Forecast'!$D$8:$CI$8,"&gt;="&amp;Dashboard!$A22,'Monthly Forecast'!$D$8:$CI$8,"&lt;="&amp;Dashboard!$B22)</f>
        <v>45893081.951598495</v>
      </c>
      <c r="AP12" s="29">
        <f>SUMIFS('Monthly Forecast'!$D$20:$CI$20,'Monthly Forecast'!$D$8:$CI$8,"&gt;="&amp;Dashboard!$A23,'Monthly Forecast'!$D$8:$CI$8,"&lt;="&amp;Dashboard!$B23)+SUMIFS('Monthly Forecast'!$D$27:$CI$27,'Monthly Forecast'!$D$8:$CI$8,"&gt;="&amp;Dashboard!$A23,'Monthly Forecast'!$D$8:$CI$8,"&lt;="&amp;Dashboard!$B23)+SUMIFS('Monthly Forecast'!$D$47:$CI$47,'Monthly Forecast'!$D$8:$CI$8,"&gt;="&amp;Dashboard!$A23,'Monthly Forecast'!$D$8:$CI$8,"&lt;="&amp;Dashboard!$B23)+SUMIFS('Monthly Forecast'!$D$53:$CI$53,'Monthly Forecast'!$D$8:$CI$8,"&gt;="&amp;Dashboard!$A23,'Monthly Forecast'!$D$8:$CI$8,"&lt;="&amp;Dashboard!$B23)</f>
        <v>51926637.602106921</v>
      </c>
      <c r="AQ12" s="29">
        <f>SUMIFS('Monthly Forecast'!$D$20:$CI$20,'Monthly Forecast'!$D$8:$CI$8,"&gt;="&amp;Dashboard!$A24,'Monthly Forecast'!$D$8:$CI$8,"&lt;="&amp;Dashboard!$B24)+SUMIFS('Monthly Forecast'!$D$27:$CI$27,'Monthly Forecast'!$D$8:$CI$8,"&gt;="&amp;Dashboard!$A24,'Monthly Forecast'!$D$8:$CI$8,"&lt;="&amp;Dashboard!$B24)+SUMIFS('Monthly Forecast'!$D$47:$CI$47,'Monthly Forecast'!$D$8:$CI$8,"&gt;="&amp;Dashboard!$A24,'Monthly Forecast'!$D$8:$CI$8,"&lt;="&amp;Dashboard!$B24)+SUMIFS('Monthly Forecast'!$D$53:$CI$53,'Monthly Forecast'!$D$8:$CI$8,"&gt;="&amp;Dashboard!$A24,'Monthly Forecast'!$D$8:$CI$8,"&lt;="&amp;Dashboard!$B24)</f>
        <v>52839456.599848211</v>
      </c>
      <c r="AR12" s="29">
        <f>SUMIFS('Monthly Forecast'!$D$20:$CI$20,'Monthly Forecast'!$D$8:$CI$8,"&gt;="&amp;Dashboard!$A25,'Monthly Forecast'!$D$8:$CI$8,"&lt;="&amp;Dashboard!$B25)+SUMIFS('Monthly Forecast'!$D$27:$CI$27,'Monthly Forecast'!$D$8:$CI$8,"&gt;="&amp;Dashboard!$A25,'Monthly Forecast'!$D$8:$CI$8,"&lt;="&amp;Dashboard!$B25)+SUMIFS('Monthly Forecast'!$D$47:$CI$47,'Monthly Forecast'!$D$8:$CI$8,"&gt;="&amp;Dashboard!$A25,'Monthly Forecast'!$D$8:$CI$8,"&lt;="&amp;Dashboard!$B25)+SUMIFS('Monthly Forecast'!$D$53:$CI$53,'Monthly Forecast'!$D$8:$CI$8,"&gt;="&amp;Dashboard!$A25,'Monthly Forecast'!$D$8:$CI$8,"&lt;="&amp;Dashboard!$B25)</f>
        <v>52778411.292634554</v>
      </c>
      <c r="AS12" s="29">
        <f>SUMIFS('Monthly Forecast'!$D$20:$CI$20,'Monthly Forecast'!$D$8:$CI$8,"&gt;="&amp;Dashboard!$A26,'Monthly Forecast'!$D$8:$CI$8,"&lt;="&amp;Dashboard!$B26)+SUMIFS('Monthly Forecast'!$D$27:$CI$27,'Monthly Forecast'!$D$8:$CI$8,"&gt;="&amp;Dashboard!$A26,'Monthly Forecast'!$D$8:$CI$8,"&lt;="&amp;Dashboard!$B26)+SUMIFS('Monthly Forecast'!$D$47:$CI$47,'Monthly Forecast'!$D$8:$CI$8,"&gt;="&amp;Dashboard!$A26,'Monthly Forecast'!$D$8:$CI$8,"&lt;="&amp;Dashboard!$B26)+SUMIFS('Monthly Forecast'!$D$53:$CI$53,'Monthly Forecast'!$D$8:$CI$8,"&gt;="&amp;Dashboard!$A26,'Monthly Forecast'!$D$8:$CI$8,"&lt;="&amp;Dashboard!$B26)</f>
        <v>52635220.787074126</v>
      </c>
      <c r="AT12" s="158"/>
      <c r="AU12"/>
      <c r="AV12"/>
      <c r="AW12"/>
      <c r="AX12"/>
      <c r="AY12"/>
      <c r="AZ12"/>
    </row>
    <row r="13" spans="1:52" ht="15.75">
      <c r="A13" s="233">
        <v>5</v>
      </c>
      <c r="B13" s="332">
        <v>4812</v>
      </c>
      <c r="C13" s="184" t="s">
        <v>286</v>
      </c>
      <c r="D13" s="29">
        <f>'Monthly Forecast'!D29+'Monthly Forecast'!D36+'Monthly Forecast'!D55+'Monthly Forecast'!D61</f>
        <v>141720.38058982999</v>
      </c>
      <c r="E13" s="29">
        <f>'Monthly Forecast'!E29+'Monthly Forecast'!E36+'Monthly Forecast'!E55+'Monthly Forecast'!E61</f>
        <v>141881.87310239999</v>
      </c>
      <c r="F13" s="29">
        <f>'Monthly Forecast'!F29+'Monthly Forecast'!F36+'Monthly Forecast'!F55+'Monthly Forecast'!F61</f>
        <v>141904.27313175</v>
      </c>
      <c r="G13" s="29">
        <f>'Monthly Forecast'!G29+'Monthly Forecast'!G36+'Monthly Forecast'!G55+'Monthly Forecast'!G61</f>
        <v>155109.06864904996</v>
      </c>
      <c r="H13" s="29">
        <f>'Monthly Forecast'!H29+'Monthly Forecast'!H36+'Monthly Forecast'!H55+'Monthly Forecast'!H61</f>
        <v>299684.44511794997</v>
      </c>
      <c r="I13" s="29">
        <f>'Monthly Forecast'!I29+'Monthly Forecast'!I36+'Monthly Forecast'!I55+'Monthly Forecast'!I61</f>
        <v>470919.56489704998</v>
      </c>
      <c r="J13" s="29">
        <f>'Monthly Forecast'!J29+'Monthly Forecast'!J36+'Monthly Forecast'!J55+'Monthly Forecast'!J61</f>
        <v>721522.8427127999</v>
      </c>
      <c r="K13" s="29">
        <f>'Monthly Forecast'!K29+'Monthly Forecast'!K36+'Monthly Forecast'!K55+'Monthly Forecast'!K61</f>
        <v>619727.57879505015</v>
      </c>
      <c r="L13" s="29">
        <f>'Monthly Forecast'!L29+'Monthly Forecast'!L36+'Monthly Forecast'!L55+'Monthly Forecast'!L61</f>
        <v>423088.97774264996</v>
      </c>
      <c r="M13" s="29">
        <f>'Monthly Forecast'!M29+'Monthly Forecast'!M36+'Monthly Forecast'!M55+'Monthly Forecast'!M61</f>
        <v>323864.13057570002</v>
      </c>
      <c r="N13" s="29">
        <f>'Monthly Forecast'!N29+'Monthly Forecast'!N36+'Monthly Forecast'!N55+'Monthly Forecast'!N61</f>
        <v>309634.94092930004</v>
      </c>
      <c r="O13" s="29">
        <f>'Monthly Forecast'!O29+'Monthly Forecast'!O36+'Monthly Forecast'!O55+'Monthly Forecast'!O61</f>
        <v>151176.82631347002</v>
      </c>
      <c r="P13" s="307">
        <f t="shared" si="5"/>
        <v>3900234.9025570005</v>
      </c>
      <c r="Q13" s="29">
        <f>'Monthly Forecast'!P29+'Monthly Forecast'!P36+'Monthly Forecast'!P55+'Monthly Forecast'!P61</f>
        <v>114005.84025439</v>
      </c>
      <c r="R13" s="29">
        <f>'Monthly Forecast'!Q29+'Monthly Forecast'!Q36+'Monthly Forecast'!Q55+'Monthly Forecast'!Q61</f>
        <v>170132.00093948</v>
      </c>
      <c r="S13" s="29">
        <f>'Monthly Forecast'!R29+'Monthly Forecast'!R36+'Monthly Forecast'!R55+'Monthly Forecast'!R61</f>
        <v>171022.19449590001</v>
      </c>
      <c r="T13" s="29">
        <f>'Monthly Forecast'!S29+'Monthly Forecast'!S36+'Monthly Forecast'!S55+'Monthly Forecast'!S61</f>
        <v>186353.35697015998</v>
      </c>
      <c r="U13" s="29">
        <f>'Monthly Forecast'!T29+'Monthly Forecast'!T36+'Monthly Forecast'!T55+'Monthly Forecast'!T61</f>
        <v>283179.55823025375</v>
      </c>
      <c r="V13" s="29">
        <f>'Monthly Forecast'!U29+'Monthly Forecast'!U36+'Monthly Forecast'!U55+'Monthly Forecast'!U61</f>
        <v>440619.88783741149</v>
      </c>
      <c r="W13" s="29">
        <f>'Monthly Forecast'!V29+'Monthly Forecast'!V36+'Monthly Forecast'!V55+'Monthly Forecast'!V61</f>
        <v>659964.58979245357</v>
      </c>
      <c r="X13" s="29">
        <f>'Monthly Forecast'!W29+'Monthly Forecast'!W36+'Monthly Forecast'!W55+'Monthly Forecast'!W61</f>
        <v>759051.55006940558</v>
      </c>
      <c r="Y13" s="29">
        <f>'Monthly Forecast'!X29+'Monthly Forecast'!X36+'Monthly Forecast'!X55+'Monthly Forecast'!X61</f>
        <v>520372.01568788494</v>
      </c>
      <c r="Z13" s="29"/>
      <c r="AA13" s="29">
        <f>'Monthly Forecast'!Y29+'Monthly Forecast'!Y36+'Monthly Forecast'!Y55+'Monthly Forecast'!Y61</f>
        <v>398734.0562752682</v>
      </c>
      <c r="AB13" s="29">
        <f>'Monthly Forecast'!Z29+'Monthly Forecast'!Z36+'Monthly Forecast'!Z55+'Monthly Forecast'!Z61</f>
        <v>434239.92035322788</v>
      </c>
      <c r="AC13" s="29">
        <f>'Monthly Forecast'!AA29+'Monthly Forecast'!AA36+'Monthly Forecast'!AA55+'Monthly Forecast'!AA61</f>
        <v>214018.24013641232</v>
      </c>
      <c r="AD13" s="29">
        <f>'Monthly Forecast'!AB29+'Monthly Forecast'!AB36+'Monthly Forecast'!AB55+'Monthly Forecast'!AB61</f>
        <v>156849.16043032488</v>
      </c>
      <c r="AE13" s="29">
        <f>'Monthly Forecast'!AC29+'Monthly Forecast'!AC36+'Monthly Forecast'!AC55+'Monthly Forecast'!AC61</f>
        <v>209344.87904652458</v>
      </c>
      <c r="AF13" s="29">
        <f>'Monthly Forecast'!AD29+'Monthly Forecast'!AD36+'Monthly Forecast'!AD55+'Monthly Forecast'!AD61</f>
        <v>211452.45708092599</v>
      </c>
      <c r="AG13" s="29">
        <f>'Monthly Forecast'!AE29+'Monthly Forecast'!AE36+'Monthly Forecast'!AE55+'Monthly Forecast'!AE61</f>
        <v>229724.52537608048</v>
      </c>
      <c r="AH13" s="29">
        <f>'Monthly Forecast'!AF29+'Monthly Forecast'!AF36+'Monthly Forecast'!AF55+'Monthly Forecast'!AF61</f>
        <v>386089.61645008845</v>
      </c>
      <c r="AI13" s="29">
        <f>'Monthly Forecast'!AG29+'Monthly Forecast'!AG36+'Monthly Forecast'!AG55+'Monthly Forecast'!AG61</f>
        <v>609267.2365059834</v>
      </c>
      <c r="AJ13" s="29">
        <f>'Monthly Forecast'!AH29+'Monthly Forecast'!AH36+'Monthly Forecast'!AH55+'Monthly Forecast'!AH61</f>
        <v>931775.83748187381</v>
      </c>
      <c r="AK13" s="29">
        <f>'Monthly Forecast'!AI29+'Monthly Forecast'!AI36+'Monthly Forecast'!AI55+'Monthly Forecast'!AI61</f>
        <v>800144.01077890326</v>
      </c>
      <c r="AL13" s="29">
        <f>'Monthly Forecast'!AJ29+'Monthly Forecast'!AJ36+'Monthly Forecast'!AJ55+'Monthly Forecast'!AJ61</f>
        <v>548992.10211124248</v>
      </c>
      <c r="AM13" s="307">
        <f t="shared" si="4"/>
        <v>5130632.042026856</v>
      </c>
      <c r="AN13" s="29">
        <f>SUMIFS('Monthly Forecast'!$D$29:$CI$29,'Monthly Forecast'!$D$8:$CI$8,"&gt;="&amp;Dashboard!$A21,'Monthly Forecast'!$D$8:$CI$8,"&lt;="&amp;Dashboard!$B21)+SUMIFS('Monthly Forecast'!$D$36:$CI$36,'Monthly Forecast'!$D$8:$CI$8,"&gt;="&amp;Dashboard!$A21,'Monthly Forecast'!$D$8:$CI$8,"&lt;="&amp;Dashboard!$B21)+SUMIFS('Monthly Forecast'!$D$55:$CI$55,'Monthly Forecast'!$D$8:$CI$8,"&gt;="&amp;Dashboard!$A21,'Monthly Forecast'!$D$8:$CI$8,"&lt;="&amp;Dashboard!$B21)+SUMIFS('Monthly Forecast'!$D$61:$CI$61,'Monthly Forecast'!$D$8:$CI$8,"&gt;="&amp;Dashboard!$A21,'Monthly Forecast'!$D$8:$CI$8,"&lt;="&amp;Dashboard!$B21)</f>
        <v>3929888.41142279</v>
      </c>
      <c r="AO13" s="29">
        <f>SUMIFS('Monthly Forecast'!$D$29:$CI$29,'Monthly Forecast'!$D$8:$CI$8,"&gt;="&amp;Dashboard!$A22,'Monthly Forecast'!$D$8:$CI$8,"&lt;="&amp;Dashboard!$B22)+SUMIFS('Monthly Forecast'!$D$36:$CI$36,'Monthly Forecast'!$D$8:$CI$8,"&gt;="&amp;Dashboard!$A22,'Monthly Forecast'!$D$8:$CI$8,"&lt;="&amp;Dashboard!$B22)+SUMIFS('Monthly Forecast'!$D$55:$CI$55,'Monthly Forecast'!$D$8:$CI$8,"&gt;="&amp;Dashboard!$A22,'Monthly Forecast'!$D$8:$CI$8,"&lt;="&amp;Dashboard!$B22)+SUMIFS('Monthly Forecast'!$D$61:$CI$61,'Monthly Forecast'!$D$8:$CI$8,"&gt;="&amp;Dashboard!$A22,'Monthly Forecast'!$D$8:$CI$8,"&lt;="&amp;Dashboard!$B22)</f>
        <v>4474179.6719102534</v>
      </c>
      <c r="AP13" s="29">
        <f>SUMIFS('Monthly Forecast'!$D$29:$CI$29,'Monthly Forecast'!$D$8:$CI$8,"&gt;="&amp;Dashboard!$A23,'Monthly Forecast'!$D$8:$CI$8,"&lt;="&amp;Dashboard!$B23)+SUMIFS('Monthly Forecast'!$D$36:$CI$36,'Monthly Forecast'!$D$8:$CI$8,"&gt;="&amp;Dashboard!$A23,'Monthly Forecast'!$D$8:$CI$8,"&lt;="&amp;Dashboard!$B23)+SUMIFS('Monthly Forecast'!$D$55:$CI$55,'Monthly Forecast'!$D$8:$CI$8,"&gt;="&amp;Dashboard!$A23,'Monthly Forecast'!$D$8:$CI$8,"&lt;="&amp;Dashboard!$B23)+SUMIFS('Monthly Forecast'!$D$61:$CI$61,'Monthly Forecast'!$D$8:$CI$8,"&gt;="&amp;Dashboard!$A23,'Monthly Forecast'!$D$8:$CI$8,"&lt;="&amp;Dashboard!$B23)</f>
        <v>5214768.9688817691</v>
      </c>
      <c r="AQ13" s="29">
        <f>SUMIFS('Monthly Forecast'!$D$29:$CI$29,'Monthly Forecast'!$D$8:$CI$8,"&gt;="&amp;Dashboard!$A24,'Monthly Forecast'!$D$8:$CI$8,"&lt;="&amp;Dashboard!$B24)+SUMIFS('Monthly Forecast'!$D$36:$CI$36,'Monthly Forecast'!$D$8:$CI$8,"&gt;="&amp;Dashboard!$A24,'Monthly Forecast'!$D$8:$CI$8,"&lt;="&amp;Dashboard!$B24)+SUMIFS('Monthly Forecast'!$D$55:$CI$55,'Monthly Forecast'!$D$8:$CI$8,"&gt;="&amp;Dashboard!$A24,'Monthly Forecast'!$D$8:$CI$8,"&lt;="&amp;Dashboard!$B24)+SUMIFS('Monthly Forecast'!$D$61:$CI$61,'Monthly Forecast'!$D$8:$CI$8,"&gt;="&amp;Dashboard!$A24,'Monthly Forecast'!$D$8:$CI$8,"&lt;="&amp;Dashboard!$B24)</f>
        <v>5315173.2574277669</v>
      </c>
      <c r="AR13" s="29">
        <f>SUMIFS('Monthly Forecast'!$D$29:$CI$29,'Monthly Forecast'!$D$8:$CI$8,"&gt;="&amp;Dashboard!$A25,'Monthly Forecast'!$D$8:$CI$8,"&lt;="&amp;Dashboard!$B25)+SUMIFS('Monthly Forecast'!$D$36:$CI$36,'Monthly Forecast'!$D$8:$CI$8,"&gt;="&amp;Dashboard!$A25,'Monthly Forecast'!$D$8:$CI$8,"&lt;="&amp;Dashboard!$B25)+SUMIFS('Monthly Forecast'!$D$55:$CI$55,'Monthly Forecast'!$D$8:$CI$8,"&gt;="&amp;Dashboard!$A25,'Monthly Forecast'!$D$8:$CI$8,"&lt;="&amp;Dashboard!$B25)+SUMIFS('Monthly Forecast'!$D$61:$CI$61,'Monthly Forecast'!$D$8:$CI$8,"&gt;="&amp;Dashboard!$A25,'Monthly Forecast'!$D$8:$CI$8,"&lt;="&amp;Dashboard!$B25)</f>
        <v>5281061.5743334712</v>
      </c>
      <c r="AS13" s="29">
        <f>SUMIFS('Monthly Forecast'!$D$29:$CI$29,'Monthly Forecast'!$D$8:$CI$8,"&gt;="&amp;Dashboard!$A26,'Monthly Forecast'!$D$8:$CI$8,"&lt;="&amp;Dashboard!$B26)+SUMIFS('Monthly Forecast'!$D$36:$CI$36,'Monthly Forecast'!$D$8:$CI$8,"&gt;="&amp;Dashboard!$A26,'Monthly Forecast'!$D$8:$CI$8,"&lt;="&amp;Dashboard!$B26)+SUMIFS('Monthly Forecast'!$D$55:$CI$55,'Monthly Forecast'!$D$8:$CI$8,"&gt;="&amp;Dashboard!$A26,'Monthly Forecast'!$D$8:$CI$8,"&lt;="&amp;Dashboard!$B26)+SUMIFS('Monthly Forecast'!$D$61:$CI$61,'Monthly Forecast'!$D$8:$CI$8,"&gt;="&amp;Dashboard!$A26,'Monthly Forecast'!$D$8:$CI$8,"&lt;="&amp;Dashboard!$B26)</f>
        <v>5242051.5238306923</v>
      </c>
      <c r="AT13" s="158"/>
      <c r="AU13"/>
      <c r="AV13"/>
      <c r="AW13"/>
      <c r="AX13"/>
      <c r="AY13"/>
      <c r="AZ13"/>
    </row>
    <row r="14" spans="1:52" ht="15.75">
      <c r="A14" s="233">
        <v>6</v>
      </c>
      <c r="B14" s="332">
        <v>4820</v>
      </c>
      <c r="C14" s="184" t="s">
        <v>287</v>
      </c>
      <c r="D14" s="29">
        <f>'Monthly Forecast'!D38+'Monthly Forecast'!D45</f>
        <v>238580.82948889502</v>
      </c>
      <c r="E14" s="29">
        <f>'Monthly Forecast'!E38+'Monthly Forecast'!E45</f>
        <v>212039.73623423689</v>
      </c>
      <c r="F14" s="29">
        <f>'Monthly Forecast'!F38+'Monthly Forecast'!F45</f>
        <v>214855.10369126056</v>
      </c>
      <c r="G14" s="29">
        <f>'Monthly Forecast'!G38+'Monthly Forecast'!G45</f>
        <v>267365.30508657644</v>
      </c>
      <c r="H14" s="29">
        <f>'Monthly Forecast'!H38+'Monthly Forecast'!H45</f>
        <v>542687.79900481738</v>
      </c>
      <c r="I14" s="29">
        <f>'Monthly Forecast'!I38+'Monthly Forecast'!I45</f>
        <v>799886.27196818287</v>
      </c>
      <c r="J14" s="29">
        <f>'Monthly Forecast'!J38+'Monthly Forecast'!J45</f>
        <v>929126.35483113618</v>
      </c>
      <c r="K14" s="29">
        <f>'Monthly Forecast'!K38+'Monthly Forecast'!K45</f>
        <v>927559.46836952842</v>
      </c>
      <c r="L14" s="29">
        <f>'Monthly Forecast'!L38+'Monthly Forecast'!L45</f>
        <v>699601.14595090016</v>
      </c>
      <c r="M14" s="29">
        <f>'Monthly Forecast'!M38+'Monthly Forecast'!M45</f>
        <v>502031.90751208941</v>
      </c>
      <c r="N14" s="29">
        <f>'Monthly Forecast'!N38+'Monthly Forecast'!N45</f>
        <v>316690.58356164326</v>
      </c>
      <c r="O14" s="29">
        <f>'Monthly Forecast'!O38+'Monthly Forecast'!O45</f>
        <v>221342.64139244871</v>
      </c>
      <c r="P14" s="307">
        <f t="shared" si="5"/>
        <v>5871767.1470917156</v>
      </c>
      <c r="Q14" s="29">
        <f>'Monthly Forecast'!P38+'Monthly Forecast'!P45</f>
        <v>212177.16075217506</v>
      </c>
      <c r="R14" s="29">
        <f>'Monthly Forecast'!Q38+'Monthly Forecast'!Q45</f>
        <v>233256.03851291689</v>
      </c>
      <c r="S14" s="29">
        <f>'Monthly Forecast'!R38+'Monthly Forecast'!R45</f>
        <v>236396.45584128058</v>
      </c>
      <c r="T14" s="29">
        <f>'Monthly Forecast'!S38+'Monthly Forecast'!S45</f>
        <v>298803.10019192647</v>
      </c>
      <c r="U14" s="29">
        <f>'Monthly Forecast'!T38+'Monthly Forecast'!T45</f>
        <v>491251.75165254949</v>
      </c>
      <c r="V14" s="29">
        <f>'Monthly Forecast'!U38+'Monthly Forecast'!U45</f>
        <v>718589.14866911201</v>
      </c>
      <c r="W14" s="29">
        <f>'Monthly Forecast'!V38+'Monthly Forecast'!V45</f>
        <v>832257.81727967528</v>
      </c>
      <c r="X14" s="29">
        <f>'Monthly Forecast'!W38+'Monthly Forecast'!W45</f>
        <v>1102301.3087943236</v>
      </c>
      <c r="Y14" s="29">
        <f>'Monthly Forecast'!X38+'Monthly Forecast'!X45</f>
        <v>825297.40868725115</v>
      </c>
      <c r="Z14" s="29"/>
      <c r="AA14" s="29">
        <f>'Monthly Forecast'!Y38+'Monthly Forecast'!Y45</f>
        <v>586216.14950195607</v>
      </c>
      <c r="AB14" s="29">
        <f>'Monthly Forecast'!Z38+'Monthly Forecast'!Z45</f>
        <v>395282.61200473981</v>
      </c>
      <c r="AC14" s="29">
        <f>'Monthly Forecast'!AA38+'Monthly Forecast'!AA45</f>
        <v>266073.25023361092</v>
      </c>
      <c r="AD14" s="29">
        <f>'Monthly Forecast'!AB38+'Monthly Forecast'!AB45</f>
        <v>253300.73556073743</v>
      </c>
      <c r="AE14" s="29">
        <f>'Monthly Forecast'!AC38+'Monthly Forecast'!AC45</f>
        <v>262664.8307945116</v>
      </c>
      <c r="AF14" s="29">
        <f>'Monthly Forecast'!AD38+'Monthly Forecast'!AD45</f>
        <v>266255.81316582358</v>
      </c>
      <c r="AG14" s="29">
        <f>'Monthly Forecast'!AE38+'Monthly Forecast'!AE45</f>
        <v>342380.32556798274</v>
      </c>
      <c r="AH14" s="29">
        <f>'Monthly Forecast'!AF38+'Monthly Forecast'!AF45</f>
        <v>663240.92247675231</v>
      </c>
      <c r="AI14" s="29">
        <f>'Monthly Forecast'!AG38+'Monthly Forecast'!AG45</f>
        <v>990426.2268730551</v>
      </c>
      <c r="AJ14" s="29">
        <f>'Monthly Forecast'!AH38+'Monthly Forecast'!AH45</f>
        <v>1156161.777829519</v>
      </c>
      <c r="AK14" s="29">
        <f>'Monthly Forecast'!AI38+'Monthly Forecast'!AI45</f>
        <v>1154012.0925884186</v>
      </c>
      <c r="AL14" s="29">
        <f>'Monthly Forecast'!AJ38+'Monthly Forecast'!AJ45</f>
        <v>862494.29439180915</v>
      </c>
      <c r="AM14" s="307">
        <f t="shared" si="4"/>
        <v>7198509.0309889168</v>
      </c>
      <c r="AN14" s="29">
        <f>SUMIFS('Monthly Forecast'!$D$38:$CI$38,'Monthly Forecast'!$D$8:$CI$8,"&gt;="&amp;Dashboard!$A21,'Monthly Forecast'!$D$8:$CI$8,"&lt;="&amp;Dashboard!$B21)+SUMIFS('Monthly Forecast'!$D$45:$CI$45,'Monthly Forecast'!$D$8:$CI$8,"&gt;="&amp;Dashboard!$A21,'Monthly Forecast'!$D$8:$CI$8,"&lt;="&amp;Dashboard!$B21)</f>
        <v>5888121.1327836951</v>
      </c>
      <c r="AO14" s="29">
        <f>SUMIFS('Monthly Forecast'!$D$38:$CI$38,'Monthly Forecast'!$D$8:$CI$8,"&gt;="&amp;Dashboard!$A22,'Monthly Forecast'!$D$8:$CI$8,"&lt;="&amp;Dashboard!$B22)+SUMIFS('Monthly Forecast'!$D$45:$CI$45,'Monthly Forecast'!$D$8:$CI$8,"&gt;="&amp;Dashboard!$A22,'Monthly Forecast'!$D$8:$CI$8,"&lt;="&amp;Dashboard!$B22)</f>
        <v>6298293.9265362173</v>
      </c>
      <c r="AP14" s="29">
        <f>SUMIFS('Monthly Forecast'!$D$38:$CI$38,'Monthly Forecast'!$D$8:$CI$8,"&gt;="&amp;Dashboard!$A23,'Monthly Forecast'!$D$8:$CI$8,"&lt;="&amp;Dashboard!$B23)+SUMIFS('Monthly Forecast'!$D$45:$CI$45,'Monthly Forecast'!$D$8:$CI$8,"&gt;="&amp;Dashboard!$A23,'Monthly Forecast'!$D$8:$CI$8,"&lt;="&amp;Dashboard!$B23)</f>
        <v>7268770.8598065637</v>
      </c>
      <c r="AQ14" s="29">
        <f>SUMIFS('Monthly Forecast'!$D$38:$CI$38,'Monthly Forecast'!$D$8:$CI$8,"&gt;="&amp;Dashboard!$A24,'Monthly Forecast'!$D$8:$CI$8,"&lt;="&amp;Dashboard!$B24)+SUMIFS('Monthly Forecast'!$D$45:$CI$45,'Monthly Forecast'!$D$8:$CI$8,"&gt;="&amp;Dashboard!$A24,'Monthly Forecast'!$D$8:$CI$8,"&lt;="&amp;Dashboard!$B24)</f>
        <v>7394869.7441466413</v>
      </c>
      <c r="AR14" s="29">
        <f>SUMIFS('Monthly Forecast'!$D$38:$CI$38,'Monthly Forecast'!$D$8:$CI$8,"&gt;="&amp;Dashboard!$A25,'Monthly Forecast'!$D$8:$CI$8,"&lt;="&amp;Dashboard!$B25)+SUMIFS('Monthly Forecast'!$D$45:$CI$45,'Monthly Forecast'!$D$8:$CI$8,"&gt;="&amp;Dashboard!$A25,'Monthly Forecast'!$D$8:$CI$8,"&lt;="&amp;Dashboard!$B25)</f>
        <v>7362027.7382003721</v>
      </c>
      <c r="AS14" s="29">
        <f>SUMIFS('Monthly Forecast'!$D$38:$CI$38,'Monthly Forecast'!$D$8:$CI$8,"&gt;="&amp;Dashboard!$A26,'Monthly Forecast'!$D$8:$CI$8,"&lt;="&amp;Dashboard!$B26)+SUMIFS('Monthly Forecast'!$D$45:$CI$45,'Monthly Forecast'!$D$8:$CI$8,"&gt;="&amp;Dashboard!$A26,'Monthly Forecast'!$D$8:$CI$8,"&lt;="&amp;Dashboard!$B26)</f>
        <v>7315728.3528845366</v>
      </c>
      <c r="AT14" s="158"/>
      <c r="AU14"/>
      <c r="AV14"/>
      <c r="AW14"/>
      <c r="AX14"/>
      <c r="AY14"/>
      <c r="AZ14"/>
    </row>
    <row r="15" spans="1:52" ht="15.75">
      <c r="A15" s="233">
        <v>7</v>
      </c>
      <c r="B15" s="331"/>
      <c r="C15" s="185" t="s">
        <v>288</v>
      </c>
      <c r="D15" s="308">
        <f t="shared" ref="D15:I15" si="6">SUM(D11:D14)</f>
        <v>6396652.5019722981</v>
      </c>
      <c r="E15" s="308">
        <f t="shared" si="6"/>
        <v>6021512.2097656708</v>
      </c>
      <c r="F15" s="308">
        <f t="shared" si="6"/>
        <v>6002663.4520262955</v>
      </c>
      <c r="G15" s="308">
        <f t="shared" si="6"/>
        <v>7080247.8081546789</v>
      </c>
      <c r="H15" s="308">
        <f t="shared" si="6"/>
        <v>12701065.013711987</v>
      </c>
      <c r="I15" s="308">
        <f t="shared" si="6"/>
        <v>18100568.858307596</v>
      </c>
      <c r="J15" s="308">
        <f t="shared" ref="J15:L15" si="7">SUM(J11:J14)</f>
        <v>21082978.662472893</v>
      </c>
      <c r="K15" s="308">
        <f t="shared" si="7"/>
        <v>21175544.696518008</v>
      </c>
      <c r="L15" s="308">
        <f t="shared" si="7"/>
        <v>16236291.045567829</v>
      </c>
      <c r="M15" s="308">
        <f t="shared" ref="M15" si="8">SUM(M11:M14)</f>
        <v>12174980.047992349</v>
      </c>
      <c r="N15" s="308">
        <f t="shared" ref="N15:Y15" si="9">SUM(N11:N14)</f>
        <v>8387786.8299648045</v>
      </c>
      <c r="O15" s="308">
        <f t="shared" si="9"/>
        <v>6334547.5637735091</v>
      </c>
      <c r="P15" s="451">
        <f t="shared" si="5"/>
        <v>141694838.69022793</v>
      </c>
      <c r="Q15" s="308">
        <f t="shared" si="9"/>
        <v>6015095.8935898487</v>
      </c>
      <c r="R15" s="308">
        <f t="shared" si="9"/>
        <v>6342880.0400995817</v>
      </c>
      <c r="S15" s="308">
        <f t="shared" si="9"/>
        <v>6328652.2592494674</v>
      </c>
      <c r="T15" s="308">
        <f t="shared" si="9"/>
        <v>7602201.8990629883</v>
      </c>
      <c r="U15" s="308">
        <f t="shared" si="9"/>
        <v>11771218.522062285</v>
      </c>
      <c r="V15" s="308">
        <f t="shared" si="9"/>
        <v>16563595.232910896</v>
      </c>
      <c r="W15" s="308">
        <f t="shared" si="9"/>
        <v>19203983.80998043</v>
      </c>
      <c r="X15" s="308">
        <f t="shared" si="9"/>
        <v>24684936.133769192</v>
      </c>
      <c r="Y15" s="308">
        <f t="shared" si="9"/>
        <v>18708058.901902333</v>
      </c>
      <c r="Z15" s="308"/>
      <c r="AA15" s="308">
        <f t="shared" ref="AA15:AL15" si="10">SUM(AA11:AA14)</f>
        <v>13794835.65763006</v>
      </c>
      <c r="AB15" s="308">
        <f t="shared" si="10"/>
        <v>9825198.0932346694</v>
      </c>
      <c r="AC15" s="308">
        <f t="shared" si="10"/>
        <v>7046501.8593426943</v>
      </c>
      <c r="AD15" s="308">
        <f t="shared" si="10"/>
        <v>6623993.4117702879</v>
      </c>
      <c r="AE15" s="308">
        <f t="shared" si="10"/>
        <v>6787239.8351185257</v>
      </c>
      <c r="AF15" s="308">
        <f t="shared" si="10"/>
        <v>6779443.3445612788</v>
      </c>
      <c r="AG15" s="308">
        <f t="shared" si="10"/>
        <v>8324683.8442006623</v>
      </c>
      <c r="AH15" s="308">
        <f t="shared" si="10"/>
        <v>14977021.207755735</v>
      </c>
      <c r="AI15" s="308">
        <f t="shared" si="10"/>
        <v>21840807.92527964</v>
      </c>
      <c r="AJ15" s="308">
        <f t="shared" si="10"/>
        <v>25634590.355733529</v>
      </c>
      <c r="AK15" s="308">
        <f t="shared" si="10"/>
        <v>25739051.836197753</v>
      </c>
      <c r="AL15" s="308">
        <f t="shared" si="10"/>
        <v>19451351.192960456</v>
      </c>
      <c r="AM15" s="451">
        <f>SUM(AA15:AL15)</f>
        <v>166824718.56378525</v>
      </c>
      <c r="AN15" s="308">
        <f>SUM(AN11:AN14)</f>
        <v>141960638.71940252</v>
      </c>
      <c r="AO15" s="308">
        <f t="shared" ref="AO15:AS15" si="11">SUM(AO11:AO14)</f>
        <v>149391206.70134562</v>
      </c>
      <c r="AP15" s="308">
        <f t="shared" si="11"/>
        <v>168082904.61335266</v>
      </c>
      <c r="AQ15" s="308">
        <f t="shared" si="11"/>
        <v>170686589.16817653</v>
      </c>
      <c r="AR15" s="308">
        <f t="shared" si="11"/>
        <v>170236541.59007725</v>
      </c>
      <c r="AS15" s="308">
        <f t="shared" si="11"/>
        <v>169488359.54413801</v>
      </c>
      <c r="AT15" s="158"/>
      <c r="AU15"/>
      <c r="AV15"/>
      <c r="AW15"/>
      <c r="AX15"/>
      <c r="AY15"/>
      <c r="AZ15"/>
    </row>
    <row r="16" spans="1:52" ht="15.75">
      <c r="A16" s="233">
        <v>8</v>
      </c>
      <c r="B16" s="333"/>
      <c r="C16" s="187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7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307"/>
      <c r="AN16" s="29"/>
      <c r="AO16" s="29"/>
      <c r="AP16" s="29"/>
      <c r="AQ16" s="29"/>
      <c r="AR16" s="29"/>
      <c r="AS16" s="29"/>
      <c r="AT16" s="158"/>
      <c r="AU16"/>
      <c r="AV16"/>
      <c r="AW16"/>
      <c r="AX16"/>
      <c r="AY16"/>
      <c r="AZ16"/>
    </row>
    <row r="17" spans="1:53" ht="15.75">
      <c r="A17" s="233">
        <v>9</v>
      </c>
      <c r="B17" s="333"/>
      <c r="C17" s="186" t="s">
        <v>289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07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307"/>
      <c r="AN17" s="29"/>
      <c r="AO17" s="29"/>
      <c r="AP17" s="29"/>
      <c r="AQ17" s="29"/>
      <c r="AR17" s="29"/>
      <c r="AS17" s="29"/>
      <c r="AT17" s="158"/>
      <c r="AU17"/>
      <c r="AV17"/>
      <c r="AW17"/>
      <c r="AX17"/>
      <c r="AY17"/>
      <c r="AZ17"/>
    </row>
    <row r="18" spans="1:53" ht="15.75">
      <c r="A18" s="233">
        <v>10</v>
      </c>
      <c r="B18" s="332">
        <v>4870</v>
      </c>
      <c r="C18" s="184" t="s">
        <v>290</v>
      </c>
      <c r="D18" s="29">
        <f>+'Monthly Forecast'!D99</f>
        <v>0</v>
      </c>
      <c r="E18" s="29">
        <f>+'Monthly Forecast'!E99</f>
        <v>0</v>
      </c>
      <c r="F18" s="29">
        <f>+'Monthly Forecast'!F99</f>
        <v>0</v>
      </c>
      <c r="G18" s="29">
        <f>+'Monthly Forecast'!G99</f>
        <v>0</v>
      </c>
      <c r="H18" s="29">
        <f>+'Monthly Forecast'!H99</f>
        <v>0</v>
      </c>
      <c r="I18" s="29">
        <f>+'Monthly Forecast'!I99</f>
        <v>0</v>
      </c>
      <c r="J18" s="29">
        <f>+'Monthly Forecast'!J99</f>
        <v>0</v>
      </c>
      <c r="K18" s="29">
        <f>+'Monthly Forecast'!K99</f>
        <v>27025.57</v>
      </c>
      <c r="L18" s="29">
        <f>+'Monthly Forecast'!L99</f>
        <v>26258.27</v>
      </c>
      <c r="M18" s="29">
        <f>+'Monthly Forecast'!M99</f>
        <v>19781.560000000001</v>
      </c>
      <c r="N18" s="29">
        <f>+'Monthly Forecast'!N99</f>
        <v>14418.960000000001</v>
      </c>
      <c r="O18" s="29">
        <f>+'Monthly Forecast'!O99</f>
        <v>11956.41</v>
      </c>
      <c r="P18" s="307">
        <f t="shared" ref="P18:P23" si="12">SUM(D18:O18)</f>
        <v>99440.77</v>
      </c>
      <c r="Q18" s="29">
        <f>+'Monthly Forecast'!P99</f>
        <v>13930.131428884177</v>
      </c>
      <c r="R18" s="29">
        <f>+'Monthly Forecast'!Q99</f>
        <v>13262.810579287931</v>
      </c>
      <c r="S18" s="29">
        <f>+'Monthly Forecast'!R99</f>
        <v>14176.957038946692</v>
      </c>
      <c r="T18" s="29">
        <f>+'Monthly Forecast'!S99</f>
        <v>14105.493007242911</v>
      </c>
      <c r="U18" s="29">
        <f>+'Monthly Forecast'!T99</f>
        <v>16816.80122485109</v>
      </c>
      <c r="V18" s="29">
        <f>+'Monthly Forecast'!U99</f>
        <v>25570.913016815881</v>
      </c>
      <c r="W18" s="29">
        <f>+'Monthly Forecast'!V99</f>
        <v>35813.677034933804</v>
      </c>
      <c r="X18" s="29">
        <f>+'Monthly Forecast'!W99</f>
        <v>41213.709989783958</v>
      </c>
      <c r="Y18" s="29">
        <f>+'Monthly Forecast'!X99</f>
        <v>53561.356216625238</v>
      </c>
      <c r="Z18" s="29"/>
      <c r="AA18" s="29">
        <f>+'Monthly Forecast'!Y99</f>
        <v>41096.213952947801</v>
      </c>
      <c r="AB18" s="29">
        <f>+'Monthly Forecast'!Z99</f>
        <v>30593.507387147787</v>
      </c>
      <c r="AC18" s="29">
        <f>+'Monthly Forecast'!AA99</f>
        <v>21780.060594189254</v>
      </c>
      <c r="AD18" s="29">
        <f>+'Monthly Forecast'!AB99</f>
        <v>16033.312756770089</v>
      </c>
      <c r="AE18" s="29">
        <f>+'Monthly Forecast'!AC99</f>
        <v>15171.878621207807</v>
      </c>
      <c r="AF18" s="29">
        <f>+'Monthly Forecast'!AD99</f>
        <v>15548.307366768042</v>
      </c>
      <c r="AG18" s="29">
        <f>+'Monthly Forecast'!AE99</f>
        <v>15485.738062021457</v>
      </c>
      <c r="AH18" s="29">
        <f>+'Monthly Forecast'!AF99</f>
        <v>18793.22858503829</v>
      </c>
      <c r="AI18" s="29">
        <f>+'Monthly Forecast'!AG99</f>
        <v>33240.004271835103</v>
      </c>
      <c r="AJ18" s="29">
        <f>+'Monthly Forecast'!AH99</f>
        <v>47958.341037120852</v>
      </c>
      <c r="AK18" s="29">
        <f>+'Monthly Forecast'!AI99</f>
        <v>55753.086848952247</v>
      </c>
      <c r="AL18" s="29">
        <f>+'Monthly Forecast'!AJ99</f>
        <v>56008.220481848206</v>
      </c>
      <c r="AM18" s="307">
        <f t="shared" ref="AM18:AM21" si="13">SUM(AA18:AL18)</f>
        <v>367461.89996584691</v>
      </c>
      <c r="AN18" s="29">
        <f>SUMIFS('Monthly Forecast'!$D$99:$CI$99,'Monthly Forecast'!$D$8:$CI$8,"&gt;="&amp;Dashboard!$A21,'Monthly Forecast'!$D$8:$CI$8,"&lt;="&amp;Dashboard!$B21)</f>
        <v>140810.6690471188</v>
      </c>
      <c r="AO18" s="29">
        <f>SUMIFS('Monthly Forecast'!$D$99:$CI$99,'Monthly Forecast'!$D$8:$CI$8,"&gt;="&amp;Dashboard!$A22,'Monthly Forecast'!$D$8:$CI$8,"&lt;="&amp;Dashboard!$B22)</f>
        <v>327305.23116928362</v>
      </c>
      <c r="AP18" s="29">
        <f>SUMIFS('Monthly Forecast'!$D$99:$CI$99,'Monthly Forecast'!$D$8:$CI$8,"&gt;="&amp;Dashboard!$A23,'Monthly Forecast'!$D$8:$CI$8,"&lt;="&amp;Dashboard!$B23)</f>
        <v>372433.69518017268</v>
      </c>
      <c r="AQ18" s="29">
        <f>SUMIFS('Monthly Forecast'!$D$99:$CI$99,'Monthly Forecast'!$D$8:$CI$8,"&gt;="&amp;Dashboard!$A24,'Monthly Forecast'!$D$8:$CI$8,"&lt;="&amp;Dashboard!$B24)</f>
        <v>379253.09260075568</v>
      </c>
      <c r="AR18" s="29">
        <f>SUMIFS('Monthly Forecast'!$D$99:$CI$99,'Monthly Forecast'!$D$8:$CI$8,"&gt;="&amp;Dashboard!$A25,'Monthly Forecast'!$D$8:$CI$8,"&lt;="&amp;Dashboard!$B25)</f>
        <v>378740.1924941531</v>
      </c>
      <c r="AS18" s="29">
        <f>SUMIFS('Monthly Forecast'!$D$99:$CI$99,'Monthly Forecast'!$D$8:$CI$8,"&gt;="&amp;Dashboard!$A26,'Monthly Forecast'!$D$8:$CI$8,"&lt;="&amp;Dashboard!$B26)</f>
        <v>377477.34538828518</v>
      </c>
      <c r="AT18" s="158"/>
      <c r="AU18"/>
      <c r="AV18"/>
      <c r="AW18"/>
      <c r="AX18"/>
      <c r="AY18"/>
      <c r="AZ18"/>
    </row>
    <row r="19" spans="1:53" ht="15.75">
      <c r="A19" s="233">
        <v>11</v>
      </c>
      <c r="B19" s="332">
        <v>4880</v>
      </c>
      <c r="C19" s="184" t="s">
        <v>291</v>
      </c>
      <c r="D19" s="29">
        <f>+'Monthly Forecast'!D98</f>
        <v>3387</v>
      </c>
      <c r="E19" s="29">
        <f>+'Monthly Forecast'!E98</f>
        <v>3698</v>
      </c>
      <c r="F19" s="29">
        <f>+'Monthly Forecast'!F98</f>
        <v>4212</v>
      </c>
      <c r="G19" s="29">
        <f>+'Monthly Forecast'!G98</f>
        <v>9928</v>
      </c>
      <c r="H19" s="29">
        <f>+'Monthly Forecast'!H98</f>
        <v>8550</v>
      </c>
      <c r="I19" s="29">
        <f>+'Monthly Forecast'!I98</f>
        <v>4906</v>
      </c>
      <c r="J19" s="29">
        <f>+'Monthly Forecast'!J98</f>
        <v>5587</v>
      </c>
      <c r="K19" s="29">
        <f>+'Monthly Forecast'!K98</f>
        <v>4026</v>
      </c>
      <c r="L19" s="29">
        <f>+'Monthly Forecast'!L98</f>
        <v>4332</v>
      </c>
      <c r="M19" s="29">
        <f>+'Monthly Forecast'!M98</f>
        <v>3438</v>
      </c>
      <c r="N19" s="29">
        <f>+'Monthly Forecast'!N98</f>
        <v>3844</v>
      </c>
      <c r="O19" s="29">
        <f>+'Monthly Forecast'!O98</f>
        <v>3004</v>
      </c>
      <c r="P19" s="307">
        <f t="shared" si="12"/>
        <v>58912</v>
      </c>
      <c r="Q19" s="29">
        <f>+'Monthly Forecast'!P98</f>
        <v>3387</v>
      </c>
      <c r="R19" s="29">
        <f>+'Monthly Forecast'!Q98</f>
        <v>3698</v>
      </c>
      <c r="S19" s="29">
        <f>+'Monthly Forecast'!R98</f>
        <v>4212</v>
      </c>
      <c r="T19" s="29">
        <f>+'Monthly Forecast'!S98</f>
        <v>9928</v>
      </c>
      <c r="U19" s="29">
        <f>+'Monthly Forecast'!T98</f>
        <v>8550</v>
      </c>
      <c r="V19" s="29">
        <f>+'Monthly Forecast'!U98</f>
        <v>4906</v>
      </c>
      <c r="W19" s="29">
        <f>+'Monthly Forecast'!V98</f>
        <v>5587</v>
      </c>
      <c r="X19" s="29">
        <f>+'Monthly Forecast'!W98</f>
        <v>4026</v>
      </c>
      <c r="Y19" s="29">
        <f>+'Monthly Forecast'!X98</f>
        <v>4332</v>
      </c>
      <c r="Z19" s="29"/>
      <c r="AA19" s="29">
        <f>+'Monthly Forecast'!Y98</f>
        <v>3438</v>
      </c>
      <c r="AB19" s="29">
        <f>+'Monthly Forecast'!Z98</f>
        <v>3844</v>
      </c>
      <c r="AC19" s="29">
        <f>+'Monthly Forecast'!AA98</f>
        <v>3004</v>
      </c>
      <c r="AD19" s="29">
        <f>+'Monthly Forecast'!AB98</f>
        <v>3387</v>
      </c>
      <c r="AE19" s="29">
        <f>+'Monthly Forecast'!AC98</f>
        <v>3698</v>
      </c>
      <c r="AF19" s="29">
        <f>+'Monthly Forecast'!AD98</f>
        <v>4212</v>
      </c>
      <c r="AG19" s="29">
        <f>+'Monthly Forecast'!AE98</f>
        <v>9928</v>
      </c>
      <c r="AH19" s="29">
        <f>+'Monthly Forecast'!AF98</f>
        <v>8550</v>
      </c>
      <c r="AI19" s="29">
        <f>+'Monthly Forecast'!AG98</f>
        <v>4906</v>
      </c>
      <c r="AJ19" s="29">
        <f>+'Monthly Forecast'!AH98</f>
        <v>5587</v>
      </c>
      <c r="AK19" s="29">
        <f>+'Monthly Forecast'!AI98</f>
        <v>4026</v>
      </c>
      <c r="AL19" s="29">
        <f>+'Monthly Forecast'!AJ98</f>
        <v>4332</v>
      </c>
      <c r="AM19" s="307">
        <f t="shared" si="13"/>
        <v>58912</v>
      </c>
      <c r="AN19" s="29">
        <f>SUMIFS('Monthly Forecast'!$D$98:$CI$98,'Monthly Forecast'!$D$8:$CI$8,"&gt;="&amp;Dashboard!$A21,'Monthly Forecast'!$D$8:$CI$8,"&lt;="&amp;Dashboard!$B21)</f>
        <v>58912</v>
      </c>
      <c r="AO19" s="29">
        <f>SUMIFS('Monthly Forecast'!$D$98:$CI$98,'Monthly Forecast'!$D$8:$CI$8,"&gt;="&amp;Dashboard!$A22,'Monthly Forecast'!$D$8:$CI$8,"&lt;="&amp;Dashboard!$B22)</f>
        <v>58912</v>
      </c>
      <c r="AP19" s="29">
        <f>SUMIFS('Monthly Forecast'!$D$98:$CI$98,'Monthly Forecast'!$D$8:$CI$8,"&gt;="&amp;Dashboard!$A23,'Monthly Forecast'!$D$8:$CI$8,"&lt;="&amp;Dashboard!$B23)</f>
        <v>58912</v>
      </c>
      <c r="AQ19" s="29">
        <f>SUMIFS('Monthly Forecast'!$D$98:$CI$98,'Monthly Forecast'!$D$8:$CI$8,"&gt;="&amp;Dashboard!$A24,'Monthly Forecast'!$D$8:$CI$8,"&lt;="&amp;Dashboard!$B24)</f>
        <v>58912</v>
      </c>
      <c r="AR19" s="29">
        <f>SUMIFS('Monthly Forecast'!$D$98:$CI$98,'Monthly Forecast'!$D$8:$CI$8,"&gt;="&amp;Dashboard!$A25,'Monthly Forecast'!$D$8:$CI$8,"&lt;="&amp;Dashboard!$B25)</f>
        <v>58912</v>
      </c>
      <c r="AS19" s="29">
        <f>SUMIFS('Monthly Forecast'!$D$98:$CI$98,'Monthly Forecast'!$D$8:$CI$8,"&gt;="&amp;Dashboard!$A26,'Monthly Forecast'!$D$8:$CI$8,"&lt;="&amp;Dashboard!$B26)</f>
        <v>58912</v>
      </c>
      <c r="AT19" s="158"/>
      <c r="AU19"/>
      <c r="AV19"/>
      <c r="AW19"/>
      <c r="AX19"/>
      <c r="AY19"/>
      <c r="AZ19"/>
    </row>
    <row r="20" spans="1:53" ht="15.75">
      <c r="A20" s="233">
        <v>12</v>
      </c>
      <c r="B20" s="332">
        <v>4893</v>
      </c>
      <c r="C20" s="184" t="s">
        <v>292</v>
      </c>
      <c r="D20" s="29">
        <f>+'Monthly Forecast'!D63+'Monthly Forecast'!D79+'Monthly Forecast'!D73</f>
        <v>1275439.0996710199</v>
      </c>
      <c r="E20" s="29">
        <f>+'Monthly Forecast'!E63+'Monthly Forecast'!E79+'Monthly Forecast'!E73</f>
        <v>1476934.0571693198</v>
      </c>
      <c r="F20" s="29">
        <f>+'Monthly Forecast'!F63+'Monthly Forecast'!F79+'Monthly Forecast'!F73</f>
        <v>1562910.6747384204</v>
      </c>
      <c r="G20" s="29">
        <f>+'Monthly Forecast'!G63+'Monthly Forecast'!G79+'Monthly Forecast'!G73</f>
        <v>1597410.2635601205</v>
      </c>
      <c r="H20" s="29">
        <f>+'Monthly Forecast'!H63+'Monthly Forecast'!H79+'Monthly Forecast'!H73</f>
        <v>1837033.8406728203</v>
      </c>
      <c r="I20" s="29">
        <f>+'Monthly Forecast'!I63+'Monthly Forecast'!I79+'Monthly Forecast'!I73</f>
        <v>1588814.6666907202</v>
      </c>
      <c r="J20" s="29">
        <f>+'Monthly Forecast'!J63+'Monthly Forecast'!J79+'Monthly Forecast'!J73</f>
        <v>1538571.6241375203</v>
      </c>
      <c r="K20" s="29">
        <f>+'Monthly Forecast'!K63+'Monthly Forecast'!K79+'Monthly Forecast'!K73</f>
        <v>1398714.8270111165</v>
      </c>
      <c r="L20" s="29">
        <f>+'Monthly Forecast'!L63+'Monthly Forecast'!L79+'Monthly Forecast'!L73</f>
        <v>1350802.4146991333</v>
      </c>
      <c r="M20" s="29">
        <f>+'Monthly Forecast'!M63+'Monthly Forecast'!M79+'Monthly Forecast'!M73</f>
        <v>1323455.3941338668</v>
      </c>
      <c r="N20" s="29">
        <f>+'Monthly Forecast'!N63+'Monthly Forecast'!N79+'Monthly Forecast'!N73</f>
        <v>1277599.1807855521</v>
      </c>
      <c r="O20" s="29">
        <f>+'Monthly Forecast'!O63+'Monthly Forecast'!O79+'Monthly Forecast'!O73</f>
        <v>1224995.0819903917</v>
      </c>
      <c r="P20" s="307">
        <f t="shared" si="12"/>
        <v>17452681.125260003</v>
      </c>
      <c r="Q20" s="29">
        <f>+'Monthly Forecast'!P63+'Monthly Forecast'!P79+'Monthly Forecast'!P73</f>
        <v>1275439.0996710199</v>
      </c>
      <c r="R20" s="29">
        <f>+'Monthly Forecast'!Q63+'Monthly Forecast'!Q79+'Monthly Forecast'!Q73</f>
        <v>1476934.0571693198</v>
      </c>
      <c r="S20" s="29">
        <f>+'Monthly Forecast'!R63+'Monthly Forecast'!R79+'Monthly Forecast'!R73</f>
        <v>1562910.6747384204</v>
      </c>
      <c r="T20" s="29">
        <f>+'Monthly Forecast'!S63+'Monthly Forecast'!S79+'Monthly Forecast'!S73</f>
        <v>1597410.2635601205</v>
      </c>
      <c r="U20" s="29">
        <f>+'Monthly Forecast'!T63+'Monthly Forecast'!T79+'Monthly Forecast'!T73</f>
        <v>1837033.8406728203</v>
      </c>
      <c r="V20" s="29">
        <f>+'Monthly Forecast'!U63+'Monthly Forecast'!U79+'Monthly Forecast'!U73</f>
        <v>1588814.6666907202</v>
      </c>
      <c r="W20" s="29">
        <f>+'Monthly Forecast'!V63+'Monthly Forecast'!V79+'Monthly Forecast'!V73</f>
        <v>1538571.6241375203</v>
      </c>
      <c r="X20" s="29">
        <f>+'Monthly Forecast'!W63+'Monthly Forecast'!W79+'Monthly Forecast'!W73</f>
        <v>1398714.8270111165</v>
      </c>
      <c r="Y20" s="29">
        <f>+'Monthly Forecast'!X63+'Monthly Forecast'!X79+'Monthly Forecast'!X73</f>
        <v>1350802.4146991333</v>
      </c>
      <c r="Z20" s="29"/>
      <c r="AA20" s="29">
        <f>'Monthly Forecast'!Y63+'Monthly Forecast'!Y79+'Monthly Forecast'!Y73</f>
        <v>1323455.3941338668</v>
      </c>
      <c r="AB20" s="29">
        <f>'Monthly Forecast'!Z63+'Monthly Forecast'!Z79+'Monthly Forecast'!Z73</f>
        <v>1277599.1807855521</v>
      </c>
      <c r="AC20" s="29">
        <f>'Monthly Forecast'!AA63+'Monthly Forecast'!AA79+'Monthly Forecast'!AA73</f>
        <v>1224995.0819903917</v>
      </c>
      <c r="AD20" s="29">
        <f>'Monthly Forecast'!AB63+'Monthly Forecast'!AB79+'Monthly Forecast'!AB73</f>
        <v>1275439.0996710199</v>
      </c>
      <c r="AE20" s="29">
        <f>'Monthly Forecast'!AC63+'Monthly Forecast'!AC79+'Monthly Forecast'!AC73</f>
        <v>1476934.0571693198</v>
      </c>
      <c r="AF20" s="29">
        <f>'Monthly Forecast'!AD63+'Monthly Forecast'!AD79+'Monthly Forecast'!AD73</f>
        <v>1562910.6747384204</v>
      </c>
      <c r="AG20" s="29">
        <f>'Monthly Forecast'!AE63+'Monthly Forecast'!AE79+'Monthly Forecast'!AE73</f>
        <v>1597410.2635601205</v>
      </c>
      <c r="AH20" s="29">
        <f>'Monthly Forecast'!AF63+'Monthly Forecast'!AF79+'Monthly Forecast'!AF73</f>
        <v>1837033.8406728203</v>
      </c>
      <c r="AI20" s="29">
        <f>'Monthly Forecast'!AG63+'Monthly Forecast'!AG79+'Monthly Forecast'!AG73</f>
        <v>1588814.6666907202</v>
      </c>
      <c r="AJ20" s="29">
        <f>'Monthly Forecast'!AH63+'Monthly Forecast'!AH79+'Monthly Forecast'!AH73</f>
        <v>1538571.6241375203</v>
      </c>
      <c r="AK20" s="29">
        <f>'Monthly Forecast'!AI63+'Monthly Forecast'!AI79+'Monthly Forecast'!AI73</f>
        <v>1398714.8270111165</v>
      </c>
      <c r="AL20" s="29">
        <f>'Monthly Forecast'!AJ63+'Monthly Forecast'!AJ79+'Monthly Forecast'!AJ73</f>
        <v>1350802.4146991333</v>
      </c>
      <c r="AM20" s="307">
        <f t="shared" si="13"/>
        <v>17452681.125260003</v>
      </c>
      <c r="AN20" s="29">
        <f>+AM20</f>
        <v>17452681.125260003</v>
      </c>
      <c r="AO20" s="29">
        <f>+AN20</f>
        <v>17452681.125260003</v>
      </c>
      <c r="AP20" s="29">
        <f t="shared" ref="AP20:AS20" si="14">+AO20</f>
        <v>17452681.125260003</v>
      </c>
      <c r="AQ20" s="29">
        <f t="shared" si="14"/>
        <v>17452681.125260003</v>
      </c>
      <c r="AR20" s="29">
        <f t="shared" si="14"/>
        <v>17452681.125260003</v>
      </c>
      <c r="AS20" s="29">
        <f t="shared" si="14"/>
        <v>17452681.125260003</v>
      </c>
      <c r="AT20" s="158"/>
      <c r="AU20"/>
      <c r="AV20"/>
      <c r="AW20"/>
      <c r="AX20"/>
      <c r="AY20"/>
      <c r="AZ20"/>
    </row>
    <row r="21" spans="1:53" ht="15.75">
      <c r="A21" s="233">
        <v>13</v>
      </c>
      <c r="B21" s="332">
        <v>4893</v>
      </c>
      <c r="C21" s="184" t="s">
        <v>497</v>
      </c>
      <c r="D21" s="29">
        <f>'Monthly Forecast'!D88</f>
        <v>224506.49249999999</v>
      </c>
      <c r="E21" s="29">
        <f>'Monthly Forecast'!E88</f>
        <v>270434.41250000003</v>
      </c>
      <c r="F21" s="29">
        <f>'Monthly Forecast'!F88</f>
        <v>240831.22249999997</v>
      </c>
      <c r="G21" s="29">
        <f>'Monthly Forecast'!G88</f>
        <v>215894.06249999997</v>
      </c>
      <c r="H21" s="29">
        <f>'Monthly Forecast'!H88</f>
        <v>256668.56250000003</v>
      </c>
      <c r="I21" s="29">
        <f>'Monthly Forecast'!I88</f>
        <v>240852.4425</v>
      </c>
      <c r="J21" s="29">
        <f>'Monthly Forecast'!J88</f>
        <v>258975.85250000001</v>
      </c>
      <c r="K21" s="29">
        <f>'Monthly Forecast'!K88</f>
        <v>304933.69250000006</v>
      </c>
      <c r="L21" s="29">
        <f>'Monthly Forecast'!L88</f>
        <v>280519.34250000003</v>
      </c>
      <c r="M21" s="29">
        <f>'Monthly Forecast'!M88</f>
        <v>294856.53250000003</v>
      </c>
      <c r="N21" s="29">
        <f>'Monthly Forecast'!N88</f>
        <v>274115.96250000002</v>
      </c>
      <c r="O21" s="29">
        <f>'Monthly Forecast'!O88</f>
        <v>255651.05249999999</v>
      </c>
      <c r="P21" s="307">
        <f t="shared" si="12"/>
        <v>3118239.63</v>
      </c>
      <c r="Q21" s="29">
        <f>'Monthly Forecast'!P88</f>
        <v>224506.49249999999</v>
      </c>
      <c r="R21" s="29">
        <f>'Monthly Forecast'!Q88</f>
        <v>270434.41250000003</v>
      </c>
      <c r="S21" s="29">
        <f>'Monthly Forecast'!R88</f>
        <v>240831.22249999997</v>
      </c>
      <c r="T21" s="29">
        <f>'Monthly Forecast'!S88</f>
        <v>215894.06249999997</v>
      </c>
      <c r="U21" s="29">
        <f>'Monthly Forecast'!T88</f>
        <v>256668.56250000003</v>
      </c>
      <c r="V21" s="29">
        <f>'Monthly Forecast'!U88</f>
        <v>240852.4425</v>
      </c>
      <c r="W21" s="29">
        <f>'Monthly Forecast'!V88</f>
        <v>258975.85250000001</v>
      </c>
      <c r="X21" s="29">
        <f>'Monthly Forecast'!W88</f>
        <v>304933.69250000006</v>
      </c>
      <c r="Y21" s="29">
        <f>'Monthly Forecast'!X88</f>
        <v>280519.34250000003</v>
      </c>
      <c r="Z21" s="29"/>
      <c r="AA21" s="29">
        <f>'Monthly Forecast'!Y88</f>
        <v>294856.53250000003</v>
      </c>
      <c r="AB21" s="29">
        <f>'Monthly Forecast'!Z88</f>
        <v>274115.96250000002</v>
      </c>
      <c r="AC21" s="29">
        <f>'Monthly Forecast'!AA88</f>
        <v>255651.05249999999</v>
      </c>
      <c r="AD21" s="29">
        <f>'Monthly Forecast'!AB88</f>
        <v>224506.49249999999</v>
      </c>
      <c r="AE21" s="29">
        <f>'Monthly Forecast'!AC88</f>
        <v>270434.41250000003</v>
      </c>
      <c r="AF21" s="29">
        <f>'Monthly Forecast'!AD88</f>
        <v>240831.22249999997</v>
      </c>
      <c r="AG21" s="29">
        <f>'Monthly Forecast'!AE88</f>
        <v>215894.06249999997</v>
      </c>
      <c r="AH21" s="29">
        <f>'Monthly Forecast'!AF88</f>
        <v>256668.56250000003</v>
      </c>
      <c r="AI21" s="29">
        <f>'Monthly Forecast'!AG88</f>
        <v>240852.4425</v>
      </c>
      <c r="AJ21" s="29">
        <f>'Monthly Forecast'!AH88</f>
        <v>258975.85250000001</v>
      </c>
      <c r="AK21" s="29">
        <f>'Monthly Forecast'!AI88</f>
        <v>304933.69250000006</v>
      </c>
      <c r="AL21" s="29">
        <f>'Monthly Forecast'!AJ88</f>
        <v>280519.34250000003</v>
      </c>
      <c r="AM21" s="307">
        <f t="shared" si="13"/>
        <v>3118239.63</v>
      </c>
      <c r="AN21" s="29">
        <f>SUMIFS('Monthly Forecast'!$D$88:$CI$88,'Monthly Forecast'!$D$8:$CI$8,"&gt;="&amp;Dashboard!$A21,'Monthly Forecast'!$D$8:$CI$8,"&lt;="&amp;Dashboard!$B21)</f>
        <v>3118239.6300000008</v>
      </c>
      <c r="AO21" s="29">
        <f>SUMIFS('Monthly Forecast'!$D$88:$CI$88,'Monthly Forecast'!$D$8:$CI$8,"&gt;="&amp;Dashboard!$A22,'Monthly Forecast'!$D$8:$CI$8,"&lt;="&amp;Dashboard!$B22)</f>
        <v>3118239.6300000008</v>
      </c>
      <c r="AP21" s="29">
        <f>SUMIFS('Monthly Forecast'!$D$88:$CI$88,'Monthly Forecast'!$D$8:$CI$8,"&gt;="&amp;Dashboard!$A23,'Monthly Forecast'!$D$8:$CI$8,"&lt;="&amp;Dashboard!$B23)</f>
        <v>3118239.6300000008</v>
      </c>
      <c r="AQ21" s="29">
        <f>SUMIFS('Monthly Forecast'!$D$88:$CI$88,'Monthly Forecast'!$D$8:$CI$8,"&gt;="&amp;Dashboard!$A24,'Monthly Forecast'!$D$8:$CI$8,"&lt;="&amp;Dashboard!$B24)</f>
        <v>3118239.6300000008</v>
      </c>
      <c r="AR21" s="29">
        <f>SUMIFS('Monthly Forecast'!$D$88:$CI$88,'Monthly Forecast'!$D$8:$CI$8,"&gt;="&amp;Dashboard!$A25,'Monthly Forecast'!$D$8:$CI$8,"&lt;="&amp;Dashboard!$B25)</f>
        <v>3118239.6300000008</v>
      </c>
      <c r="AS21" s="29">
        <f>SUMIFS('Monthly Forecast'!$D$88:$CI$88,'Monthly Forecast'!$D$8:$CI$8,"&gt;="&amp;Dashboard!$A26,'Monthly Forecast'!$D$8:$CI$8,"&lt;="&amp;Dashboard!$B26)</f>
        <v>3118239.6300000008</v>
      </c>
      <c r="AT21" s="158"/>
      <c r="AU21"/>
      <c r="AV21"/>
      <c r="AW21"/>
      <c r="AX21"/>
      <c r="AY21"/>
      <c r="AZ21"/>
    </row>
    <row r="22" spans="1:53" ht="15.75">
      <c r="A22" s="233">
        <v>14</v>
      </c>
      <c r="B22" s="333"/>
      <c r="C22" s="185" t="s">
        <v>293</v>
      </c>
      <c r="D22" s="309">
        <f t="shared" ref="D22:I22" si="15">SUM(D18:D21)</f>
        <v>1503332.5921710199</v>
      </c>
      <c r="E22" s="309">
        <f t="shared" si="15"/>
        <v>1751066.4696693199</v>
      </c>
      <c r="F22" s="309">
        <f t="shared" si="15"/>
        <v>1807953.8972384203</v>
      </c>
      <c r="G22" s="309">
        <f t="shared" si="15"/>
        <v>1823232.3260601205</v>
      </c>
      <c r="H22" s="309">
        <f t="shared" si="15"/>
        <v>2102252.4031728203</v>
      </c>
      <c r="I22" s="309">
        <f t="shared" si="15"/>
        <v>1834573.1091907201</v>
      </c>
      <c r="J22" s="309">
        <f t="shared" ref="J22:L22" si="16">SUM(J18:J21)</f>
        <v>1803134.4766375204</v>
      </c>
      <c r="K22" s="309">
        <f t="shared" si="16"/>
        <v>1734700.0895111167</v>
      </c>
      <c r="L22" s="309">
        <f t="shared" si="16"/>
        <v>1661912.0271991333</v>
      </c>
      <c r="M22" s="309">
        <f t="shared" ref="M22" si="17">SUM(M18:M21)</f>
        <v>1641531.4866338668</v>
      </c>
      <c r="N22" s="309">
        <f t="shared" ref="N22:Y22" si="18">SUM(N18:N21)</f>
        <v>1569978.103285552</v>
      </c>
      <c r="O22" s="309">
        <f t="shared" si="18"/>
        <v>1495606.5444903916</v>
      </c>
      <c r="P22" s="452">
        <f t="shared" si="12"/>
        <v>20729273.525260001</v>
      </c>
      <c r="Q22" s="309">
        <f t="shared" si="18"/>
        <v>1517262.723599904</v>
      </c>
      <c r="R22" s="309">
        <f t="shared" si="18"/>
        <v>1764329.2802486077</v>
      </c>
      <c r="S22" s="309">
        <f t="shared" si="18"/>
        <v>1822130.854277367</v>
      </c>
      <c r="T22" s="309">
        <f t="shared" si="18"/>
        <v>1837337.8190673634</v>
      </c>
      <c r="U22" s="309">
        <f t="shared" si="18"/>
        <v>2119069.2043976714</v>
      </c>
      <c r="V22" s="309">
        <f t="shared" si="18"/>
        <v>1860144.0222075363</v>
      </c>
      <c r="W22" s="309">
        <f t="shared" si="18"/>
        <v>1838948.1536724542</v>
      </c>
      <c r="X22" s="309">
        <f t="shared" si="18"/>
        <v>1748888.2295009007</v>
      </c>
      <c r="Y22" s="309">
        <f t="shared" si="18"/>
        <v>1689215.1134157586</v>
      </c>
      <c r="Z22" s="309"/>
      <c r="AA22" s="309">
        <f t="shared" ref="AA22:AL22" si="19">SUM(AA18:AA21)</f>
        <v>1662846.1405868146</v>
      </c>
      <c r="AB22" s="309">
        <f t="shared" si="19"/>
        <v>1586152.6506726998</v>
      </c>
      <c r="AC22" s="309">
        <f t="shared" si="19"/>
        <v>1505430.1950845809</v>
      </c>
      <c r="AD22" s="309">
        <f t="shared" si="19"/>
        <v>1519365.9049277899</v>
      </c>
      <c r="AE22" s="309">
        <f t="shared" si="19"/>
        <v>1766238.3482905277</v>
      </c>
      <c r="AF22" s="309">
        <f t="shared" si="19"/>
        <v>1823502.2046051885</v>
      </c>
      <c r="AG22" s="309">
        <f t="shared" si="19"/>
        <v>1838718.064122142</v>
      </c>
      <c r="AH22" s="309">
        <f t="shared" si="19"/>
        <v>2121045.6317578587</v>
      </c>
      <c r="AI22" s="309">
        <f t="shared" si="19"/>
        <v>1867813.1134625552</v>
      </c>
      <c r="AJ22" s="309">
        <f t="shared" si="19"/>
        <v>1851092.8176746413</v>
      </c>
      <c r="AK22" s="309">
        <f t="shared" si="19"/>
        <v>1763427.606360069</v>
      </c>
      <c r="AL22" s="309">
        <f t="shared" si="19"/>
        <v>1691661.9776809814</v>
      </c>
      <c r="AM22" s="452">
        <f>SUM(AA22:AL22)</f>
        <v>20997294.655225851</v>
      </c>
      <c r="AN22" s="309">
        <f>SUM(AN18:AN21)</f>
        <v>20770643.424307123</v>
      </c>
      <c r="AO22" s="309">
        <f t="shared" ref="AO22:AS22" si="20">SUM(AO18:AO21)</f>
        <v>20957137.986429289</v>
      </c>
      <c r="AP22" s="309">
        <f t="shared" si="20"/>
        <v>21002266.450440176</v>
      </c>
      <c r="AQ22" s="309">
        <f t="shared" si="20"/>
        <v>21009085.847860761</v>
      </c>
      <c r="AR22" s="309">
        <f t="shared" si="20"/>
        <v>21008572.94775416</v>
      </c>
      <c r="AS22" s="309">
        <f t="shared" si="20"/>
        <v>21007310.100648291</v>
      </c>
      <c r="AT22" s="158"/>
      <c r="AU22" s="158"/>
      <c r="AV22"/>
      <c r="AW22"/>
    </row>
    <row r="23" spans="1:53" ht="15.75">
      <c r="A23" s="233">
        <v>15</v>
      </c>
      <c r="B23" s="333"/>
      <c r="C23" s="185" t="s">
        <v>70</v>
      </c>
      <c r="D23" s="309">
        <f t="shared" ref="D23:I23" si="21">D22+D15</f>
        <v>7899985.094143318</v>
      </c>
      <c r="E23" s="309">
        <f t="shared" si="21"/>
        <v>7772578.6794349905</v>
      </c>
      <c r="F23" s="309">
        <f t="shared" si="21"/>
        <v>7810617.3492647158</v>
      </c>
      <c r="G23" s="309">
        <f t="shared" si="21"/>
        <v>8903480.1342147999</v>
      </c>
      <c r="H23" s="309">
        <f t="shared" si="21"/>
        <v>14803317.416884808</v>
      </c>
      <c r="I23" s="309">
        <f t="shared" si="21"/>
        <v>19935141.967498317</v>
      </c>
      <c r="J23" s="309">
        <f t="shared" ref="J23:L23" si="22">J22+J15</f>
        <v>22886113.139110412</v>
      </c>
      <c r="K23" s="309">
        <f t="shared" si="22"/>
        <v>22910244.786029123</v>
      </c>
      <c r="L23" s="309">
        <f t="shared" si="22"/>
        <v>17898203.072766963</v>
      </c>
      <c r="M23" s="309">
        <f t="shared" ref="M23" si="23">M22+M15</f>
        <v>13816511.534626216</v>
      </c>
      <c r="N23" s="309">
        <f t="shared" ref="N23:Y23" si="24">N22+N15</f>
        <v>9957764.9332503565</v>
      </c>
      <c r="O23" s="453">
        <f t="shared" si="24"/>
        <v>7830154.1082639005</v>
      </c>
      <c r="P23" s="452">
        <f t="shared" si="12"/>
        <v>162424112.21548796</v>
      </c>
      <c r="Q23" s="309">
        <f t="shared" si="24"/>
        <v>7532358.6171897529</v>
      </c>
      <c r="R23" s="309">
        <f t="shared" si="24"/>
        <v>8107209.3203481892</v>
      </c>
      <c r="S23" s="309">
        <f t="shared" si="24"/>
        <v>8150783.1135268342</v>
      </c>
      <c r="T23" s="309">
        <f t="shared" si="24"/>
        <v>9439539.718130352</v>
      </c>
      <c r="U23" s="309">
        <f t="shared" si="24"/>
        <v>13890287.726459956</v>
      </c>
      <c r="V23" s="309">
        <f t="shared" si="24"/>
        <v>18423739.255118433</v>
      </c>
      <c r="W23" s="309">
        <f t="shared" si="24"/>
        <v>21042931.963652883</v>
      </c>
      <c r="X23" s="309">
        <f t="shared" si="24"/>
        <v>26433824.363270093</v>
      </c>
      <c r="Y23" s="309">
        <f t="shared" si="24"/>
        <v>20397274.015318092</v>
      </c>
      <c r="Z23" s="308"/>
      <c r="AA23" s="309">
        <f t="shared" ref="AA23:AL23" si="25">AA22+AA15</f>
        <v>15457681.798216874</v>
      </c>
      <c r="AB23" s="309">
        <f t="shared" si="25"/>
        <v>11411350.74390737</v>
      </c>
      <c r="AC23" s="309">
        <f t="shared" si="25"/>
        <v>8551932.0544272754</v>
      </c>
      <c r="AD23" s="309">
        <f t="shared" si="25"/>
        <v>8143359.3166980781</v>
      </c>
      <c r="AE23" s="309">
        <f t="shared" si="25"/>
        <v>8553478.1834090538</v>
      </c>
      <c r="AF23" s="309">
        <f t="shared" si="25"/>
        <v>8602945.549166467</v>
      </c>
      <c r="AG23" s="309">
        <f t="shared" si="25"/>
        <v>10163401.908322804</v>
      </c>
      <c r="AH23" s="309">
        <f t="shared" si="25"/>
        <v>17098066.839513592</v>
      </c>
      <c r="AI23" s="309">
        <f t="shared" si="25"/>
        <v>23708621.038742196</v>
      </c>
      <c r="AJ23" s="309">
        <f t="shared" si="25"/>
        <v>27485683.173408169</v>
      </c>
      <c r="AK23" s="309">
        <f t="shared" si="25"/>
        <v>27502479.442557823</v>
      </c>
      <c r="AL23" s="309">
        <f t="shared" si="25"/>
        <v>21143013.170641437</v>
      </c>
      <c r="AM23" s="452">
        <f t="shared" ref="AM23" si="26">AM22+AM15</f>
        <v>187822013.2190111</v>
      </c>
      <c r="AN23" s="309">
        <f t="shared" ref="AN23" si="27">AN22+AN15</f>
        <v>162731282.14370966</v>
      </c>
      <c r="AO23" s="309">
        <f>AO22+AO15</f>
        <v>170348344.6877749</v>
      </c>
      <c r="AP23" s="309">
        <f>AP22+AP15</f>
        <v>189085171.06379282</v>
      </c>
      <c r="AQ23" s="309">
        <f>AQ22+AQ15</f>
        <v>191695675.01603729</v>
      </c>
      <c r="AR23" s="309">
        <f t="shared" ref="AR23" si="28">AR22+AR15</f>
        <v>191245114.53783143</v>
      </c>
      <c r="AS23" s="309">
        <f t="shared" ref="AS23" si="29">AS22+AS15</f>
        <v>190495669.6447863</v>
      </c>
      <c r="AT23" s="158"/>
      <c r="AU23" s="158"/>
      <c r="AV23"/>
      <c r="AW23"/>
      <c r="AZ23" s="273" t="s">
        <v>551</v>
      </c>
      <c r="BA23" s="454">
        <f>P28</f>
        <v>99802385.962974742</v>
      </c>
    </row>
    <row r="24" spans="1:53">
      <c r="A24" s="233">
        <v>16</v>
      </c>
      <c r="B24" s="233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07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307"/>
      <c r="AN24" s="29"/>
      <c r="AO24" s="29"/>
      <c r="AP24" s="29"/>
      <c r="AQ24" s="29"/>
      <c r="AR24" s="29"/>
      <c r="AS24" s="29"/>
      <c r="AT24" s="158"/>
      <c r="AU24" s="158"/>
      <c r="AV24"/>
      <c r="AW24"/>
      <c r="AZ24" s="26" t="s">
        <v>601</v>
      </c>
      <c r="BA24" s="22">
        <f>('Summary of Stats'!AL11-'Summary of Stats'!O11)*'Test Year Monthly - (Pres)'!Q17/'Test Year Monthly - (Pres)'!P13*12</f>
        <v>0</v>
      </c>
    </row>
    <row r="25" spans="1:53" ht="15.75">
      <c r="A25" s="233">
        <v>17</v>
      </c>
      <c r="B25" s="233"/>
      <c r="C25" s="184" t="s">
        <v>295</v>
      </c>
      <c r="D25" s="29">
        <f>'Monthly Forecast'!D102</f>
        <v>1514769.5449406202</v>
      </c>
      <c r="E25" s="29">
        <f>'Monthly Forecast'!E102</f>
        <v>1137858.3338738799</v>
      </c>
      <c r="F25" s="29">
        <f>'Monthly Forecast'!F102</f>
        <v>1150957.9804821201</v>
      </c>
      <c r="G25" s="29">
        <f>'Monthly Forecast'!G102</f>
        <v>1863790.3610317702</v>
      </c>
      <c r="H25" s="29">
        <f>'Monthly Forecast'!H102</f>
        <v>5955540.2811910799</v>
      </c>
      <c r="I25" s="29">
        <f>'Monthly Forecast'!I102</f>
        <v>9805523.4758907594</v>
      </c>
      <c r="J25" s="29">
        <f>'Monthly Forecast'!J102</f>
        <v>11944815.599799719</v>
      </c>
      <c r="K25" s="29">
        <f>'Monthly Forecast'!K102</f>
        <v>11679315.414432842</v>
      </c>
      <c r="L25" s="29">
        <f>'Monthly Forecast'!L102</f>
        <v>8209728.76502412</v>
      </c>
      <c r="M25" s="29">
        <f>'Monthly Forecast'!M102</f>
        <v>5367665.6674384009</v>
      </c>
      <c r="N25" s="29">
        <f>'Monthly Forecast'!N102</f>
        <v>2679679.4990276499</v>
      </c>
      <c r="O25" s="29">
        <f>'Monthly Forecast'!O102</f>
        <v>1312081.3293802203</v>
      </c>
      <c r="P25" s="307">
        <f t="shared" ref="P25" si="30">SUM(D25:O25)</f>
        <v>62621726.252513178</v>
      </c>
      <c r="Q25" s="29">
        <f>'Monthly Forecast'!P102</f>
        <v>1129287.7057436872</v>
      </c>
      <c r="R25" s="29">
        <f>'Monthly Forecast'!Q102</f>
        <v>1455295.2767813618</v>
      </c>
      <c r="S25" s="29">
        <f>'Monthly Forecast'!R102</f>
        <v>1473037.2783011408</v>
      </c>
      <c r="T25" s="29">
        <f>'Monthly Forecast'!S102</f>
        <v>2381591.9345197519</v>
      </c>
      <c r="U25" s="29">
        <f>'Monthly Forecast'!T102</f>
        <v>5020342.9911030605</v>
      </c>
      <c r="V25" s="29">
        <f>'Monthly Forecast'!U102</f>
        <v>8262032.1305326782</v>
      </c>
      <c r="W25" s="29">
        <f>'Monthly Forecast'!V102</f>
        <v>10058758.094920952</v>
      </c>
      <c r="X25" s="29">
        <f>'Monthly Forecast'!W102</f>
        <v>15181336.498621821</v>
      </c>
      <c r="Y25" s="29">
        <f>'Monthly Forecast'!X102</f>
        <v>10675234.789721131</v>
      </c>
      <c r="Z25" s="29"/>
      <c r="AA25" s="29">
        <f>'Monthly Forecast'!Y102</f>
        <v>6982218.9628609549</v>
      </c>
      <c r="AB25" s="29">
        <f>'Monthly Forecast'!Z102</f>
        <v>4112629.6777597396</v>
      </c>
      <c r="AC25" s="29">
        <f>'Monthly Forecast'!AA102</f>
        <v>2020053.9170128419</v>
      </c>
      <c r="AD25" s="29">
        <f>'Monthly Forecast'!AB102</f>
        <v>1734260.1808545445</v>
      </c>
      <c r="AE25" s="29">
        <f>'Monthly Forecast'!AC102</f>
        <v>1895723.9966289767</v>
      </c>
      <c r="AF25" s="29">
        <f>'Monthly Forecast'!AD102</f>
        <v>1919919.1172605176</v>
      </c>
      <c r="AG25" s="29">
        <f>'Monthly Forecast'!AE102</f>
        <v>3099921.7521362798</v>
      </c>
      <c r="AH25" s="29">
        <f>'Monthly Forecast'!AF102</f>
        <v>8220794.5724572185</v>
      </c>
      <c r="AI25" s="29">
        <f>'Monthly Forecast'!AG102</f>
        <v>13532727.545907762</v>
      </c>
      <c r="AJ25" s="29">
        <f>'Monthly Forecast'!AH102</f>
        <v>16482301.918303896</v>
      </c>
      <c r="AK25" s="29">
        <f>'Monthly Forecast'!AI102</f>
        <v>16228082.105095781</v>
      </c>
      <c r="AL25" s="29">
        <f>'Monthly Forecast'!AJ102</f>
        <v>11412264.325620897</v>
      </c>
      <c r="AM25" s="307">
        <f>SUM(AA25:AL25)</f>
        <v>87640898.071899384</v>
      </c>
      <c r="AN25" s="29">
        <f>SUMIFS('Monthly Forecast'!$D$102:$CI$102,'Monthly Forecast'!$D$8:$CI$8,"&gt;="&amp;Dashboard!$A21,'Monthly Forecast'!$D$8:$CI$8,"&lt;="&amp;Dashboard!$B21)</f>
        <v>62875760.654042751</v>
      </c>
      <c r="AO25" s="29">
        <f>SUMIFS('Monthly Forecast'!$D$102:$CI$102,'Monthly Forecast'!$D$8:$CI$8,"&gt;="&amp;Dashboard!$A22,'Monthly Forecast'!$D$8:$CI$8,"&lt;="&amp;Dashboard!$B22)</f>
        <v>70244102.291796967</v>
      </c>
      <c r="AP25" s="29">
        <f>SUMIFS('Monthly Forecast'!$D$102:$CI$102,'Monthly Forecast'!$D$8:$CI$8,"&gt;="&amp;Dashboard!$A23,'Monthly Forecast'!$D$8:$CI$8,"&lt;="&amp;Dashboard!$B23)</f>
        <v>88873572.289744735</v>
      </c>
      <c r="AQ25" s="29">
        <f>SUMIFS('Monthly Forecast'!$D$102:$CI$102,'Monthly Forecast'!$D$8:$CI$8,"&gt;="&amp;Dashboard!$A24,'Monthly Forecast'!$D$8:$CI$8,"&lt;="&amp;Dashboard!$B24)</f>
        <v>91415024.584085837</v>
      </c>
      <c r="AR25" s="29">
        <f>SUMIFS('Monthly Forecast'!$D$102:$CI$102,'Monthly Forecast'!$D$8:$CI$8,"&gt;="&amp;Dashboard!$A25,'Monthly Forecast'!$D$8:$CI$8,"&lt;="&amp;Dashboard!$B25)</f>
        <v>90902745.960283518</v>
      </c>
      <c r="AS25" s="29">
        <f>SUMIFS('Monthly Forecast'!$D$102:$CI$102,'Monthly Forecast'!$D$8:$CI$8,"&gt;="&amp;Dashboard!$A26,'Monthly Forecast'!$D$8:$CI$8,"&lt;="&amp;Dashboard!$B26)</f>
        <v>90092339.763997734</v>
      </c>
      <c r="AT25" s="158"/>
      <c r="AU25" s="158"/>
      <c r="AV25"/>
      <c r="AW25"/>
      <c r="AZ25" s="26" t="s">
        <v>602</v>
      </c>
      <c r="BA25" s="22">
        <f>('Summary of Stats'!AL12-'Summary of Stats'!O12)*'Test Year Monthly - (Pres)'!Q26/'Test Year Monthly - (Pres)'!P22*12</f>
        <v>108910.53507580922</v>
      </c>
    </row>
    <row r="26" spans="1:53">
      <c r="A26" s="233">
        <v>18</v>
      </c>
      <c r="B26" s="233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7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307"/>
      <c r="AN26" s="29"/>
      <c r="AO26" s="29"/>
      <c r="AP26" s="29"/>
      <c r="AQ26" s="29"/>
      <c r="AR26" s="29"/>
      <c r="AS26" s="29"/>
      <c r="AT26" s="158"/>
      <c r="AU26" s="158"/>
      <c r="AV26"/>
      <c r="AW26"/>
      <c r="AZ26" s="158" t="s">
        <v>603</v>
      </c>
      <c r="BA26" s="81">
        <f>SUM(AM18:AM19)-SUM(P18:P19)</f>
        <v>268021.12996584689</v>
      </c>
    </row>
    <row r="27" spans="1:53">
      <c r="A27" s="233">
        <v>19</v>
      </c>
      <c r="B27" s="233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07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307"/>
      <c r="AN27" s="29"/>
      <c r="AO27" s="29"/>
      <c r="AP27" s="29"/>
      <c r="AQ27" s="29"/>
      <c r="AR27" s="29"/>
      <c r="AS27" s="29"/>
      <c r="AT27" s="158"/>
      <c r="AV27"/>
      <c r="AW27"/>
      <c r="AZ27" s="158"/>
      <c r="BA27" s="190"/>
    </row>
    <row r="28" spans="1:53">
      <c r="A28" s="233">
        <v>20</v>
      </c>
      <c r="B28" s="233"/>
      <c r="C28" s="26" t="s">
        <v>296</v>
      </c>
      <c r="D28" s="29">
        <f t="shared" ref="D28:I28" si="31">D23-D25</f>
        <v>6385215.5492026974</v>
      </c>
      <c r="E28" s="29">
        <f t="shared" si="31"/>
        <v>6634720.3455611104</v>
      </c>
      <c r="F28" s="29">
        <f t="shared" si="31"/>
        <v>6659659.3687825957</v>
      </c>
      <c r="G28" s="29">
        <f t="shared" si="31"/>
        <v>7039689.7731830291</v>
      </c>
      <c r="H28" s="29">
        <f t="shared" si="31"/>
        <v>8847777.1356937289</v>
      </c>
      <c r="I28" s="29">
        <f t="shared" si="31"/>
        <v>10129618.491607558</v>
      </c>
      <c r="J28" s="29">
        <f t="shared" ref="J28:L28" si="32">J23-J25</f>
        <v>10941297.539310694</v>
      </c>
      <c r="K28" s="29">
        <f t="shared" si="32"/>
        <v>11230929.37159628</v>
      </c>
      <c r="L28" s="29">
        <f t="shared" si="32"/>
        <v>9688474.3077428434</v>
      </c>
      <c r="M28" s="29">
        <f t="shared" ref="M28" si="33">M23-M25</f>
        <v>8448845.8671878148</v>
      </c>
      <c r="N28" s="29">
        <f t="shared" ref="N28:Y28" si="34">N23-N25</f>
        <v>7278085.4342227066</v>
      </c>
      <c r="O28" s="29">
        <f t="shared" si="34"/>
        <v>6518072.7788836807</v>
      </c>
      <c r="P28" s="307">
        <f t="shared" ref="P28" si="35">SUM(D28:O28)</f>
        <v>99802385.962974742</v>
      </c>
      <c r="Q28" s="29">
        <f t="shared" si="34"/>
        <v>6403070.9114460656</v>
      </c>
      <c r="R28" s="29">
        <f t="shared" si="34"/>
        <v>6651914.0435668277</v>
      </c>
      <c r="S28" s="29">
        <f t="shared" si="34"/>
        <v>6677745.8352256939</v>
      </c>
      <c r="T28" s="29">
        <f t="shared" si="34"/>
        <v>7057947.7836106</v>
      </c>
      <c r="U28" s="29">
        <f t="shared" si="34"/>
        <v>8869944.7353568953</v>
      </c>
      <c r="V28" s="29">
        <f t="shared" si="34"/>
        <v>10161707.124585755</v>
      </c>
      <c r="W28" s="29">
        <f t="shared" si="34"/>
        <v>10984173.868731931</v>
      </c>
      <c r="X28" s="29">
        <f t="shared" si="34"/>
        <v>11252487.864648271</v>
      </c>
      <c r="Y28" s="29">
        <f t="shared" si="34"/>
        <v>9722039.2255969606</v>
      </c>
      <c r="Z28" s="29"/>
      <c r="AA28" s="29">
        <f t="shared" ref="AA28:AL28" si="36">AA23-AA25</f>
        <v>8475462.8353559189</v>
      </c>
      <c r="AB28" s="29">
        <f t="shared" si="36"/>
        <v>7298721.0661476301</v>
      </c>
      <c r="AC28" s="29">
        <f t="shared" si="36"/>
        <v>6531878.1374144331</v>
      </c>
      <c r="AD28" s="29">
        <f t="shared" si="36"/>
        <v>6409099.135843534</v>
      </c>
      <c r="AE28" s="29">
        <f t="shared" si="36"/>
        <v>6657754.1867800774</v>
      </c>
      <c r="AF28" s="29">
        <f t="shared" si="36"/>
        <v>6683026.4319059495</v>
      </c>
      <c r="AG28" s="29">
        <f t="shared" si="36"/>
        <v>7063480.1561865238</v>
      </c>
      <c r="AH28" s="29">
        <f t="shared" si="36"/>
        <v>8877272.2670563739</v>
      </c>
      <c r="AI28" s="29">
        <f t="shared" si="36"/>
        <v>10175893.492834434</v>
      </c>
      <c r="AJ28" s="29">
        <f t="shared" si="36"/>
        <v>11003381.255104274</v>
      </c>
      <c r="AK28" s="29">
        <f t="shared" si="36"/>
        <v>11274397.337462042</v>
      </c>
      <c r="AL28" s="29">
        <f t="shared" si="36"/>
        <v>9730748.8450205401</v>
      </c>
      <c r="AM28" s="307">
        <f>AM23-AM25</f>
        <v>100181115.14711171</v>
      </c>
      <c r="AN28" s="29">
        <f>AN23-AN25</f>
        <v>99855521.489666909</v>
      </c>
      <c r="AO28" s="29">
        <f t="shared" ref="AO28:AS28" si="37">AO23-AO25</f>
        <v>100104242.39597793</v>
      </c>
      <c r="AP28" s="29">
        <f t="shared" si="37"/>
        <v>100211598.77404809</v>
      </c>
      <c r="AQ28" s="29">
        <f t="shared" si="37"/>
        <v>100280650.43195145</v>
      </c>
      <c r="AR28" s="29">
        <f t="shared" si="37"/>
        <v>100342368.57754791</v>
      </c>
      <c r="AS28" s="29">
        <f t="shared" si="37"/>
        <v>100403329.88078856</v>
      </c>
      <c r="AT28" s="158"/>
      <c r="AV28"/>
      <c r="AW28"/>
      <c r="AZ28" s="158"/>
      <c r="BA28" s="22">
        <f>BA29-SUM(BA23:BA27)</f>
        <v>1797.5190953165293</v>
      </c>
    </row>
    <row r="29" spans="1:53">
      <c r="A29" s="233">
        <v>21</v>
      </c>
      <c r="B29" s="233"/>
      <c r="P29" s="307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307"/>
      <c r="AT29" s="158"/>
      <c r="AZ29" s="272" t="s">
        <v>123</v>
      </c>
      <c r="BA29" s="454">
        <f>AM28</f>
        <v>100181115.14711171</v>
      </c>
    </row>
    <row r="30" spans="1:53">
      <c r="A30" s="233">
        <v>22</v>
      </c>
      <c r="B30" s="233"/>
      <c r="P30" s="307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307"/>
      <c r="AS30" s="22"/>
      <c r="AT30" s="158"/>
    </row>
    <row r="31" spans="1:53">
      <c r="A31" s="233">
        <v>23</v>
      </c>
      <c r="B31" s="233"/>
      <c r="M31"/>
      <c r="N31"/>
      <c r="O31"/>
      <c r="P31" s="307"/>
      <c r="Q31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307"/>
      <c r="AS31" s="22"/>
      <c r="AT31" s="158"/>
    </row>
    <row r="32" spans="1:53">
      <c r="A32" s="233">
        <v>24</v>
      </c>
      <c r="B32" s="233"/>
      <c r="C32" s="26" t="s">
        <v>359</v>
      </c>
      <c r="M32"/>
      <c r="N32"/>
      <c r="O32"/>
      <c r="P32" s="307"/>
      <c r="Q32" s="29">
        <f>+'Gas Cost Worksheet'!H51</f>
        <v>16917150.140000001</v>
      </c>
      <c r="R32" s="29">
        <f>+'Gas Cost Worksheet'!I51</f>
        <v>18070892.857015979</v>
      </c>
      <c r="S32" s="29">
        <f>+'Gas Cost Worksheet'!J51</f>
        <v>19869475.176577017</v>
      </c>
      <c r="T32" s="29">
        <f>+'Gas Cost Worksheet'!K51</f>
        <v>21715422.884575099</v>
      </c>
      <c r="U32" s="29">
        <f>+'Gas Cost Worksheet'!L51</f>
        <v>18850359.315159813</v>
      </c>
      <c r="V32" s="29">
        <f>+'Gas Cost Worksheet'!M51</f>
        <v>14105107.93756515</v>
      </c>
      <c r="W32" s="29">
        <f>+'Gas Cost Worksheet'!N51</f>
        <v>8762949.8941282518</v>
      </c>
      <c r="X32" s="29">
        <f>+'Gas Cost Worksheet'!O51</f>
        <v>1628481.9956903895</v>
      </c>
      <c r="Y32" s="29">
        <f>+'Gas Cost Worksheet'!P51</f>
        <v>-4613646.6663560867</v>
      </c>
      <c r="AA32" s="29">
        <f>+'Gas Cost Worksheet'!Q51</f>
        <v>-866643.16166107729</v>
      </c>
      <c r="AB32" s="29">
        <f>+'Gas Cost Worksheet'!R51</f>
        <v>2940314.2197972145</v>
      </c>
      <c r="AC32" s="29">
        <f>+'Gas Cost Worksheet'!S51</f>
        <v>6942440.6043359758</v>
      </c>
      <c r="AD32" s="29">
        <f>+'Gas Cost Worksheet'!T51</f>
        <v>11158870.20794349</v>
      </c>
      <c r="AE32" s="29">
        <f>+'Gas Cost Worksheet'!U51</f>
        <v>15380402.269147879</v>
      </c>
      <c r="AF32" s="29">
        <f>+'Gas Cost Worksheet'!V51</f>
        <v>19682298.037503045</v>
      </c>
      <c r="AG32" s="29">
        <f>+'Gas Cost Worksheet'!W51</f>
        <v>24334987.765643377</v>
      </c>
      <c r="AH32" s="29">
        <f>+'Gas Cost Worksheet'!X51</f>
        <v>21164722.166493595</v>
      </c>
      <c r="AI32" s="29">
        <f>+'Gas Cost Worksheet'!Y51</f>
        <v>15918588.602850724</v>
      </c>
      <c r="AJ32" s="29">
        <f>+'Gas Cost Worksheet'!Z51</f>
        <v>10013766.597925214</v>
      </c>
      <c r="AK32" s="29">
        <f>+'Gas Cost Worksheet'!AA51</f>
        <v>2119079.8261730745</v>
      </c>
      <c r="AL32" s="29">
        <f>+'Gas Cost Worksheet'!AB51</f>
        <v>-4797385.2125037136</v>
      </c>
      <c r="AM32" s="307"/>
      <c r="AO32" s="81"/>
      <c r="AS32" s="158"/>
      <c r="AT32" s="158"/>
    </row>
    <row r="33" spans="1:46">
      <c r="A33" s="233">
        <v>25</v>
      </c>
      <c r="P33" s="307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307"/>
      <c r="AO33" s="22"/>
      <c r="AS33" s="158"/>
      <c r="AT33" s="158"/>
    </row>
    <row r="34" spans="1:46">
      <c r="A34" s="233">
        <v>26</v>
      </c>
      <c r="P34" s="307"/>
      <c r="AA34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307"/>
      <c r="AO34" s="81"/>
      <c r="AS34" s="158"/>
      <c r="AT34" s="158"/>
    </row>
    <row r="35" spans="1:46">
      <c r="A35" s="233">
        <v>27</v>
      </c>
      <c r="P35" s="307"/>
      <c r="AA35"/>
      <c r="AC35" s="29"/>
      <c r="AD35" s="29"/>
      <c r="AE35" s="29"/>
      <c r="AF35" s="29"/>
      <c r="AG35" s="29"/>
      <c r="AH35" s="29"/>
      <c r="AI35" s="29"/>
      <c r="AJ35" s="29"/>
      <c r="AK35" s="29"/>
      <c r="AL35" s="29" t="s">
        <v>361</v>
      </c>
      <c r="AM35" s="307"/>
      <c r="AO35" s="81"/>
      <c r="AS35" s="158"/>
      <c r="AT35" s="158"/>
    </row>
    <row r="36" spans="1:46" ht="13.5" thickBot="1">
      <c r="A36" s="233">
        <v>28</v>
      </c>
      <c r="P36" s="323"/>
      <c r="AA36"/>
      <c r="AC36" s="29"/>
      <c r="AD36" s="29"/>
      <c r="AE36" s="29"/>
      <c r="AF36" s="29"/>
      <c r="AG36" s="29"/>
      <c r="AH36" s="29"/>
      <c r="AI36" s="29"/>
      <c r="AJ36" s="29"/>
      <c r="AK36" s="29"/>
      <c r="AL36" s="29" t="s">
        <v>360</v>
      </c>
      <c r="AM36" s="455">
        <f>SUM(AA32:AL32,Y32)/13</f>
        <v>9182907.3274840545</v>
      </c>
      <c r="AO36" s="81"/>
      <c r="AS36" s="158"/>
      <c r="AT36" s="158"/>
    </row>
    <row r="37" spans="1:46">
      <c r="AS37" s="158"/>
      <c r="AT37" s="158"/>
    </row>
    <row r="38" spans="1:46">
      <c r="AN38" s="29"/>
      <c r="AO38" s="29"/>
      <c r="AS38" s="158"/>
      <c r="AT38" s="158"/>
    </row>
    <row r="39" spans="1:46">
      <c r="T39" s="158"/>
      <c r="U39" s="158"/>
      <c r="V39" s="158"/>
      <c r="W39" s="158"/>
      <c r="X39" s="158"/>
      <c r="Y39" s="158"/>
      <c r="AN39" s="29"/>
      <c r="AO39" s="29"/>
      <c r="AP39" s="158"/>
      <c r="AQ39" s="158"/>
      <c r="AR39" s="158"/>
      <c r="AS39" s="158"/>
      <c r="AT39" s="158"/>
    </row>
    <row r="40" spans="1:46">
      <c r="T40" s="158"/>
      <c r="U40" s="158"/>
      <c r="V40" s="158"/>
      <c r="W40" s="158"/>
      <c r="X40" s="158"/>
      <c r="Y40" s="158"/>
      <c r="AG40" s="188"/>
      <c r="AH40" s="188"/>
      <c r="AI40" s="188"/>
      <c r="AJ40" s="188"/>
      <c r="AK40" s="188"/>
      <c r="AL40" s="188"/>
      <c r="AN40" s="158"/>
      <c r="AO40" s="158"/>
      <c r="AP40" s="158"/>
      <c r="AQ40" s="158"/>
      <c r="AR40" s="158"/>
      <c r="AS40" s="158"/>
      <c r="AT40" s="158"/>
    </row>
    <row r="41" spans="1:46">
      <c r="T41" s="158"/>
      <c r="U41" s="158"/>
      <c r="V41" s="158"/>
      <c r="W41" s="158"/>
      <c r="X41" s="158"/>
      <c r="Y41" s="158"/>
      <c r="AG41" s="188"/>
      <c r="AH41" s="188"/>
      <c r="AI41" s="188"/>
      <c r="AJ41" s="188"/>
      <c r="AK41" s="188"/>
      <c r="AL41" s="188"/>
      <c r="AN41" s="158"/>
      <c r="AO41" s="158"/>
      <c r="AP41" s="158"/>
      <c r="AQ41" s="158"/>
      <c r="AR41" s="158"/>
      <c r="AS41" s="158"/>
      <c r="AT41" s="158"/>
    </row>
    <row r="42" spans="1:46" ht="18"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Q42" s="189"/>
      <c r="R42" s="189"/>
      <c r="S42" s="189"/>
      <c r="T42" s="158"/>
      <c r="U42" s="158"/>
      <c r="V42" s="158"/>
      <c r="W42" s="158"/>
      <c r="X42" s="158"/>
      <c r="Y42" s="15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N42" s="158"/>
      <c r="AO42" s="158"/>
      <c r="AP42" s="158"/>
      <c r="AQ42" s="158"/>
      <c r="AR42" s="158"/>
      <c r="AS42" s="158"/>
      <c r="AT42" s="158"/>
    </row>
    <row r="43" spans="1:46">
      <c r="P43" s="162"/>
      <c r="T43" s="158"/>
      <c r="U43" s="158"/>
      <c r="V43" s="158"/>
      <c r="W43" s="158"/>
      <c r="X43" s="158"/>
      <c r="Y43" s="158"/>
      <c r="Z43" s="162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N43" s="158"/>
      <c r="AO43" s="158"/>
      <c r="AP43" s="158"/>
      <c r="AQ43" s="158"/>
      <c r="AR43" s="158"/>
      <c r="AS43" s="158"/>
      <c r="AT43" s="158"/>
    </row>
    <row r="45" spans="1:46"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</row>
    <row r="46" spans="1:46"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</row>
    <row r="47" spans="1:46"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</row>
    <row r="48" spans="1:46"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</row>
    <row r="66" spans="1:4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</row>
    <row r="67" spans="1:4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</row>
    <row r="68" spans="1:4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</row>
    <row r="69" spans="1:4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</row>
    <row r="70" spans="1:4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</row>
    <row r="71" spans="1:44">
      <c r="P71" s="162"/>
      <c r="T71" s="158"/>
      <c r="U71" s="158"/>
      <c r="V71" s="158"/>
      <c r="W71" s="158"/>
      <c r="X71" s="158"/>
      <c r="Y71" s="158"/>
      <c r="Z71" s="162"/>
      <c r="AA71" s="162"/>
      <c r="AB71" s="162"/>
      <c r="AN71" s="158"/>
      <c r="AO71" s="158"/>
      <c r="AP71" s="158"/>
      <c r="AQ71" s="158"/>
      <c r="AR71" s="158"/>
    </row>
    <row r="72" spans="1:44">
      <c r="P72" s="162"/>
      <c r="T72" s="158"/>
      <c r="U72" s="158"/>
      <c r="V72" s="158"/>
      <c r="W72" s="158"/>
      <c r="X72" s="158"/>
      <c r="Y72" s="158"/>
      <c r="Z72" s="162"/>
      <c r="AA72" s="162"/>
      <c r="AB72" s="162"/>
      <c r="AN72" s="158"/>
      <c r="AO72" s="158"/>
      <c r="AP72" s="158"/>
      <c r="AQ72" s="158"/>
      <c r="AR72" s="158"/>
    </row>
    <row r="73" spans="1:44">
      <c r="P73" s="162"/>
      <c r="T73" s="158"/>
      <c r="U73" s="158"/>
      <c r="V73" s="158"/>
      <c r="W73" s="158"/>
      <c r="X73" s="158"/>
      <c r="Y73" s="158"/>
      <c r="Z73" s="162"/>
      <c r="AA73" s="162"/>
      <c r="AB73" s="162"/>
      <c r="AN73" s="158"/>
      <c r="AO73" s="158"/>
      <c r="AP73" s="158"/>
      <c r="AQ73" s="158"/>
      <c r="AR73" s="158"/>
    </row>
    <row r="74" spans="1:44">
      <c r="P74" s="162"/>
      <c r="T74" s="158"/>
      <c r="U74" s="158"/>
      <c r="V74" s="158"/>
      <c r="W74" s="158"/>
      <c r="X74" s="158"/>
      <c r="Y74" s="158"/>
      <c r="Z74" s="162"/>
      <c r="AA74" s="162"/>
      <c r="AB74" s="162"/>
      <c r="AN74" s="158"/>
      <c r="AO74" s="158"/>
      <c r="AP74" s="158"/>
      <c r="AQ74" s="158"/>
      <c r="AR74" s="158"/>
    </row>
  </sheetData>
  <mergeCells count="3">
    <mergeCell ref="AN6:AS6"/>
    <mergeCell ref="D6:O6"/>
    <mergeCell ref="AA6:AL6"/>
  </mergeCells>
  <phoneticPr fontId="5" type="noConversion"/>
  <pageMargins left="0.25" right="0.25" top="0.75" bottom="0.75" header="0.3" footer="0.3"/>
  <pageSetup scale="65" fitToWidth="4" fitToHeight="0" orientation="landscape" r:id="rId1"/>
  <headerFooter alignWithMargins="0">
    <oddFooter>&amp;C&amp;A&amp;RPage &amp;P</oddFooter>
  </headerFooter>
  <colBreaks count="3" manualBreakCount="3">
    <brk id="16" max="35" man="1"/>
    <brk id="26" max="35" man="1"/>
    <brk id="39" max="35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R42"/>
  <sheetViews>
    <sheetView topLeftCell="V1" zoomScaleNormal="100" workbookViewId="0">
      <selection activeCell="D50" sqref="D50"/>
    </sheetView>
  </sheetViews>
  <sheetFormatPr defaultColWidth="9.140625" defaultRowHeight="12.75"/>
  <cols>
    <col min="1" max="1" width="6.7109375" style="26" bestFit="1" customWidth="1"/>
    <col min="2" max="2" width="38.7109375" style="26" customWidth="1"/>
    <col min="3" max="8" width="9" style="26" customWidth="1"/>
    <col min="9" max="14" width="9" style="26" bestFit="1" customWidth="1"/>
    <col min="15" max="15" width="10" style="26" bestFit="1" customWidth="1"/>
    <col min="16" max="24" width="9" style="26" bestFit="1" customWidth="1"/>
    <col min="25" max="25" width="3" style="26" customWidth="1"/>
    <col min="26" max="27" width="9" style="26" bestFit="1" customWidth="1"/>
    <col min="28" max="37" width="9" style="22" bestFit="1" customWidth="1"/>
    <col min="38" max="38" width="10.5703125" style="29" bestFit="1" customWidth="1"/>
    <col min="39" max="44" width="10.140625" style="26" bestFit="1" customWidth="1"/>
    <col min="45" max="16384" width="9.140625" style="26"/>
  </cols>
  <sheetData>
    <row r="1" spans="1:44">
      <c r="A1" s="26" t="s">
        <v>67</v>
      </c>
    </row>
    <row r="5" spans="1:44" ht="13.5" thickBot="1"/>
    <row r="6" spans="1:44">
      <c r="C6" s="663" t="str">
        <f>"Base Period – 12 Months Ending " &amp; TEXT(EOMONTH(Dashboard!$D$8,0),"MMMM YYYY")</f>
        <v>Base Period – 12 Months Ending June 2024</v>
      </c>
      <c r="D6" s="663"/>
      <c r="E6" s="663"/>
      <c r="F6" s="663"/>
      <c r="G6" s="663"/>
      <c r="H6" s="663"/>
      <c r="I6" s="663"/>
      <c r="J6" s="663"/>
      <c r="K6" s="663"/>
      <c r="L6" s="663"/>
      <c r="M6" s="663"/>
      <c r="N6" s="664"/>
      <c r="O6" s="320" t="s">
        <v>646</v>
      </c>
      <c r="S6" s="182"/>
      <c r="T6" s="182"/>
      <c r="U6" s="182"/>
      <c r="V6" s="182"/>
      <c r="W6" s="182"/>
      <c r="X6" s="182"/>
      <c r="Y6" s="182"/>
      <c r="Z6" s="663" t="str">
        <f>"Test Period – 12 Months Ending " &amp; TEXT(Dashboard!$D$11,"MMMM YYYY")</f>
        <v>Test Period – 12 Months Ending March 2026</v>
      </c>
      <c r="AA6" s="663"/>
      <c r="AB6" s="663"/>
      <c r="AC6" s="663"/>
      <c r="AD6" s="663"/>
      <c r="AE6" s="663"/>
      <c r="AF6" s="663"/>
      <c r="AG6" s="663"/>
      <c r="AH6" s="663"/>
      <c r="AI6" s="663"/>
      <c r="AJ6" s="663"/>
      <c r="AK6" s="664"/>
      <c r="AL6" s="320" t="s">
        <v>646</v>
      </c>
      <c r="AM6" s="662" t="s">
        <v>496</v>
      </c>
      <c r="AN6" s="662"/>
      <c r="AO6" s="662"/>
      <c r="AP6" s="662"/>
      <c r="AQ6" s="662"/>
      <c r="AR6" s="662"/>
    </row>
    <row r="7" spans="1:44">
      <c r="A7" s="231" t="s">
        <v>652</v>
      </c>
      <c r="B7" s="120"/>
      <c r="C7" s="448">
        <f>EOMONTH(Dashboard!D7,0)</f>
        <v>45138</v>
      </c>
      <c r="D7" s="448">
        <f>EOMONTH(C7,1)</f>
        <v>45169</v>
      </c>
      <c r="E7" s="448">
        <f t="shared" ref="E7:N7" si="0">EOMONTH(D7,1)</f>
        <v>45199</v>
      </c>
      <c r="F7" s="448">
        <f t="shared" si="0"/>
        <v>45230</v>
      </c>
      <c r="G7" s="448">
        <f t="shared" si="0"/>
        <v>45260</v>
      </c>
      <c r="H7" s="448">
        <f t="shared" si="0"/>
        <v>45291</v>
      </c>
      <c r="I7" s="448">
        <f t="shared" si="0"/>
        <v>45322</v>
      </c>
      <c r="J7" s="448">
        <f t="shared" si="0"/>
        <v>45351</v>
      </c>
      <c r="K7" s="448">
        <f t="shared" si="0"/>
        <v>45382</v>
      </c>
      <c r="L7" s="448">
        <f t="shared" si="0"/>
        <v>45412</v>
      </c>
      <c r="M7" s="448">
        <f t="shared" si="0"/>
        <v>45443</v>
      </c>
      <c r="N7" s="448">
        <f t="shared" si="0"/>
        <v>45473</v>
      </c>
      <c r="O7" s="321" t="s">
        <v>551</v>
      </c>
      <c r="P7" s="448">
        <f>EOMONTH(N7,1)</f>
        <v>45504</v>
      </c>
      <c r="Q7" s="448">
        <f>EOMONTH(P7,1)</f>
        <v>45535</v>
      </c>
      <c r="R7" s="448">
        <f t="shared" ref="R7:X7" si="1">EOMONTH(Q7,1)</f>
        <v>45565</v>
      </c>
      <c r="S7" s="448">
        <f t="shared" si="1"/>
        <v>45596</v>
      </c>
      <c r="T7" s="448">
        <f t="shared" si="1"/>
        <v>45626</v>
      </c>
      <c r="U7" s="448">
        <f t="shared" si="1"/>
        <v>45657</v>
      </c>
      <c r="V7" s="448">
        <f t="shared" si="1"/>
        <v>45688</v>
      </c>
      <c r="W7" s="448">
        <f t="shared" si="1"/>
        <v>45716</v>
      </c>
      <c r="X7" s="448">
        <f t="shared" si="1"/>
        <v>45747</v>
      </c>
      <c r="Y7" s="322"/>
      <c r="Z7" s="448">
        <f>EOMONTH(X7,1)</f>
        <v>45777</v>
      </c>
      <c r="AA7" s="448">
        <f>EOMONTH(Z7,1)</f>
        <v>45808</v>
      </c>
      <c r="AB7" s="448">
        <f t="shared" ref="AB7:AK7" si="2">EOMONTH(AA7,1)</f>
        <v>45838</v>
      </c>
      <c r="AC7" s="448">
        <f t="shared" si="2"/>
        <v>45869</v>
      </c>
      <c r="AD7" s="448">
        <f t="shared" si="2"/>
        <v>45900</v>
      </c>
      <c r="AE7" s="448">
        <f t="shared" si="2"/>
        <v>45930</v>
      </c>
      <c r="AF7" s="448">
        <f t="shared" si="2"/>
        <v>45961</v>
      </c>
      <c r="AG7" s="448">
        <f t="shared" si="2"/>
        <v>45991</v>
      </c>
      <c r="AH7" s="448">
        <f t="shared" si="2"/>
        <v>46022</v>
      </c>
      <c r="AI7" s="448">
        <f t="shared" si="2"/>
        <v>46053</v>
      </c>
      <c r="AJ7" s="448">
        <f t="shared" si="2"/>
        <v>46081</v>
      </c>
      <c r="AK7" s="448">
        <f t="shared" si="2"/>
        <v>46112</v>
      </c>
      <c r="AL7" s="319" t="s">
        <v>294</v>
      </c>
      <c r="AM7" s="449">
        <f>Dashboard!D13</f>
        <v>2024</v>
      </c>
      <c r="AN7" s="449">
        <f>AM7+1</f>
        <v>2025</v>
      </c>
      <c r="AO7" s="449">
        <f>+AN7+1</f>
        <v>2026</v>
      </c>
      <c r="AP7" s="449">
        <f>+AO7+1</f>
        <v>2027</v>
      </c>
      <c r="AQ7" s="449">
        <f t="shared" ref="AQ7:AR7" si="3">+AP7+1</f>
        <v>2028</v>
      </c>
      <c r="AR7" s="449">
        <f t="shared" si="3"/>
        <v>2029</v>
      </c>
    </row>
    <row r="8" spans="1:44">
      <c r="A8" s="233"/>
      <c r="C8" s="233" t="s">
        <v>12</v>
      </c>
      <c r="D8" s="233" t="s">
        <v>13</v>
      </c>
      <c r="E8" s="233" t="s">
        <v>14</v>
      </c>
      <c r="F8" s="233" t="s">
        <v>15</v>
      </c>
      <c r="G8" s="233" t="s">
        <v>80</v>
      </c>
      <c r="H8" s="233" t="s">
        <v>81</v>
      </c>
      <c r="I8" s="233" t="s">
        <v>82</v>
      </c>
      <c r="J8" s="233" t="s">
        <v>83</v>
      </c>
      <c r="K8" s="233" t="s">
        <v>84</v>
      </c>
      <c r="L8" s="233" t="s">
        <v>85</v>
      </c>
      <c r="M8" s="233" t="s">
        <v>86</v>
      </c>
      <c r="N8" s="233" t="s">
        <v>87</v>
      </c>
      <c r="O8" s="350" t="s">
        <v>88</v>
      </c>
      <c r="P8" s="233" t="s">
        <v>204</v>
      </c>
      <c r="Q8" s="233" t="s">
        <v>205</v>
      </c>
      <c r="R8" s="233" t="s">
        <v>206</v>
      </c>
      <c r="S8" s="233" t="s">
        <v>207</v>
      </c>
      <c r="T8" s="233" t="s">
        <v>208</v>
      </c>
      <c r="U8" s="233" t="s">
        <v>209</v>
      </c>
      <c r="V8" s="233" t="s">
        <v>210</v>
      </c>
      <c r="W8" s="233" t="s">
        <v>211</v>
      </c>
      <c r="X8" s="233" t="s">
        <v>212</v>
      </c>
      <c r="Y8" s="233" t="s">
        <v>213</v>
      </c>
      <c r="Z8" s="233" t="s">
        <v>214</v>
      </c>
      <c r="AA8" s="233" t="s">
        <v>215</v>
      </c>
      <c r="AB8" s="348" t="s">
        <v>216</v>
      </c>
      <c r="AC8" s="348" t="s">
        <v>217</v>
      </c>
      <c r="AD8" s="348" t="s">
        <v>218</v>
      </c>
      <c r="AE8" s="348" t="s">
        <v>219</v>
      </c>
      <c r="AF8" s="348" t="s">
        <v>220</v>
      </c>
      <c r="AG8" s="348" t="s">
        <v>221</v>
      </c>
      <c r="AH8" s="348" t="s">
        <v>222</v>
      </c>
      <c r="AI8" s="348" t="s">
        <v>223</v>
      </c>
      <c r="AJ8" s="348" t="s">
        <v>224</v>
      </c>
      <c r="AK8" s="348" t="s">
        <v>225</v>
      </c>
      <c r="AL8" s="349" t="s">
        <v>226</v>
      </c>
      <c r="AM8" s="233" t="s">
        <v>227</v>
      </c>
      <c r="AN8" s="233" t="s">
        <v>228</v>
      </c>
      <c r="AO8" s="233" t="s">
        <v>229</v>
      </c>
      <c r="AP8" s="233" t="s">
        <v>230</v>
      </c>
      <c r="AQ8" s="233" t="s">
        <v>231</v>
      </c>
      <c r="AR8" s="233" t="s">
        <v>232</v>
      </c>
    </row>
    <row r="9" spans="1:44">
      <c r="A9" s="233"/>
      <c r="O9" s="318"/>
      <c r="S9" s="158"/>
      <c r="T9" s="158"/>
      <c r="U9" s="158"/>
      <c r="V9" s="158"/>
      <c r="W9" s="158"/>
      <c r="X9" s="158"/>
      <c r="Y9" s="162"/>
      <c r="Z9" s="162"/>
      <c r="AA9" s="162"/>
      <c r="AL9" s="307"/>
      <c r="AM9" s="158"/>
      <c r="AN9" s="158"/>
      <c r="AO9" s="158"/>
      <c r="AP9" s="158"/>
      <c r="AQ9" s="158"/>
      <c r="AR9" s="158"/>
    </row>
    <row r="10" spans="1:44">
      <c r="A10" s="233">
        <v>1</v>
      </c>
      <c r="B10" s="183" t="s">
        <v>317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318"/>
      <c r="P10" s="183"/>
      <c r="Q10" s="183"/>
      <c r="R10" s="183"/>
      <c r="S10" s="158"/>
      <c r="T10" s="158"/>
      <c r="U10" s="158"/>
      <c r="V10" s="162"/>
      <c r="W10" s="162"/>
      <c r="X10" s="162"/>
      <c r="Y10" s="162"/>
      <c r="Z10" s="162"/>
      <c r="AA10" s="162"/>
      <c r="AL10" s="307"/>
      <c r="AM10" s="162"/>
      <c r="AN10" s="162"/>
      <c r="AO10" s="162"/>
      <c r="AP10" s="162"/>
      <c r="AQ10" s="162"/>
    </row>
    <row r="11" spans="1:44" ht="15.75">
      <c r="A11" s="233">
        <v>2</v>
      </c>
      <c r="B11" s="184" t="s">
        <v>68</v>
      </c>
      <c r="C11" s="29">
        <f>'Monthly Forecast'!D12</f>
        <v>158859</v>
      </c>
      <c r="D11" s="29">
        <f>'Monthly Forecast'!E12</f>
        <v>158643</v>
      </c>
      <c r="E11" s="29">
        <f>'Monthly Forecast'!F12</f>
        <v>157525</v>
      </c>
      <c r="F11" s="29">
        <f>'Monthly Forecast'!G12</f>
        <v>158693</v>
      </c>
      <c r="G11" s="29">
        <f>'Monthly Forecast'!H12</f>
        <v>160008</v>
      </c>
      <c r="H11" s="29">
        <f>'Monthly Forecast'!I12</f>
        <v>161112</v>
      </c>
      <c r="I11" s="29">
        <f>'Monthly Forecast'!J12</f>
        <v>162059</v>
      </c>
      <c r="J11" s="29">
        <f>'Monthly Forecast'!K12</f>
        <v>162229</v>
      </c>
      <c r="K11" s="29">
        <f>'Monthly Forecast'!L12</f>
        <v>162136</v>
      </c>
      <c r="L11" s="29">
        <f>'Monthly Forecast'!M12</f>
        <v>162288</v>
      </c>
      <c r="M11" s="29">
        <f>'Monthly Forecast'!N12</f>
        <v>161528</v>
      </c>
      <c r="N11" s="29">
        <f>'Monthly Forecast'!O12</f>
        <v>160443</v>
      </c>
      <c r="O11" s="307">
        <f>AVERAGE(C11:N11)</f>
        <v>160460.25</v>
      </c>
      <c r="P11" s="29">
        <f>'Monthly Forecast'!P12</f>
        <v>158859</v>
      </c>
      <c r="Q11" s="29">
        <f>'Monthly Forecast'!Q12</f>
        <v>158643</v>
      </c>
      <c r="R11" s="29">
        <f>'Monthly Forecast'!R12</f>
        <v>157525</v>
      </c>
      <c r="S11" s="29">
        <f>'Monthly Forecast'!S12</f>
        <v>158693</v>
      </c>
      <c r="T11" s="29">
        <f>'Monthly Forecast'!T12</f>
        <v>160008</v>
      </c>
      <c r="U11" s="29">
        <f>'Monthly Forecast'!U12</f>
        <v>161112</v>
      </c>
      <c r="V11" s="29">
        <f>'Monthly Forecast'!V12</f>
        <v>162059</v>
      </c>
      <c r="W11" s="29">
        <f>'Monthly Forecast'!W12</f>
        <v>162229</v>
      </c>
      <c r="X11" s="29">
        <f>'Monthly Forecast'!X12</f>
        <v>162136</v>
      </c>
      <c r="Y11" s="29"/>
      <c r="Z11" s="29">
        <f>'Monthly Forecast'!Y12</f>
        <v>162288</v>
      </c>
      <c r="AA11" s="29">
        <f>'Monthly Forecast'!Z12</f>
        <v>161528</v>
      </c>
      <c r="AB11" s="29">
        <f>'Monthly Forecast'!AA12</f>
        <v>160443</v>
      </c>
      <c r="AC11" s="29">
        <f>'Monthly Forecast'!AB12</f>
        <v>158859</v>
      </c>
      <c r="AD11" s="29">
        <f>'Monthly Forecast'!AC12</f>
        <v>158643</v>
      </c>
      <c r="AE11" s="29">
        <f>'Monthly Forecast'!AD12</f>
        <v>157525</v>
      </c>
      <c r="AF11" s="29">
        <f>'Monthly Forecast'!AE12</f>
        <v>158693</v>
      </c>
      <c r="AG11" s="29">
        <f>'Monthly Forecast'!AF12</f>
        <v>160008</v>
      </c>
      <c r="AH11" s="29">
        <f>'Monthly Forecast'!AG12</f>
        <v>161112</v>
      </c>
      <c r="AI11" s="29">
        <f>'Monthly Forecast'!AH12</f>
        <v>162059</v>
      </c>
      <c r="AJ11" s="29">
        <f>'Monthly Forecast'!AI12</f>
        <v>162229</v>
      </c>
      <c r="AK11" s="29">
        <f>'Monthly Forecast'!AJ12</f>
        <v>162136</v>
      </c>
      <c r="AL11" s="307">
        <f>AVERAGE(Z11:AK11)</f>
        <v>160460.25</v>
      </c>
      <c r="AM11" s="29">
        <f>AVERAGEIFS('Monthly Forecast'!$D$12:$CI$12,'Monthly Forecast'!$D$8:$CI$8,"&gt;="&amp;Dashboard!$A21,'Monthly Forecast'!$D$8:$CI$8,"&lt;="&amp;Dashboard!$B21)</f>
        <v>160460.25</v>
      </c>
      <c r="AN11" s="29">
        <f>AVERAGEIFS('Monthly Forecast'!$D$12:$CI$12,'Monthly Forecast'!$D$8:$CI$8,"&gt;="&amp;Dashboard!$A22,'Monthly Forecast'!$D$8:$CI$8,"&lt;="&amp;Dashboard!$B22)</f>
        <v>160460.25</v>
      </c>
      <c r="AO11" s="29">
        <f>AVERAGEIFS('Monthly Forecast'!$D$12:$CI$12,'Monthly Forecast'!$D$8:$CI$8,"&gt;="&amp;Dashboard!$A23,'Monthly Forecast'!$D$8:$CI$8,"&lt;="&amp;Dashboard!$B23)</f>
        <v>160460.25</v>
      </c>
      <c r="AP11" s="29">
        <f>AVERAGEIFS('Monthly Forecast'!$D$12:$CI$12,'Monthly Forecast'!$D$8:$CI$8,"&gt;="&amp;Dashboard!$A24,'Monthly Forecast'!$D$8:$CI$8,"&lt;="&amp;Dashboard!$B24)</f>
        <v>160460.25</v>
      </c>
      <c r="AQ11" s="29">
        <f>AVERAGEIFS('Monthly Forecast'!$D$12:$CI$12,'Monthly Forecast'!$D$8:$CI$8,"&gt;="&amp;Dashboard!$A25,'Monthly Forecast'!$D$8:$CI$8,"&lt;="&amp;Dashboard!$B25)</f>
        <v>160460.25</v>
      </c>
      <c r="AR11" s="29">
        <f>AVERAGEIFS('Monthly Forecast'!$D$12:$CI$12,'Monthly Forecast'!$D$8:$CI$8,"&gt;="&amp;Dashboard!$A26,'Monthly Forecast'!$D$8:$CI$8,"&lt;="&amp;Dashboard!$B26)</f>
        <v>160460.25</v>
      </c>
    </row>
    <row r="12" spans="1:44" ht="15.75">
      <c r="A12" s="233">
        <v>3</v>
      </c>
      <c r="B12" s="184" t="s">
        <v>96</v>
      </c>
      <c r="C12" s="29">
        <f>'Monthly Forecast'!D21+'Monthly Forecast'!D48</f>
        <v>17808</v>
      </c>
      <c r="D12" s="29">
        <f>'Monthly Forecast'!E21+'Monthly Forecast'!E48</f>
        <v>17754</v>
      </c>
      <c r="E12" s="29">
        <f>'Monthly Forecast'!F21+'Monthly Forecast'!F48</f>
        <v>17633</v>
      </c>
      <c r="F12" s="29">
        <f>'Monthly Forecast'!G21+'Monthly Forecast'!G48</f>
        <v>17837</v>
      </c>
      <c r="G12" s="29">
        <f>'Monthly Forecast'!H21+'Monthly Forecast'!H48</f>
        <v>18263</v>
      </c>
      <c r="H12" s="29">
        <f>'Monthly Forecast'!I21+'Monthly Forecast'!I48</f>
        <v>18539</v>
      </c>
      <c r="I12" s="29">
        <f>'Monthly Forecast'!J21+'Monthly Forecast'!J48</f>
        <v>18802</v>
      </c>
      <c r="J12" s="29">
        <f>'Monthly Forecast'!K21+'Monthly Forecast'!K48</f>
        <v>18784</v>
      </c>
      <c r="K12" s="29">
        <f>'Monthly Forecast'!L21+'Monthly Forecast'!L48</f>
        <v>18797</v>
      </c>
      <c r="L12" s="29">
        <f>'Monthly Forecast'!M21+'Monthly Forecast'!M48</f>
        <v>18837</v>
      </c>
      <c r="M12" s="29">
        <f>'Monthly Forecast'!N21+'Monthly Forecast'!N48</f>
        <v>18540</v>
      </c>
      <c r="N12" s="29">
        <f>'Monthly Forecast'!O21+'Monthly Forecast'!O48</f>
        <v>18169</v>
      </c>
      <c r="O12" s="307">
        <f t="shared" ref="O12:O15" si="4">AVERAGE(C12:N12)</f>
        <v>18313.583333333332</v>
      </c>
      <c r="P12" s="29">
        <f>'Monthly Forecast'!P21+'Monthly Forecast'!P48</f>
        <v>17858</v>
      </c>
      <c r="Q12" s="29">
        <f>'Monthly Forecast'!Q21+'Monthly Forecast'!Q48</f>
        <v>17804</v>
      </c>
      <c r="R12" s="29">
        <f>'Monthly Forecast'!R21+'Monthly Forecast'!R48</f>
        <v>17683</v>
      </c>
      <c r="S12" s="29">
        <f>'Monthly Forecast'!S21+'Monthly Forecast'!S48</f>
        <v>17887</v>
      </c>
      <c r="T12" s="29">
        <f>'Monthly Forecast'!T21+'Monthly Forecast'!T48</f>
        <v>18313</v>
      </c>
      <c r="U12" s="29">
        <f>'Monthly Forecast'!U21+'Monthly Forecast'!U48</f>
        <v>18589</v>
      </c>
      <c r="V12" s="29">
        <f>'Monthly Forecast'!V21+'Monthly Forecast'!V48</f>
        <v>18852</v>
      </c>
      <c r="W12" s="29">
        <f>'Monthly Forecast'!W21+'Monthly Forecast'!W48</f>
        <v>18834</v>
      </c>
      <c r="X12" s="29">
        <f>'Monthly Forecast'!X21+'Monthly Forecast'!X48</f>
        <v>18847</v>
      </c>
      <c r="Y12" s="29"/>
      <c r="Z12" s="29">
        <f>'Monthly Forecast'!Y21+'Monthly Forecast'!Y48</f>
        <v>18887</v>
      </c>
      <c r="AA12" s="29">
        <f>'Monthly Forecast'!Z21+'Monthly Forecast'!Z48</f>
        <v>18590</v>
      </c>
      <c r="AB12" s="29">
        <f>'Monthly Forecast'!AA21+'Monthly Forecast'!AA48</f>
        <v>18219</v>
      </c>
      <c r="AC12" s="29">
        <f>'Monthly Forecast'!AB21+'Monthly Forecast'!AB48</f>
        <v>17908</v>
      </c>
      <c r="AD12" s="29">
        <f>'Monthly Forecast'!AC21+'Monthly Forecast'!AC48</f>
        <v>17854</v>
      </c>
      <c r="AE12" s="29">
        <f>'Monthly Forecast'!AD21+'Monthly Forecast'!AD48</f>
        <v>17733</v>
      </c>
      <c r="AF12" s="29">
        <f>'Monthly Forecast'!AE21+'Monthly Forecast'!AE48</f>
        <v>17937</v>
      </c>
      <c r="AG12" s="29">
        <f>'Monthly Forecast'!AF21+'Monthly Forecast'!AF48</f>
        <v>18363</v>
      </c>
      <c r="AH12" s="29">
        <f>'Monthly Forecast'!AG21+'Monthly Forecast'!AG48</f>
        <v>18639</v>
      </c>
      <c r="AI12" s="29">
        <f>'Monthly Forecast'!AH21+'Monthly Forecast'!AH48</f>
        <v>18902</v>
      </c>
      <c r="AJ12" s="29">
        <f>'Monthly Forecast'!AI21+'Monthly Forecast'!AI48</f>
        <v>18884</v>
      </c>
      <c r="AK12" s="29">
        <f>'Monthly Forecast'!AJ21+'Monthly Forecast'!AJ48</f>
        <v>18897</v>
      </c>
      <c r="AL12" s="307">
        <f t="shared" ref="AL12:AL15" si="5">AVERAGE(Z12:AK12)</f>
        <v>18401.083333333332</v>
      </c>
      <c r="AM12" s="29">
        <f>AVERAGEIFS('Monthly Forecast'!$D$21:$CI$21,'Monthly Forecast'!$D$8:$CI$8,"&gt;="&amp;Dashboard!$A21,'Monthly Forecast'!$D$8:$CI$8,"&lt;="&amp;Dashboard!$B21)+AVERAGEIFS('Monthly Forecast'!$D$48:$CI$48,'Monthly Forecast'!$D$8:$CI$8,"&gt;="&amp;Dashboard!$A21,'Monthly Forecast'!$D$8:$CI$8,"&lt;="&amp;Dashboard!$B21)</f>
        <v>18326.083333333336</v>
      </c>
      <c r="AN12" s="29">
        <f>AVERAGEIFS('Monthly Forecast'!$D$21:$CI$21,'Monthly Forecast'!$D$8:$CI$8,"&gt;="&amp;Dashboard!$A22,'Monthly Forecast'!$D$8:$CI$8,"&lt;="&amp;Dashboard!$B22)+AVERAGEIFS('Monthly Forecast'!$D$48:$CI$48,'Monthly Forecast'!$D$8:$CI$8,"&gt;="&amp;Dashboard!$A22,'Monthly Forecast'!$D$8:$CI$8,"&lt;="&amp;Dashboard!$B22)</f>
        <v>18376.083333333336</v>
      </c>
      <c r="AO12" s="29">
        <f>AVERAGEIFS('Monthly Forecast'!$D$21:$CI$21,'Monthly Forecast'!$D$8:$CI$8,"&gt;="&amp;Dashboard!$A23,'Monthly Forecast'!$D$8:$CI$8,"&lt;="&amp;Dashboard!$B23)+AVERAGEIFS('Monthly Forecast'!$D$48:$CI$48,'Monthly Forecast'!$D$8:$CI$8,"&gt;="&amp;Dashboard!$A23,'Monthly Forecast'!$D$8:$CI$8,"&lt;="&amp;Dashboard!$B23)</f>
        <v>18426.083333333336</v>
      </c>
      <c r="AP12" s="29">
        <f>AVERAGEIFS('Monthly Forecast'!$D$21:$CI$21,'Monthly Forecast'!$D$8:$CI$8,"&gt;="&amp;Dashboard!$A24,'Monthly Forecast'!$D$8:$CI$8,"&lt;="&amp;Dashboard!$B24)+AVERAGEIFS('Monthly Forecast'!$D$48:$CI$48,'Monthly Forecast'!$D$8:$CI$8,"&gt;="&amp;Dashboard!$A24,'Monthly Forecast'!$D$8:$CI$8,"&lt;="&amp;Dashboard!$B24)</f>
        <v>18476.083333333336</v>
      </c>
      <c r="AQ12" s="29">
        <f>AVERAGEIFS('Monthly Forecast'!$D$21:$CI$21,'Monthly Forecast'!$D$8:$CI$8,"&gt;="&amp;Dashboard!$A25,'Monthly Forecast'!$D$8:$CI$8,"&lt;="&amp;Dashboard!$B25)+AVERAGEIFS('Monthly Forecast'!$D$48:$CI$48,'Monthly Forecast'!$D$8:$CI$8,"&gt;="&amp;Dashboard!$A25,'Monthly Forecast'!$D$8:$CI$8,"&lt;="&amp;Dashboard!$B25)</f>
        <v>18526.083333333336</v>
      </c>
      <c r="AR12" s="29">
        <f>AVERAGEIFS('Monthly Forecast'!$D$21:$CI$21,'Monthly Forecast'!$D$8:$CI$8,"&gt;="&amp;Dashboard!$A26,'Monthly Forecast'!$D$8:$CI$8,"&lt;="&amp;Dashboard!$B26)+AVERAGEIFS('Monthly Forecast'!$D$48:$CI$48,'Monthly Forecast'!$D$8:$CI$8,"&gt;="&amp;Dashboard!$A26,'Monthly Forecast'!$D$8:$CI$8,"&lt;="&amp;Dashboard!$B26)</f>
        <v>18576.083333333336</v>
      </c>
    </row>
    <row r="13" spans="1:44" ht="15.75">
      <c r="A13" s="233">
        <v>4</v>
      </c>
      <c r="B13" s="184" t="s">
        <v>286</v>
      </c>
      <c r="C13" s="29">
        <f>'Monthly Forecast'!D30+'Monthly Forecast'!D56</f>
        <v>208</v>
      </c>
      <c r="D13" s="29">
        <f>'Monthly Forecast'!E30+'Monthly Forecast'!E56</f>
        <v>220</v>
      </c>
      <c r="E13" s="29">
        <f>'Monthly Forecast'!F30+'Monthly Forecast'!F56</f>
        <v>214</v>
      </c>
      <c r="F13" s="29">
        <f>'Monthly Forecast'!G30+'Monthly Forecast'!G56</f>
        <v>216</v>
      </c>
      <c r="G13" s="29">
        <f>'Monthly Forecast'!H30+'Monthly Forecast'!H56</f>
        <v>219</v>
      </c>
      <c r="H13" s="29">
        <f>'Monthly Forecast'!I30+'Monthly Forecast'!I56</f>
        <v>213</v>
      </c>
      <c r="I13" s="29">
        <f>'Monthly Forecast'!J30+'Monthly Forecast'!J56</f>
        <v>213</v>
      </c>
      <c r="J13" s="29">
        <f>'Monthly Forecast'!K30+'Monthly Forecast'!K56</f>
        <v>220</v>
      </c>
      <c r="K13" s="29">
        <f>'Monthly Forecast'!L30+'Monthly Forecast'!L56</f>
        <v>221</v>
      </c>
      <c r="L13" s="29">
        <f>'Monthly Forecast'!M30+'Monthly Forecast'!M56</f>
        <v>219</v>
      </c>
      <c r="M13" s="29">
        <f>'Monthly Forecast'!N30+'Monthly Forecast'!N56</f>
        <v>218</v>
      </c>
      <c r="N13" s="29">
        <f>'Monthly Forecast'!O30+'Monthly Forecast'!O56</f>
        <v>216</v>
      </c>
      <c r="O13" s="307">
        <f t="shared" si="4"/>
        <v>216.41666666666666</v>
      </c>
      <c r="P13" s="29">
        <f>'Monthly Forecast'!P30+'Monthly Forecast'!P56</f>
        <v>208</v>
      </c>
      <c r="Q13" s="29">
        <f>'Monthly Forecast'!Q30+'Monthly Forecast'!Q56</f>
        <v>220</v>
      </c>
      <c r="R13" s="29">
        <f>'Monthly Forecast'!R30+'Monthly Forecast'!R56</f>
        <v>214</v>
      </c>
      <c r="S13" s="29">
        <f>'Monthly Forecast'!S30+'Monthly Forecast'!S56</f>
        <v>216</v>
      </c>
      <c r="T13" s="29">
        <f>'Monthly Forecast'!T30+'Monthly Forecast'!T56</f>
        <v>219</v>
      </c>
      <c r="U13" s="29">
        <f>'Monthly Forecast'!U30+'Monthly Forecast'!U56</f>
        <v>213</v>
      </c>
      <c r="V13" s="29">
        <f>'Monthly Forecast'!V30+'Monthly Forecast'!V56</f>
        <v>213</v>
      </c>
      <c r="W13" s="29">
        <f>'Monthly Forecast'!W30+'Monthly Forecast'!W56</f>
        <v>220</v>
      </c>
      <c r="X13" s="29">
        <f>'Monthly Forecast'!X30+'Monthly Forecast'!X56</f>
        <v>221</v>
      </c>
      <c r="Y13" s="29"/>
      <c r="Z13" s="29">
        <f>'Monthly Forecast'!Y30+'Monthly Forecast'!Y56</f>
        <v>219</v>
      </c>
      <c r="AA13" s="29">
        <f>'Monthly Forecast'!Z30+'Monthly Forecast'!Z56</f>
        <v>218</v>
      </c>
      <c r="AB13" s="29">
        <f>'Monthly Forecast'!AA30+'Monthly Forecast'!AA56</f>
        <v>216</v>
      </c>
      <c r="AC13" s="29">
        <f>'Monthly Forecast'!AB30+'Monthly Forecast'!AB56</f>
        <v>208</v>
      </c>
      <c r="AD13" s="29">
        <f>'Monthly Forecast'!AC30+'Monthly Forecast'!AC56</f>
        <v>220</v>
      </c>
      <c r="AE13" s="29">
        <f>'Monthly Forecast'!AD30+'Monthly Forecast'!AD56</f>
        <v>214</v>
      </c>
      <c r="AF13" s="29">
        <f>'Monthly Forecast'!AE30+'Monthly Forecast'!AE56</f>
        <v>216</v>
      </c>
      <c r="AG13" s="29">
        <f>'Monthly Forecast'!AF30+'Monthly Forecast'!AF56</f>
        <v>219</v>
      </c>
      <c r="AH13" s="29">
        <f>'Monthly Forecast'!AG30+'Monthly Forecast'!AG56</f>
        <v>213</v>
      </c>
      <c r="AI13" s="29">
        <f>'Monthly Forecast'!AH30+'Monthly Forecast'!AH56</f>
        <v>213</v>
      </c>
      <c r="AJ13" s="29">
        <f>'Monthly Forecast'!AI30+'Monthly Forecast'!AI56</f>
        <v>220</v>
      </c>
      <c r="AK13" s="29">
        <f>'Monthly Forecast'!AJ30+'Monthly Forecast'!AJ56</f>
        <v>221</v>
      </c>
      <c r="AL13" s="307">
        <f t="shared" si="5"/>
        <v>216.41666666666666</v>
      </c>
      <c r="AM13" s="29">
        <f>AVERAGEIFS('Monthly Forecast'!$D$30:$CI$30,'Monthly Forecast'!$D$8:$CI$8,"&gt;="&amp;Dashboard!$A21,'Monthly Forecast'!$D$8:$CI$8,"&lt;="&amp;Dashboard!$B21)+AVERAGEIFS('Monthly Forecast'!$D$56:$CI$56,'Monthly Forecast'!$D$8:$CI$8,"&gt;="&amp;Dashboard!$A21,'Monthly Forecast'!$D$8:$CI$8,"&lt;="&amp;Dashboard!$B21)</f>
        <v>216.41666666666669</v>
      </c>
      <c r="AN13" s="29">
        <f>AVERAGEIFS('Monthly Forecast'!$D$30:$CI$30,'Monthly Forecast'!$D$8:$CI$8,"&gt;="&amp;Dashboard!$A22,'Monthly Forecast'!$D$8:$CI$8,"&lt;="&amp;Dashboard!$B22)+AVERAGEIFS('Monthly Forecast'!$D$56:$CI$56,'Monthly Forecast'!$D$8:$CI$8,"&gt;="&amp;Dashboard!$A22,'Monthly Forecast'!$D$8:$CI$8,"&lt;="&amp;Dashboard!$B22)</f>
        <v>216.41666666666669</v>
      </c>
      <c r="AO13" s="29">
        <f>AVERAGEIFS('Monthly Forecast'!$D$30:$CI$30,'Monthly Forecast'!$D$8:$CI$8,"&gt;="&amp;Dashboard!$A23,'Monthly Forecast'!$D$8:$CI$8,"&lt;="&amp;Dashboard!$B23)+AVERAGEIFS('Monthly Forecast'!$D$56:$CI$56,'Monthly Forecast'!$D$8:$CI$8,"&gt;="&amp;Dashboard!$A23,'Monthly Forecast'!$D$8:$CI$8,"&lt;="&amp;Dashboard!$B23)</f>
        <v>216.41666666666669</v>
      </c>
      <c r="AP13" s="29">
        <f>AVERAGEIFS('Monthly Forecast'!$D$30:$CI$30,'Monthly Forecast'!$D$8:$CI$8,"&gt;="&amp;Dashboard!$A24,'Monthly Forecast'!$D$8:$CI$8,"&lt;="&amp;Dashboard!$B24)+AVERAGEIFS('Monthly Forecast'!$D$56:$CI$56,'Monthly Forecast'!$D$8:$CI$8,"&gt;="&amp;Dashboard!$A24,'Monthly Forecast'!$D$8:$CI$8,"&lt;="&amp;Dashboard!$B24)</f>
        <v>216.41666666666669</v>
      </c>
      <c r="AQ13" s="29">
        <f>AVERAGEIFS('Monthly Forecast'!$D$30:$CI$30,'Monthly Forecast'!$D$8:$CI$8,"&gt;="&amp;Dashboard!$A25,'Monthly Forecast'!$D$8:$CI$8,"&lt;="&amp;Dashboard!$B25)+AVERAGEIFS('Monthly Forecast'!$D$56:$CI$56,'Monthly Forecast'!$D$8:$CI$8,"&gt;="&amp;Dashboard!$A25,'Monthly Forecast'!$D$8:$CI$8,"&lt;="&amp;Dashboard!$B25)</f>
        <v>216.41666666666669</v>
      </c>
      <c r="AR13" s="29">
        <f>AVERAGEIFS('Monthly Forecast'!$D$30:$CI$30,'Monthly Forecast'!$D$8:$CI$8,"&gt;="&amp;Dashboard!$A26,'Monthly Forecast'!$D$8:$CI$8,"&lt;="&amp;Dashboard!$B26)+AVERAGEIFS('Monthly Forecast'!$D$56:$CI$56,'Monthly Forecast'!$D$8:$CI$8,"&gt;="&amp;Dashboard!$A26,'Monthly Forecast'!$D$8:$CI$8,"&lt;="&amp;Dashboard!$B26)</f>
        <v>216.41666666666669</v>
      </c>
    </row>
    <row r="14" spans="1:44" ht="15.75">
      <c r="A14" s="233">
        <v>5</v>
      </c>
      <c r="B14" s="184" t="s">
        <v>287</v>
      </c>
      <c r="C14" s="317">
        <f>'Monthly Forecast'!D39</f>
        <v>1490</v>
      </c>
      <c r="D14" s="317">
        <f>'Monthly Forecast'!E39</f>
        <v>1493</v>
      </c>
      <c r="E14" s="317">
        <f>'Monthly Forecast'!F39</f>
        <v>1496</v>
      </c>
      <c r="F14" s="317">
        <f>'Monthly Forecast'!G39</f>
        <v>1504</v>
      </c>
      <c r="G14" s="317">
        <f>'Monthly Forecast'!H39</f>
        <v>1502</v>
      </c>
      <c r="H14" s="317">
        <f>'Monthly Forecast'!I39</f>
        <v>1507</v>
      </c>
      <c r="I14" s="317">
        <f>'Monthly Forecast'!J39</f>
        <v>1516</v>
      </c>
      <c r="J14" s="317">
        <f>'Monthly Forecast'!K39</f>
        <v>1503</v>
      </c>
      <c r="K14" s="317">
        <f>'Monthly Forecast'!L39</f>
        <v>1507</v>
      </c>
      <c r="L14" s="317">
        <f>'Monthly Forecast'!M39</f>
        <v>1504</v>
      </c>
      <c r="M14" s="317">
        <f>'Monthly Forecast'!N39</f>
        <v>1513</v>
      </c>
      <c r="N14" s="317">
        <f>'Monthly Forecast'!O39</f>
        <v>1483</v>
      </c>
      <c r="O14" s="456">
        <f t="shared" si="4"/>
        <v>1501.5</v>
      </c>
      <c r="P14" s="317">
        <f>'Monthly Forecast'!P39</f>
        <v>1490</v>
      </c>
      <c r="Q14" s="317">
        <f>'Monthly Forecast'!Q39</f>
        <v>1493</v>
      </c>
      <c r="R14" s="317">
        <f>'Monthly Forecast'!R39</f>
        <v>1496</v>
      </c>
      <c r="S14" s="317">
        <f>'Monthly Forecast'!S39</f>
        <v>1504</v>
      </c>
      <c r="T14" s="317">
        <f>'Monthly Forecast'!T39</f>
        <v>1502</v>
      </c>
      <c r="U14" s="317">
        <f>'Monthly Forecast'!U39</f>
        <v>1507</v>
      </c>
      <c r="V14" s="317">
        <f>'Monthly Forecast'!V39</f>
        <v>1516</v>
      </c>
      <c r="W14" s="317">
        <f>'Monthly Forecast'!W39</f>
        <v>1503</v>
      </c>
      <c r="X14" s="317">
        <f>'Monthly Forecast'!X39</f>
        <v>1507</v>
      </c>
      <c r="Y14" s="317"/>
      <c r="Z14" s="317">
        <f>'Monthly Forecast'!Y39</f>
        <v>1504</v>
      </c>
      <c r="AA14" s="317">
        <f>'Monthly Forecast'!Z39</f>
        <v>1513</v>
      </c>
      <c r="AB14" s="317">
        <f>'Monthly Forecast'!AA39</f>
        <v>1483</v>
      </c>
      <c r="AC14" s="317">
        <f>'Monthly Forecast'!AB39</f>
        <v>1490</v>
      </c>
      <c r="AD14" s="317">
        <f>'Monthly Forecast'!AC39</f>
        <v>1493</v>
      </c>
      <c r="AE14" s="317">
        <f>'Monthly Forecast'!AD39</f>
        <v>1496</v>
      </c>
      <c r="AF14" s="317">
        <f>'Monthly Forecast'!AE39</f>
        <v>1504</v>
      </c>
      <c r="AG14" s="317">
        <f>'Monthly Forecast'!AF39</f>
        <v>1502</v>
      </c>
      <c r="AH14" s="317">
        <f>'Monthly Forecast'!AG39</f>
        <v>1507</v>
      </c>
      <c r="AI14" s="317">
        <f>'Monthly Forecast'!AH39</f>
        <v>1516</v>
      </c>
      <c r="AJ14" s="317">
        <f>'Monthly Forecast'!AI39</f>
        <v>1503</v>
      </c>
      <c r="AK14" s="317">
        <f>'Monthly Forecast'!AJ39</f>
        <v>1507</v>
      </c>
      <c r="AL14" s="456">
        <f t="shared" si="5"/>
        <v>1501.5</v>
      </c>
      <c r="AM14" s="317">
        <f>AVERAGEIFS('Monthly Forecast'!$D$39:$CI$39,'Monthly Forecast'!$D$8:$CI$8,"&gt;="&amp;Dashboard!$A21,'Monthly Forecast'!$D$8:$CI$8,"&lt;="&amp;Dashboard!$B21)</f>
        <v>1501.5</v>
      </c>
      <c r="AN14" s="317">
        <f>AVERAGEIFS('Monthly Forecast'!$D$39:$CI$39,'Monthly Forecast'!$D$8:$CI$8,"&gt;="&amp;Dashboard!$A22,'Monthly Forecast'!$D$8:$CI$8,"&lt;="&amp;Dashboard!$B22)</f>
        <v>1501.5</v>
      </c>
      <c r="AO14" s="317">
        <f>AVERAGEIFS('Monthly Forecast'!$D$39:$CI$39,'Monthly Forecast'!$D$8:$CI$8,"&gt;="&amp;Dashboard!$A23,'Monthly Forecast'!$D$8:$CI$8,"&lt;="&amp;Dashboard!$B23)</f>
        <v>1501.5</v>
      </c>
      <c r="AP14" s="317">
        <f>AVERAGEIFS('Monthly Forecast'!$D$39:$CI$39,'Monthly Forecast'!$D$8:$CI$8,"&gt;="&amp;Dashboard!$A24,'Monthly Forecast'!$D$8:$CI$8,"&lt;="&amp;Dashboard!$B24)</f>
        <v>1501.5</v>
      </c>
      <c r="AQ14" s="317">
        <f>AVERAGEIFS('Monthly Forecast'!$D$39:$CI$39,'Monthly Forecast'!$D$8:$CI$8,"&gt;="&amp;Dashboard!$A25,'Monthly Forecast'!$D$8:$CI$8,"&lt;="&amp;Dashboard!$B25)</f>
        <v>1501.5</v>
      </c>
      <c r="AR14" s="317">
        <f>AVERAGEIFS('Monthly Forecast'!$D$39:$CI$39,'Monthly Forecast'!$D$8:$CI$8,"&gt;="&amp;Dashboard!$A26,'Monthly Forecast'!$D$8:$CI$8,"&lt;="&amp;Dashboard!$B26)</f>
        <v>1501.5</v>
      </c>
    </row>
    <row r="15" spans="1:44" ht="15.75">
      <c r="A15" s="233">
        <v>6</v>
      </c>
      <c r="B15" s="185" t="s">
        <v>18</v>
      </c>
      <c r="C15" s="29">
        <f t="shared" ref="C15:H15" si="6">SUM(C11:C14)</f>
        <v>178365</v>
      </c>
      <c r="D15" s="29">
        <f t="shared" si="6"/>
        <v>178110</v>
      </c>
      <c r="E15" s="29">
        <f t="shared" si="6"/>
        <v>176868</v>
      </c>
      <c r="F15" s="29">
        <f t="shared" si="6"/>
        <v>178250</v>
      </c>
      <c r="G15" s="29">
        <f t="shared" si="6"/>
        <v>179992</v>
      </c>
      <c r="H15" s="29">
        <f t="shared" si="6"/>
        <v>181371</v>
      </c>
      <c r="I15" s="29">
        <f t="shared" ref="I15:K15" si="7">SUM(I11:I14)</f>
        <v>182590</v>
      </c>
      <c r="J15" s="29">
        <f t="shared" si="7"/>
        <v>182736</v>
      </c>
      <c r="K15" s="29">
        <f t="shared" si="7"/>
        <v>182661</v>
      </c>
      <c r="L15" s="29">
        <f t="shared" ref="L15:X15" si="8">SUM(L11:L14)</f>
        <v>182848</v>
      </c>
      <c r="M15" s="29">
        <f t="shared" si="8"/>
        <v>181799</v>
      </c>
      <c r="N15" s="29">
        <f t="shared" si="8"/>
        <v>180311</v>
      </c>
      <c r="O15" s="307">
        <f t="shared" si="4"/>
        <v>180491.75</v>
      </c>
      <c r="P15" s="29">
        <f t="shared" si="8"/>
        <v>178415</v>
      </c>
      <c r="Q15" s="29">
        <f t="shared" si="8"/>
        <v>178160</v>
      </c>
      <c r="R15" s="29">
        <f t="shared" si="8"/>
        <v>176918</v>
      </c>
      <c r="S15" s="29">
        <f t="shared" si="8"/>
        <v>178300</v>
      </c>
      <c r="T15" s="29">
        <f t="shared" si="8"/>
        <v>180042</v>
      </c>
      <c r="U15" s="29">
        <f t="shared" si="8"/>
        <v>181421</v>
      </c>
      <c r="V15" s="29">
        <f t="shared" si="8"/>
        <v>182640</v>
      </c>
      <c r="W15" s="29">
        <f t="shared" si="8"/>
        <v>182786</v>
      </c>
      <c r="X15" s="29">
        <f t="shared" si="8"/>
        <v>182711</v>
      </c>
      <c r="Y15" s="29"/>
      <c r="Z15" s="29">
        <f t="shared" ref="Z15:AK15" si="9">SUM(Z11:Z14)</f>
        <v>182898</v>
      </c>
      <c r="AA15" s="29">
        <f t="shared" si="9"/>
        <v>181849</v>
      </c>
      <c r="AB15" s="29">
        <f t="shared" si="9"/>
        <v>180361</v>
      </c>
      <c r="AC15" s="29">
        <f t="shared" si="9"/>
        <v>178465</v>
      </c>
      <c r="AD15" s="29">
        <f t="shared" si="9"/>
        <v>178210</v>
      </c>
      <c r="AE15" s="29">
        <f t="shared" si="9"/>
        <v>176968</v>
      </c>
      <c r="AF15" s="29">
        <f t="shared" si="9"/>
        <v>178350</v>
      </c>
      <c r="AG15" s="29">
        <f t="shared" si="9"/>
        <v>180092</v>
      </c>
      <c r="AH15" s="29">
        <f t="shared" si="9"/>
        <v>181471</v>
      </c>
      <c r="AI15" s="29">
        <f t="shared" si="9"/>
        <v>182690</v>
      </c>
      <c r="AJ15" s="29">
        <f t="shared" si="9"/>
        <v>182836</v>
      </c>
      <c r="AK15" s="29">
        <f t="shared" si="9"/>
        <v>182761</v>
      </c>
      <c r="AL15" s="307">
        <f t="shared" si="5"/>
        <v>180579.25</v>
      </c>
      <c r="AM15" s="29">
        <f>SUM(AM11:AM14)</f>
        <v>180504.25</v>
      </c>
      <c r="AN15" s="29">
        <f t="shared" ref="AN15:AR15" si="10">SUM(AN11:AN14)</f>
        <v>180554.25</v>
      </c>
      <c r="AO15" s="29">
        <f t="shared" si="10"/>
        <v>180604.25</v>
      </c>
      <c r="AP15" s="29">
        <f t="shared" si="10"/>
        <v>180654.25</v>
      </c>
      <c r="AQ15" s="29">
        <f t="shared" si="10"/>
        <v>180704.25</v>
      </c>
      <c r="AR15" s="29">
        <f t="shared" si="10"/>
        <v>180754.25</v>
      </c>
    </row>
    <row r="16" spans="1:44">
      <c r="A16" s="233">
        <v>7</v>
      </c>
      <c r="B16" s="183" t="s">
        <v>498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318"/>
      <c r="P16" s="183"/>
      <c r="Q16" s="183"/>
      <c r="R16" s="183"/>
      <c r="S16" s="183"/>
      <c r="T16" s="183"/>
      <c r="U16" s="183"/>
      <c r="V16" s="183"/>
      <c r="W16" s="183"/>
      <c r="X16" s="183"/>
      <c r="Y16" s="162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307"/>
      <c r="AM16" s="162"/>
      <c r="AN16" s="162"/>
      <c r="AO16" s="162"/>
      <c r="AP16" s="162"/>
      <c r="AQ16" s="162"/>
      <c r="AR16" s="162"/>
    </row>
    <row r="17" spans="1:44" ht="15.75">
      <c r="A17" s="233">
        <v>8</v>
      </c>
      <c r="B17" s="184" t="s">
        <v>68</v>
      </c>
      <c r="C17" s="29">
        <f>'Monthly Forecast'!D16</f>
        <v>153941.1759</v>
      </c>
      <c r="D17" s="29">
        <f>'Monthly Forecast'!E16</f>
        <v>153732.10499999998</v>
      </c>
      <c r="E17" s="29">
        <f>'Monthly Forecast'!F16</f>
        <v>156728.32060000001</v>
      </c>
      <c r="F17" s="29">
        <f>'Monthly Forecast'!G16</f>
        <v>299634.90230000002</v>
      </c>
      <c r="G17" s="29">
        <f>'Monthly Forecast'!H16</f>
        <v>904852.31759999995</v>
      </c>
      <c r="H17" s="29">
        <f>'Monthly Forecast'!I16</f>
        <v>1526317.2079999999</v>
      </c>
      <c r="I17" s="29">
        <f>'Monthly Forecast'!J16</f>
        <v>1847868.4428000001</v>
      </c>
      <c r="J17" s="29">
        <f>'Monthly Forecast'!K16</f>
        <v>2003113.0316000001</v>
      </c>
      <c r="K17" s="29">
        <f>'Monthly Forecast'!L16</f>
        <v>1391215.4583999999</v>
      </c>
      <c r="L17" s="29">
        <f>'Monthly Forecast'!M16</f>
        <v>882026.57369999995</v>
      </c>
      <c r="M17" s="29">
        <f>'Monthly Forecast'!N16</f>
        <v>434614.08959999995</v>
      </c>
      <c r="N17" s="29">
        <f>'Monthly Forecast'!O16</f>
        <v>184549.02910000001</v>
      </c>
      <c r="O17" s="307">
        <f>SUM(C17:N17)</f>
        <v>9938592.6546000019</v>
      </c>
      <c r="P17" s="29">
        <f>'Monthly Forecast'!P16</f>
        <v>153941.29715873633</v>
      </c>
      <c r="Q17" s="29">
        <f>'Monthly Forecast'!Q16</f>
        <v>153731.98374126368</v>
      </c>
      <c r="R17" s="29">
        <f>'Monthly Forecast'!R16</f>
        <v>156728.49049712287</v>
      </c>
      <c r="S17" s="29">
        <f>'Monthly Forecast'!S16</f>
        <v>299635.17222123418</v>
      </c>
      <c r="T17" s="29">
        <f>'Monthly Forecast'!T16</f>
        <v>904852.21625445888</v>
      </c>
      <c r="U17" s="29">
        <f>'Monthly Forecast'!U16</f>
        <v>1526317.6675882081</v>
      </c>
      <c r="V17" s="29">
        <f>'Monthly Forecast'!V16</f>
        <v>1847868.6072768497</v>
      </c>
      <c r="W17" s="29">
        <f>'Monthly Forecast'!W16</f>
        <v>2003113.4276887493</v>
      </c>
      <c r="X17" s="29">
        <f>'Monthly Forecast'!X16</f>
        <v>1391215.0170340042</v>
      </c>
      <c r="Y17" s="29"/>
      <c r="Z17" s="29">
        <f>'Monthly Forecast'!Y16</f>
        <v>882026.12686111452</v>
      </c>
      <c r="AA17" s="29">
        <f>'Monthly Forecast'!Z16</f>
        <v>434614.2793255627</v>
      </c>
      <c r="AB17" s="29">
        <f>'Monthly Forecast'!AA16</f>
        <v>184548.5338202024</v>
      </c>
      <c r="AC17" s="29">
        <f>'Monthly Forecast'!AB16</f>
        <v>153941.29715873633</v>
      </c>
      <c r="AD17" s="29">
        <f>'Monthly Forecast'!AC16</f>
        <v>153731.98374126368</v>
      </c>
      <c r="AE17" s="29">
        <f>'Monthly Forecast'!AD16</f>
        <v>156728.49049712287</v>
      </c>
      <c r="AF17" s="29">
        <f>'Monthly Forecast'!AE16</f>
        <v>299635.17222123418</v>
      </c>
      <c r="AG17" s="29">
        <f>'Monthly Forecast'!AF16</f>
        <v>904852.21625445888</v>
      </c>
      <c r="AH17" s="29">
        <f>'Monthly Forecast'!AG16</f>
        <v>1526317.6675882081</v>
      </c>
      <c r="AI17" s="29">
        <f>'Monthly Forecast'!AH16</f>
        <v>1847868.6072768497</v>
      </c>
      <c r="AJ17" s="29">
        <f>'Monthly Forecast'!AI16</f>
        <v>2003113.4276887493</v>
      </c>
      <c r="AK17" s="29">
        <f>'Monthly Forecast'!AJ16</f>
        <v>1391215.0170340042</v>
      </c>
      <c r="AL17" s="307">
        <f>SUM(Z17:AK17)</f>
        <v>9938592.8194675054</v>
      </c>
      <c r="AM17" s="29">
        <f>SUMIFS('Monthly Forecast'!$D$16:$CI$16,'Monthly Forecast'!$D$8:$CI$8,"&gt;="&amp;Dashboard!$A21,'Monthly Forecast'!$D$8:$CI$8,"&lt;="&amp;Dashboard!$B21)</f>
        <v>9938592.8244971242</v>
      </c>
      <c r="AN17" s="29">
        <f>SUMIFS('Monthly Forecast'!$D$16:$CI$16,'Monthly Forecast'!$D$8:$CI$8,"&gt;="&amp;Dashboard!$A22,'Monthly Forecast'!$D$8:$CI$8,"&lt;="&amp;Dashboard!$B22)</f>
        <v>9938592.8194675092</v>
      </c>
      <c r="AO17" s="29">
        <f>SUMIFS('Monthly Forecast'!$D$16:$CI$16,'Monthly Forecast'!$D$8:$CI$8,"&gt;="&amp;Dashboard!$A23,'Monthly Forecast'!$D$8:$CI$8,"&lt;="&amp;Dashboard!$B23)</f>
        <v>9938592.8194675092</v>
      </c>
      <c r="AP17" s="29">
        <f>SUMIFS('Monthly Forecast'!$D$16:$CI$16,'Monthly Forecast'!$D$8:$CI$8,"&gt;="&amp;Dashboard!$A24,'Monthly Forecast'!$D$8:$CI$8,"&lt;="&amp;Dashboard!$B24)</f>
        <v>9938592.8194675092</v>
      </c>
      <c r="AQ17" s="29">
        <f>SUMIFS('Monthly Forecast'!$D$16:$CI$16,'Monthly Forecast'!$D$8:$CI$8,"&gt;="&amp;Dashboard!$A25,'Monthly Forecast'!$D$8:$CI$8,"&lt;="&amp;Dashboard!$B25)</f>
        <v>9938592.8194675092</v>
      </c>
      <c r="AR17" s="29">
        <f>SUMIFS('Monthly Forecast'!$D$16:$CI$16,'Monthly Forecast'!$D$8:$CI$8,"&gt;="&amp;Dashboard!$A26,'Monthly Forecast'!$D$8:$CI$8,"&lt;="&amp;Dashboard!$B26)</f>
        <v>9938592.8194675092</v>
      </c>
    </row>
    <row r="18" spans="1:44" ht="15.75">
      <c r="A18" s="233">
        <v>9</v>
      </c>
      <c r="B18" s="184" t="s">
        <v>96</v>
      </c>
      <c r="C18" s="29">
        <f>'Monthly Forecast'!D25+'Monthly Forecast'!D51</f>
        <v>149857.91620000001</v>
      </c>
      <c r="D18" s="29">
        <f>'Monthly Forecast'!E25+'Monthly Forecast'!E51</f>
        <v>149413.26140000002</v>
      </c>
      <c r="E18" s="29">
        <f>'Monthly Forecast'!F25+'Monthly Forecast'!F51</f>
        <v>150314.92489999998</v>
      </c>
      <c r="F18" s="29">
        <f>'Monthly Forecast'!G25+'Monthly Forecast'!G51</f>
        <v>215717.75240000003</v>
      </c>
      <c r="G18" s="29">
        <f>'Monthly Forecast'!H25+'Monthly Forecast'!H51</f>
        <v>496215.35750000004</v>
      </c>
      <c r="H18" s="29">
        <f>'Monthly Forecast'!I25+'Monthly Forecast'!I51</f>
        <v>787747.04140000022</v>
      </c>
      <c r="I18" s="29">
        <f>'Monthly Forecast'!J25+'Monthly Forecast'!J51</f>
        <v>944515.04310000001</v>
      </c>
      <c r="J18" s="29">
        <f>'Monthly Forecast'!K25+'Monthly Forecast'!K51</f>
        <v>1015006.8219999999</v>
      </c>
      <c r="K18" s="29">
        <f>'Monthly Forecast'!L25+'Monthly Forecast'!L51</f>
        <v>731657.12920000008</v>
      </c>
      <c r="L18" s="29">
        <f>'Monthly Forecast'!M25+'Monthly Forecast'!M51</f>
        <v>495598.19220000005</v>
      </c>
      <c r="M18" s="29">
        <f>'Monthly Forecast'!N25+'Monthly Forecast'!N51</f>
        <v>284074.48990000004</v>
      </c>
      <c r="N18" s="29">
        <f>'Monthly Forecast'!O25+'Monthly Forecast'!O51</f>
        <v>166111.05100000001</v>
      </c>
      <c r="O18" s="307">
        <f t="shared" ref="O18:O21" si="11">SUM(C18:N18)</f>
        <v>5586228.9812000012</v>
      </c>
      <c r="P18" s="29">
        <f>'Monthly Forecast'!P25+'Monthly Forecast'!P51</f>
        <v>150278.67020078746</v>
      </c>
      <c r="Q18" s="29">
        <f>'Monthly Forecast'!Q25+'Monthly Forecast'!Q51</f>
        <v>149834.01540078747</v>
      </c>
      <c r="R18" s="29">
        <f>'Monthly Forecast'!R25+'Monthly Forecast'!R51</f>
        <v>150740.85890078743</v>
      </c>
      <c r="S18" s="29">
        <f>'Monthly Forecast'!S25+'Monthly Forecast'!S51</f>
        <v>216325.96340078747</v>
      </c>
      <c r="T18" s="29">
        <f>'Monthly Forecast'!T25+'Monthly Forecast'!T51</f>
        <v>497591.9515007874</v>
      </c>
      <c r="U18" s="29">
        <f>'Monthly Forecast'!U25+'Monthly Forecast'!U51</f>
        <v>789902.7902007876</v>
      </c>
      <c r="V18" s="29">
        <f>'Monthly Forecast'!V25+'Monthly Forecast'!V51</f>
        <v>947064.69490078744</v>
      </c>
      <c r="W18" s="29">
        <f>'Monthly Forecast'!W25+'Monthly Forecast'!W51</f>
        <v>1017749.2604007875</v>
      </c>
      <c r="X18" s="29">
        <f>'Monthly Forecast'!X25+'Monthly Forecast'!X51</f>
        <v>733630.8736007876</v>
      </c>
      <c r="Y18" s="29"/>
      <c r="Z18" s="29">
        <f>'Monthly Forecast'!Y25+'Monthly Forecast'!Y51</f>
        <v>496929.44680078741</v>
      </c>
      <c r="AA18" s="29">
        <f>'Monthly Forecast'!Z25+'Monthly Forecast'!Z51</f>
        <v>284847.12830078747</v>
      </c>
      <c r="AB18" s="29">
        <f>'Monthly Forecast'!AA25+'Monthly Forecast'!AA51</f>
        <v>166568.06500078746</v>
      </c>
      <c r="AC18" s="29">
        <f>'Monthly Forecast'!AB25+'Monthly Forecast'!AB51</f>
        <v>150699.42420157488</v>
      </c>
      <c r="AD18" s="29">
        <f>'Monthly Forecast'!AC25+'Monthly Forecast'!AC51</f>
        <v>150254.76940157491</v>
      </c>
      <c r="AE18" s="29">
        <f>'Monthly Forecast'!AD25+'Monthly Forecast'!AD51</f>
        <v>151166.79290157487</v>
      </c>
      <c r="AF18" s="29">
        <f>'Monthly Forecast'!AE25+'Monthly Forecast'!AE51</f>
        <v>216934.19440157487</v>
      </c>
      <c r="AG18" s="29">
        <f>'Monthly Forecast'!AF25+'Monthly Forecast'!AF51</f>
        <v>498968.64550157497</v>
      </c>
      <c r="AH18" s="29">
        <f>'Monthly Forecast'!AG25+'Monthly Forecast'!AG51</f>
        <v>792058.71900157502</v>
      </c>
      <c r="AI18" s="29">
        <f>'Monthly Forecast'!AH25+'Monthly Forecast'!AH51</f>
        <v>949614.56670157495</v>
      </c>
      <c r="AJ18" s="29">
        <f>'Monthly Forecast'!AI25+'Monthly Forecast'!AI51</f>
        <v>1020491.9388015749</v>
      </c>
      <c r="AK18" s="29">
        <f>'Monthly Forecast'!AJ25+'Monthly Forecast'!AJ51</f>
        <v>735604.77800157492</v>
      </c>
      <c r="AL18" s="307">
        <f t="shared" ref="AL18:AL21" si="12">SUM(Z18:AK18)</f>
        <v>5614138.4690165361</v>
      </c>
      <c r="AM18" s="29">
        <f>SUMIFS('Monthly Forecast'!$D$25:$CI$25,'Monthly Forecast'!$D$8:$CI$8,"&gt;="&amp;Dashboard!$A21,'Monthly Forecast'!$D$8:$CI$8,"&lt;="&amp;Dashboard!$B21)+SUMIFS('Monthly Forecast'!$D$51:$CI$51,'Monthly Forecast'!$D$8:$CI$8,"&gt;="&amp;Dashboard!$A21,'Monthly Forecast'!$D$8:$CI$8,"&lt;="&amp;Dashboard!$B21)</f>
        <v>5587496.4232023628</v>
      </c>
      <c r="AN18" s="29">
        <f>SUMIFS('Monthly Forecast'!$D$25:$CI$25,'Monthly Forecast'!$D$8:$CI$8,"&gt;="&amp;Dashboard!$A22,'Monthly Forecast'!$D$8:$CI$8,"&lt;="&amp;Dashboard!$B22)+SUMIFS('Monthly Forecast'!$D$51:$CI$51,'Monthly Forecast'!$D$8:$CI$8,"&gt;="&amp;Dashboard!$A22,'Monthly Forecast'!$D$8:$CI$8,"&lt;="&amp;Dashboard!$B22)</f>
        <v>5602731.160611812</v>
      </c>
      <c r="AO18" s="29">
        <f>SUMIFS('Monthly Forecast'!$D$25:$CI$25,'Monthly Forecast'!$D$8:$CI$8,"&gt;="&amp;Dashboard!$A23,'Monthly Forecast'!$D$8:$CI$8,"&lt;="&amp;Dashboard!$B23)+SUMIFS('Monthly Forecast'!$D$51:$CI$51,'Monthly Forecast'!$D$8:$CI$8,"&gt;="&amp;Dashboard!$A23,'Monthly Forecast'!$D$8:$CI$8,"&lt;="&amp;Dashboard!$B23)</f>
        <v>5617966.948021261</v>
      </c>
      <c r="AP18" s="29">
        <f>SUMIFS('Monthly Forecast'!$D$25:$CI$25,'Monthly Forecast'!$D$8:$CI$8,"&gt;="&amp;Dashboard!$A24,'Monthly Forecast'!$D$8:$CI$8,"&lt;="&amp;Dashboard!$B24)+SUMIFS('Monthly Forecast'!$D$51:$CI$51,'Monthly Forecast'!$D$8:$CI$8,"&gt;="&amp;Dashboard!$A24,'Monthly Forecast'!$D$8:$CI$8,"&lt;="&amp;Dashboard!$B24)</f>
        <v>5633205.6469307104</v>
      </c>
      <c r="AQ18" s="29">
        <f>SUMIFS('Monthly Forecast'!$D$25:$CI$25,'Monthly Forecast'!$D$8:$CI$8,"&gt;="&amp;Dashboard!$A25,'Monthly Forecast'!$D$8:$CI$8,"&lt;="&amp;Dashboard!$B25)+SUMIFS('Monthly Forecast'!$D$51:$CI$51,'Monthly Forecast'!$D$8:$CI$8,"&gt;="&amp;Dashboard!$A25,'Monthly Forecast'!$D$8:$CI$8,"&lt;="&amp;Dashboard!$B25)</f>
        <v>5648443.5393401589</v>
      </c>
      <c r="AR18" s="29">
        <f>SUMIFS('Monthly Forecast'!$D$25:$CI$25,'Monthly Forecast'!$D$8:$CI$8,"&gt;="&amp;Dashboard!$A26,'Monthly Forecast'!$D$8:$CI$8,"&lt;="&amp;Dashboard!$B26)+SUMIFS('Monthly Forecast'!$D$51:$CI$51,'Monthly Forecast'!$D$8:$CI$8,"&gt;="&amp;Dashboard!$A26,'Monthly Forecast'!$D$8:$CI$8,"&lt;="&amp;Dashboard!$B26)</f>
        <v>5663676.8121496076</v>
      </c>
    </row>
    <row r="19" spans="1:44" ht="15.75">
      <c r="A19" s="233">
        <v>10</v>
      </c>
      <c r="B19" s="184" t="s">
        <v>286</v>
      </c>
      <c r="C19" s="29">
        <f>'Monthly Forecast'!D34+'Monthly Forecast'!D59</f>
        <v>24794.1787</v>
      </c>
      <c r="D19" s="29">
        <f>'Monthly Forecast'!E34+'Monthly Forecast'!E59</f>
        <v>31713.907599999999</v>
      </c>
      <c r="E19" s="29">
        <f>'Monthly Forecast'!F34+'Monthly Forecast'!F59</f>
        <v>32581.406499999997</v>
      </c>
      <c r="F19" s="29">
        <f>'Monthly Forecast'!G34+'Monthly Forecast'!G59</f>
        <v>35056.76969999999</v>
      </c>
      <c r="G19" s="29">
        <f>'Monthly Forecast'!H34+'Monthly Forecast'!H59</f>
        <v>59259.421699999999</v>
      </c>
      <c r="H19" s="29">
        <f>'Monthly Forecast'!I34+'Monthly Forecast'!I59</f>
        <v>94879.113500000007</v>
      </c>
      <c r="I19" s="29">
        <f>'Monthly Forecast'!J34+'Monthly Forecast'!J59</f>
        <v>144175.3848</v>
      </c>
      <c r="J19" s="29">
        <f>'Monthly Forecast'!K34+'Monthly Forecast'!K59</f>
        <v>131923.80790000001</v>
      </c>
      <c r="K19" s="29">
        <f>'Monthly Forecast'!L34+'Monthly Forecast'!L59</f>
        <v>91849.812699999995</v>
      </c>
      <c r="L19" s="29">
        <f>'Monthly Forecast'!M34+'Monthly Forecast'!M59</f>
        <v>70586.187399999995</v>
      </c>
      <c r="M19" s="29">
        <f>'Monthly Forecast'!N34+'Monthly Forecast'!N59</f>
        <v>72375.376000000004</v>
      </c>
      <c r="N19" s="29">
        <f>'Monthly Forecast'!O34+'Monthly Forecast'!O59</f>
        <v>36186.8511</v>
      </c>
      <c r="O19" s="307">
        <f t="shared" si="11"/>
        <v>825382.21760000009</v>
      </c>
      <c r="P19" s="29">
        <f>'Monthly Forecast'!P34+'Monthly Forecast'!P59</f>
        <v>24794.1787</v>
      </c>
      <c r="Q19" s="29">
        <f>'Monthly Forecast'!Q34+'Monthly Forecast'!Q59</f>
        <v>31713.907599999999</v>
      </c>
      <c r="R19" s="29">
        <f>'Monthly Forecast'!R34+'Monthly Forecast'!R59</f>
        <v>32581.406499999997</v>
      </c>
      <c r="S19" s="29">
        <f>'Monthly Forecast'!S34+'Monthly Forecast'!S59</f>
        <v>35056.76969999999</v>
      </c>
      <c r="T19" s="29">
        <f>'Monthly Forecast'!T34+'Monthly Forecast'!T59</f>
        <v>59259.421699999999</v>
      </c>
      <c r="U19" s="29">
        <f>'Monthly Forecast'!U34+'Monthly Forecast'!U59</f>
        <v>94879.113500000007</v>
      </c>
      <c r="V19" s="29">
        <f>'Monthly Forecast'!V34+'Monthly Forecast'!V59</f>
        <v>144175.3848</v>
      </c>
      <c r="W19" s="29">
        <f>'Monthly Forecast'!W34+'Monthly Forecast'!W59</f>
        <v>131923.80790000001</v>
      </c>
      <c r="X19" s="29">
        <f>'Monthly Forecast'!X34+'Monthly Forecast'!X59</f>
        <v>91849.812699999995</v>
      </c>
      <c r="Y19" s="29"/>
      <c r="Z19" s="29">
        <f>'Monthly Forecast'!Y34+'Monthly Forecast'!Y59</f>
        <v>70586.187399999995</v>
      </c>
      <c r="AA19" s="29">
        <f>'Monthly Forecast'!Z34+'Monthly Forecast'!Z59</f>
        <v>72375.376000000004</v>
      </c>
      <c r="AB19" s="29">
        <f>'Monthly Forecast'!AA34+'Monthly Forecast'!AA59</f>
        <v>36186.8511</v>
      </c>
      <c r="AC19" s="29">
        <f>'Monthly Forecast'!AB34+'Monthly Forecast'!AB59</f>
        <v>24794.1787</v>
      </c>
      <c r="AD19" s="29">
        <f>'Monthly Forecast'!AC34+'Monthly Forecast'!AC59</f>
        <v>31713.907599999999</v>
      </c>
      <c r="AE19" s="29">
        <f>'Monthly Forecast'!AD34+'Monthly Forecast'!AD59</f>
        <v>32581.406499999997</v>
      </c>
      <c r="AF19" s="29">
        <f>'Monthly Forecast'!AE34+'Monthly Forecast'!AE59</f>
        <v>35056.76969999999</v>
      </c>
      <c r="AG19" s="29">
        <f>'Monthly Forecast'!AF34+'Monthly Forecast'!AF59</f>
        <v>59259.421699999999</v>
      </c>
      <c r="AH19" s="29">
        <f>'Monthly Forecast'!AG34+'Monthly Forecast'!AG59</f>
        <v>94879.113500000007</v>
      </c>
      <c r="AI19" s="29">
        <f>'Monthly Forecast'!AH34+'Monthly Forecast'!AH59</f>
        <v>144175.3848</v>
      </c>
      <c r="AJ19" s="29">
        <f>'Monthly Forecast'!AI34+'Monthly Forecast'!AI59</f>
        <v>131923.80790000001</v>
      </c>
      <c r="AK19" s="29">
        <f>'Monthly Forecast'!AJ34+'Monthly Forecast'!AJ59</f>
        <v>91849.812699999995</v>
      </c>
      <c r="AL19" s="307">
        <f t="shared" si="12"/>
        <v>825382.21759999997</v>
      </c>
      <c r="AM19" s="29">
        <f>SUMIFS('Monthly Forecast'!$D$34:$CI$34,'Monthly Forecast'!$D$8:$CI$8,"&gt;="&amp;Dashboard!$A21,'Monthly Forecast'!$D$8:$CI$8,"&lt;="&amp;Dashboard!$B21)+SUMIFS('Monthly Forecast'!$D$59:$CI$59,'Monthly Forecast'!$D$8:$CI$8,"&gt;="&amp;Dashboard!$A21,'Monthly Forecast'!$D$8:$CI$8,"&lt;="&amp;Dashboard!$B21)</f>
        <v>825382.21760000009</v>
      </c>
      <c r="AN19" s="29">
        <f>SUMIFS('Monthly Forecast'!$D$34:$CI$34,'Monthly Forecast'!$D$8:$CI$8,"&gt;="&amp;Dashboard!$A22,'Monthly Forecast'!$D$8:$CI$8,"&lt;="&amp;Dashboard!$B22)+SUMIFS('Monthly Forecast'!$D$59:$CI$59,'Monthly Forecast'!$D$8:$CI$8,"&gt;="&amp;Dashboard!$A22,'Monthly Forecast'!$D$8:$CI$8,"&lt;="&amp;Dashboard!$B22)</f>
        <v>825382.21760000009</v>
      </c>
      <c r="AO19" s="29">
        <f>SUMIFS('Monthly Forecast'!$D$34:$CI$34,'Monthly Forecast'!$D$8:$CI$8,"&gt;="&amp;Dashboard!$A23,'Monthly Forecast'!$D$8:$CI$8,"&lt;="&amp;Dashboard!$B23)+SUMIFS('Monthly Forecast'!$D$59:$CI$59,'Monthly Forecast'!$D$8:$CI$8,"&gt;="&amp;Dashboard!$A23,'Monthly Forecast'!$D$8:$CI$8,"&lt;="&amp;Dashboard!$B23)</f>
        <v>825382.21760000009</v>
      </c>
      <c r="AP19" s="29">
        <f>SUMIFS('Monthly Forecast'!$D$34:$CI$34,'Monthly Forecast'!$D$8:$CI$8,"&gt;="&amp;Dashboard!$A24,'Monthly Forecast'!$D$8:$CI$8,"&lt;="&amp;Dashboard!$B24)+SUMIFS('Monthly Forecast'!$D$59:$CI$59,'Monthly Forecast'!$D$8:$CI$8,"&gt;="&amp;Dashboard!$A24,'Monthly Forecast'!$D$8:$CI$8,"&lt;="&amp;Dashboard!$B24)</f>
        <v>825382.21760000009</v>
      </c>
      <c r="AQ19" s="29">
        <f>SUMIFS('Monthly Forecast'!$D$34:$CI$34,'Monthly Forecast'!$D$8:$CI$8,"&gt;="&amp;Dashboard!$A25,'Monthly Forecast'!$D$8:$CI$8,"&lt;="&amp;Dashboard!$B25)+SUMIFS('Monthly Forecast'!$D$59:$CI$59,'Monthly Forecast'!$D$8:$CI$8,"&gt;="&amp;Dashboard!$A25,'Monthly Forecast'!$D$8:$CI$8,"&lt;="&amp;Dashboard!$B25)</f>
        <v>825382.21760000009</v>
      </c>
      <c r="AR19" s="29">
        <f>SUMIFS('Monthly Forecast'!$D$34:$CI$34,'Monthly Forecast'!$D$8:$CI$8,"&gt;="&amp;Dashboard!$A26,'Monthly Forecast'!$D$8:$CI$8,"&lt;="&amp;Dashboard!$B26)+SUMIFS('Monthly Forecast'!$D$59:$CI$59,'Monthly Forecast'!$D$8:$CI$8,"&gt;="&amp;Dashboard!$A26,'Monthly Forecast'!$D$8:$CI$8,"&lt;="&amp;Dashboard!$B26)</f>
        <v>825382.21760000009</v>
      </c>
    </row>
    <row r="20" spans="1:44" ht="15.75">
      <c r="A20" s="233">
        <v>11</v>
      </c>
      <c r="B20" s="184" t="s">
        <v>287</v>
      </c>
      <c r="C20" s="317">
        <f>'Monthly Forecast'!D43</f>
        <v>24108.536100000001</v>
      </c>
      <c r="D20" s="317">
        <f>'Monthly Forecast'!E43</f>
        <v>24156.099600000001</v>
      </c>
      <c r="E20" s="317">
        <f>'Monthly Forecast'!F43</f>
        <v>24526.189399999999</v>
      </c>
      <c r="F20" s="317">
        <f>'Monthly Forecast'!G43</f>
        <v>35793.914499999999</v>
      </c>
      <c r="G20" s="317">
        <f>'Monthly Forecast'!H43</f>
        <v>82648.873099999997</v>
      </c>
      <c r="H20" s="317">
        <f>'Monthly Forecast'!I43</f>
        <v>130630.48140000002</v>
      </c>
      <c r="I20" s="317">
        <f>'Monthly Forecast'!J43</f>
        <v>155651.06340000001</v>
      </c>
      <c r="J20" s="317">
        <f>'Monthly Forecast'!K43</f>
        <v>166089.93960000001</v>
      </c>
      <c r="K20" s="317">
        <f>'Monthly Forecast'!L43</f>
        <v>119472.7298</v>
      </c>
      <c r="L20" s="317">
        <f>'Monthly Forecast'!M43</f>
        <v>80016.07190000001</v>
      </c>
      <c r="M20" s="317">
        <f>'Monthly Forecast'!N43</f>
        <v>46074.2716</v>
      </c>
      <c r="N20" s="317">
        <f>'Monthly Forecast'!O43</f>
        <v>26223.145799999998</v>
      </c>
      <c r="O20" s="456">
        <f t="shared" si="11"/>
        <v>915391.3162</v>
      </c>
      <c r="P20" s="317">
        <f>'Monthly Forecast'!P43</f>
        <v>24108.536100000001</v>
      </c>
      <c r="Q20" s="317">
        <f>'Monthly Forecast'!Q43</f>
        <v>24156.099600000001</v>
      </c>
      <c r="R20" s="317">
        <f>'Monthly Forecast'!R43</f>
        <v>24526.189399999999</v>
      </c>
      <c r="S20" s="317">
        <f>'Monthly Forecast'!S43</f>
        <v>35793.914499999999</v>
      </c>
      <c r="T20" s="317">
        <f>'Monthly Forecast'!T43</f>
        <v>82648.873099999997</v>
      </c>
      <c r="U20" s="317">
        <f>'Monthly Forecast'!U43</f>
        <v>130630.48140000002</v>
      </c>
      <c r="V20" s="317">
        <f>'Monthly Forecast'!V43</f>
        <v>155651.06340000001</v>
      </c>
      <c r="W20" s="317">
        <f>'Monthly Forecast'!W43</f>
        <v>166089.93960000001</v>
      </c>
      <c r="X20" s="317">
        <f>'Monthly Forecast'!X43</f>
        <v>119472.7298</v>
      </c>
      <c r="Y20" s="317"/>
      <c r="Z20" s="317">
        <f>'Monthly Forecast'!Y43</f>
        <v>80016.07190000001</v>
      </c>
      <c r="AA20" s="317">
        <f>'Monthly Forecast'!Z43</f>
        <v>46074.2716</v>
      </c>
      <c r="AB20" s="317">
        <f>'Monthly Forecast'!AA43</f>
        <v>26223.145799999998</v>
      </c>
      <c r="AC20" s="317">
        <f>'Monthly Forecast'!AB43</f>
        <v>24108.536100000001</v>
      </c>
      <c r="AD20" s="317">
        <f>'Monthly Forecast'!AC43</f>
        <v>24156.099600000001</v>
      </c>
      <c r="AE20" s="317">
        <f>'Monthly Forecast'!AD43</f>
        <v>24526.189399999999</v>
      </c>
      <c r="AF20" s="317">
        <f>'Monthly Forecast'!AE43</f>
        <v>35793.914499999999</v>
      </c>
      <c r="AG20" s="317">
        <f>'Monthly Forecast'!AF43</f>
        <v>82648.873099999997</v>
      </c>
      <c r="AH20" s="317">
        <f>'Monthly Forecast'!AG43</f>
        <v>130630.48140000002</v>
      </c>
      <c r="AI20" s="317">
        <f>'Monthly Forecast'!AH43</f>
        <v>155651.06340000001</v>
      </c>
      <c r="AJ20" s="317">
        <f>'Monthly Forecast'!AI43</f>
        <v>166089.93960000001</v>
      </c>
      <c r="AK20" s="317">
        <f>'Monthly Forecast'!AJ43</f>
        <v>119472.7298</v>
      </c>
      <c r="AL20" s="456">
        <f t="shared" si="12"/>
        <v>915391.3162</v>
      </c>
      <c r="AM20" s="317">
        <f>SUMIFS('Monthly Forecast'!$D$43:$CI$43,'Monthly Forecast'!$D$8:$CI$8,"&gt;="&amp;Dashboard!$A21,'Monthly Forecast'!$D$8:$CI$8,"&lt;="&amp;Dashboard!$B21)</f>
        <v>915391.3162</v>
      </c>
      <c r="AN20" s="317">
        <f>SUMIFS('Monthly Forecast'!$D$43:$CI$43,'Monthly Forecast'!$D$8:$CI$8,"&gt;="&amp;Dashboard!$A22,'Monthly Forecast'!$D$8:$CI$8,"&lt;="&amp;Dashboard!$B22)</f>
        <v>915391.3162</v>
      </c>
      <c r="AO20" s="317">
        <f>SUMIFS('Monthly Forecast'!$D$43:$CI$43,'Monthly Forecast'!$D$8:$CI$8,"&gt;="&amp;Dashboard!$A23,'Monthly Forecast'!$D$8:$CI$8,"&lt;="&amp;Dashboard!$B23)</f>
        <v>915391.3162</v>
      </c>
      <c r="AP20" s="317">
        <f>SUMIFS('Monthly Forecast'!$D$43:$CI$43,'Monthly Forecast'!$D$8:$CI$8,"&gt;="&amp;Dashboard!$A24,'Monthly Forecast'!$D$8:$CI$8,"&lt;="&amp;Dashboard!$B24)</f>
        <v>915391.3162</v>
      </c>
      <c r="AQ20" s="317">
        <f>SUMIFS('Monthly Forecast'!$D$43:$CI$43,'Monthly Forecast'!$D$8:$CI$8,"&gt;="&amp;Dashboard!$A25,'Monthly Forecast'!$D$8:$CI$8,"&lt;="&amp;Dashboard!$B25)</f>
        <v>915391.3162</v>
      </c>
      <c r="AR20" s="317">
        <f>SUMIFS('Monthly Forecast'!$D$43:$CI$43,'Monthly Forecast'!$D$8:$CI$8,"&gt;="&amp;Dashboard!$A26,'Monthly Forecast'!$D$8:$CI$8,"&lt;="&amp;Dashboard!$B26)</f>
        <v>915391.3162</v>
      </c>
    </row>
    <row r="21" spans="1:44" ht="15.75">
      <c r="A21" s="233">
        <v>12</v>
      </c>
      <c r="B21" s="185" t="s">
        <v>18</v>
      </c>
      <c r="C21" s="81">
        <f t="shared" ref="C21:H21" si="13">SUM(C17:C20)</f>
        <v>352701.80690000003</v>
      </c>
      <c r="D21" s="81">
        <f t="shared" si="13"/>
        <v>359015.37359999999</v>
      </c>
      <c r="E21" s="81">
        <f t="shared" si="13"/>
        <v>364150.84139999992</v>
      </c>
      <c r="F21" s="81">
        <f t="shared" si="13"/>
        <v>586203.33889999997</v>
      </c>
      <c r="G21" s="81">
        <f t="shared" si="13"/>
        <v>1542975.9699000001</v>
      </c>
      <c r="H21" s="81">
        <f t="shared" si="13"/>
        <v>2539573.8443</v>
      </c>
      <c r="I21" s="81">
        <f t="shared" ref="I21:K21" si="14">SUM(I17:I20)</f>
        <v>3092209.9341000002</v>
      </c>
      <c r="J21" s="81">
        <f t="shared" si="14"/>
        <v>3316133.6011000001</v>
      </c>
      <c r="K21" s="81">
        <f t="shared" si="14"/>
        <v>2334195.1301000002</v>
      </c>
      <c r="L21" s="81">
        <f t="shared" ref="L21:X21" si="15">SUM(L17:L20)</f>
        <v>1528227.0252</v>
      </c>
      <c r="M21" s="81">
        <f t="shared" si="15"/>
        <v>837138.22710000002</v>
      </c>
      <c r="N21" s="81">
        <f t="shared" si="15"/>
        <v>413070.07699999999</v>
      </c>
      <c r="O21" s="307">
        <f t="shared" si="11"/>
        <v>17265595.169599999</v>
      </c>
      <c r="P21" s="81">
        <f t="shared" si="15"/>
        <v>353122.68215952377</v>
      </c>
      <c r="Q21" s="81">
        <f t="shared" si="15"/>
        <v>359436.00634205114</v>
      </c>
      <c r="R21" s="81">
        <f t="shared" si="15"/>
        <v>364576.94529791025</v>
      </c>
      <c r="S21" s="81">
        <f t="shared" si="15"/>
        <v>586811.81982202153</v>
      </c>
      <c r="T21" s="81">
        <f t="shared" si="15"/>
        <v>1544352.4625552462</v>
      </c>
      <c r="U21" s="81">
        <f t="shared" si="15"/>
        <v>2541730.0526889954</v>
      </c>
      <c r="V21" s="81">
        <f t="shared" si="15"/>
        <v>3094759.7503776369</v>
      </c>
      <c r="W21" s="81">
        <f t="shared" si="15"/>
        <v>3318876.4355895366</v>
      </c>
      <c r="X21" s="81">
        <f t="shared" si="15"/>
        <v>2336168.4331347919</v>
      </c>
      <c r="Y21" s="29"/>
      <c r="Z21" s="81">
        <f t="shared" ref="Z21:AK21" si="16">SUM(Z17:Z20)</f>
        <v>1529557.832961902</v>
      </c>
      <c r="AA21" s="81">
        <f t="shared" si="16"/>
        <v>837911.0552263502</v>
      </c>
      <c r="AB21" s="81">
        <f t="shared" si="16"/>
        <v>413526.5957209898</v>
      </c>
      <c r="AC21" s="81">
        <f t="shared" si="16"/>
        <v>353543.43616031122</v>
      </c>
      <c r="AD21" s="81">
        <f t="shared" si="16"/>
        <v>359856.76034283859</v>
      </c>
      <c r="AE21" s="81">
        <f t="shared" si="16"/>
        <v>365002.87929869769</v>
      </c>
      <c r="AF21" s="81">
        <f t="shared" si="16"/>
        <v>587420.05082280899</v>
      </c>
      <c r="AG21" s="81">
        <f t="shared" si="16"/>
        <v>1545729.1565560338</v>
      </c>
      <c r="AH21" s="81">
        <f t="shared" si="16"/>
        <v>2543885.9814897832</v>
      </c>
      <c r="AI21" s="81">
        <f t="shared" si="16"/>
        <v>3097309.6221784246</v>
      </c>
      <c r="AJ21" s="81">
        <f t="shared" si="16"/>
        <v>3321619.1139903241</v>
      </c>
      <c r="AK21" s="81">
        <f t="shared" si="16"/>
        <v>2338142.3375355792</v>
      </c>
      <c r="AL21" s="307">
        <f t="shared" si="12"/>
        <v>17293504.822284043</v>
      </c>
      <c r="AM21" s="81">
        <f>SUM(AM17:AM20)</f>
        <v>17266862.781499486</v>
      </c>
      <c r="AN21" s="81">
        <f t="shared" ref="AN21:AR21" si="17">SUM(AN17:AN20)</f>
        <v>17282097.513879322</v>
      </c>
      <c r="AO21" s="81">
        <f t="shared" si="17"/>
        <v>17297333.301288769</v>
      </c>
      <c r="AP21" s="81">
        <f t="shared" si="17"/>
        <v>17312572.000198219</v>
      </c>
      <c r="AQ21" s="81">
        <f t="shared" si="17"/>
        <v>17327809.892607667</v>
      </c>
      <c r="AR21" s="81">
        <f t="shared" si="17"/>
        <v>17343043.165417116</v>
      </c>
    </row>
    <row r="22" spans="1:44">
      <c r="A22" s="233">
        <v>13</v>
      </c>
      <c r="O22" s="310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307"/>
    </row>
    <row r="23" spans="1:44">
      <c r="A23" s="233">
        <v>14</v>
      </c>
      <c r="O23" s="310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318">
        <f t="shared" ref="AL23" si="18">AL17/AL11</f>
        <v>61.938036488585212</v>
      </c>
      <c r="AM23" s="162">
        <f>AM17/AM11</f>
        <v>61.938036519930165</v>
      </c>
      <c r="AN23" s="162">
        <f t="shared" ref="AN23:AR23" si="19">AN17/AN11</f>
        <v>61.938036488585233</v>
      </c>
      <c r="AO23" s="162">
        <f t="shared" si="19"/>
        <v>61.938036488585233</v>
      </c>
      <c r="AP23" s="162">
        <f t="shared" si="19"/>
        <v>61.938036488585233</v>
      </c>
      <c r="AQ23" s="162">
        <f t="shared" si="19"/>
        <v>61.938036488585233</v>
      </c>
      <c r="AR23" s="162">
        <f t="shared" si="19"/>
        <v>61.938036488585233</v>
      </c>
    </row>
    <row r="24" spans="1:44">
      <c r="A24" s="233">
        <v>15</v>
      </c>
      <c r="O24" s="310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318">
        <f t="shared" ref="AL24:AM24" si="20">AL18/AL12</f>
        <v>305.09825792955326</v>
      </c>
      <c r="AM24" s="162">
        <f t="shared" si="20"/>
        <v>304.89310353834628</v>
      </c>
      <c r="AN24" s="162">
        <f t="shared" ref="AN24:AR24" si="21">AN18/AN12</f>
        <v>304.89256382771873</v>
      </c>
      <c r="AO24" s="162">
        <f t="shared" si="21"/>
        <v>304.89208403058672</v>
      </c>
      <c r="AP24" s="162">
        <f t="shared" si="21"/>
        <v>304.89176441240937</v>
      </c>
      <c r="AQ24" s="162">
        <f t="shared" si="21"/>
        <v>304.89140298624864</v>
      </c>
      <c r="AR24" s="162">
        <f t="shared" si="21"/>
        <v>304.8907948203796</v>
      </c>
    </row>
    <row r="25" spans="1:44">
      <c r="A25" s="233">
        <v>16</v>
      </c>
      <c r="O25" s="310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318">
        <f t="shared" ref="AL25:AM25" si="22">AL19/AL13</f>
        <v>3813.8569931459378</v>
      </c>
      <c r="AM25" s="162">
        <f t="shared" si="22"/>
        <v>3813.8569931459378</v>
      </c>
      <c r="AN25" s="162">
        <f t="shared" ref="AN25:AR25" si="23">AN19/AN13</f>
        <v>3813.8569931459378</v>
      </c>
      <c r="AO25" s="162">
        <f t="shared" si="23"/>
        <v>3813.8569931459378</v>
      </c>
      <c r="AP25" s="162">
        <f t="shared" si="23"/>
        <v>3813.8569931459378</v>
      </c>
      <c r="AQ25" s="162">
        <f t="shared" si="23"/>
        <v>3813.8569931459378</v>
      </c>
      <c r="AR25" s="162">
        <f t="shared" si="23"/>
        <v>3813.8569931459378</v>
      </c>
    </row>
    <row r="26" spans="1:44">
      <c r="A26" s="233">
        <v>17</v>
      </c>
      <c r="O26" s="310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318">
        <f t="shared" ref="AL26:AM26" si="24">AL20/AL14</f>
        <v>609.65122624042624</v>
      </c>
      <c r="AM26" s="162">
        <f t="shared" si="24"/>
        <v>609.65122624042624</v>
      </c>
      <c r="AN26" s="162">
        <f t="shared" ref="AN26:AR26" si="25">AN20/AN14</f>
        <v>609.65122624042624</v>
      </c>
      <c r="AO26" s="162">
        <f t="shared" si="25"/>
        <v>609.65122624042624</v>
      </c>
      <c r="AP26" s="162">
        <f t="shared" si="25"/>
        <v>609.65122624042624</v>
      </c>
      <c r="AQ26" s="162">
        <f t="shared" si="25"/>
        <v>609.65122624042624</v>
      </c>
      <c r="AR26" s="162">
        <f t="shared" si="25"/>
        <v>609.65122624042624</v>
      </c>
    </row>
    <row r="27" spans="1:44">
      <c r="A27" s="233">
        <v>18</v>
      </c>
      <c r="O27" s="310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318">
        <f t="shared" ref="AL27:AR27" si="26">AL21/AL15</f>
        <v>95.766843766844985</v>
      </c>
      <c r="AM27" s="162">
        <f t="shared" si="26"/>
        <v>95.659037288592856</v>
      </c>
      <c r="AN27" s="162">
        <f t="shared" si="26"/>
        <v>95.716924491554877</v>
      </c>
      <c r="AO27" s="162">
        <f t="shared" si="26"/>
        <v>95.774785484221823</v>
      </c>
      <c r="AP27" s="162">
        <f t="shared" si="26"/>
        <v>95.832630564729143</v>
      </c>
      <c r="AQ27" s="162">
        <f t="shared" si="26"/>
        <v>95.890439171229602</v>
      </c>
      <c r="AR27" s="162">
        <f t="shared" si="26"/>
        <v>95.948190238498498</v>
      </c>
    </row>
    <row r="28" spans="1:44">
      <c r="A28" s="233">
        <v>19</v>
      </c>
      <c r="O28" s="310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307"/>
    </row>
    <row r="29" spans="1:44">
      <c r="A29" s="233">
        <v>20</v>
      </c>
      <c r="B29" s="208" t="s">
        <v>52</v>
      </c>
      <c r="O29" s="310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307"/>
    </row>
    <row r="30" spans="1:44">
      <c r="A30" s="233">
        <v>21</v>
      </c>
      <c r="B30" s="88" t="s">
        <v>69</v>
      </c>
      <c r="O30" s="310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307"/>
    </row>
    <row r="31" spans="1:44">
      <c r="A31" s="233">
        <v>22</v>
      </c>
      <c r="B31" s="26" t="s">
        <v>556</v>
      </c>
      <c r="C31" s="98">
        <f>'Monthly Forecast'!D64+'Monthly Forecast'!D80</f>
        <v>188.34615384615384</v>
      </c>
      <c r="D31" s="98">
        <f>'Monthly Forecast'!E64+'Monthly Forecast'!E80</f>
        <v>188.34615384615384</v>
      </c>
      <c r="E31" s="98">
        <f>'Monthly Forecast'!F64+'Monthly Forecast'!F80</f>
        <v>188.34615384615384</v>
      </c>
      <c r="F31" s="98">
        <f>'Monthly Forecast'!G64+'Monthly Forecast'!G80</f>
        <v>188.34615384615384</v>
      </c>
      <c r="G31" s="98">
        <f>'Monthly Forecast'!H64+'Monthly Forecast'!H80</f>
        <v>188.34615384615384</v>
      </c>
      <c r="H31" s="98">
        <f>'Monthly Forecast'!I64+'Monthly Forecast'!I80</f>
        <v>189.34615384615384</v>
      </c>
      <c r="I31" s="98">
        <f>'Monthly Forecast'!J64+'Monthly Forecast'!J80</f>
        <v>189.34615384615384</v>
      </c>
      <c r="J31" s="98">
        <f>'Monthly Forecast'!K64+'Monthly Forecast'!K80</f>
        <v>189.34615384615384</v>
      </c>
      <c r="K31" s="98">
        <f>'Monthly Forecast'!L64+'Monthly Forecast'!L80</f>
        <v>189.34615384615384</v>
      </c>
      <c r="L31" s="98">
        <f>'Monthly Forecast'!M64+'Monthly Forecast'!M80</f>
        <v>189.34615384615384</v>
      </c>
      <c r="M31" s="98">
        <f>'Monthly Forecast'!N64+'Monthly Forecast'!N80</f>
        <v>189.34615384615384</v>
      </c>
      <c r="N31" s="98">
        <f>'Monthly Forecast'!O64+'Monthly Forecast'!O80</f>
        <v>189.34615384615384</v>
      </c>
      <c r="O31" s="457">
        <f>AVERAGE(C31:N31)</f>
        <v>188.92948717948718</v>
      </c>
      <c r="P31" s="98">
        <f>'Monthly Forecast'!P64+'Monthly Forecast'!P80</f>
        <v>188.34615384615384</v>
      </c>
      <c r="Q31" s="98">
        <f>'Monthly Forecast'!Q64+'Monthly Forecast'!Q80</f>
        <v>188.34615384615384</v>
      </c>
      <c r="R31" s="98">
        <f>'Monthly Forecast'!R64+'Monthly Forecast'!R80</f>
        <v>188.34615384615384</v>
      </c>
      <c r="S31" s="98">
        <f>'Monthly Forecast'!S64+'Monthly Forecast'!S80</f>
        <v>188.34615384615384</v>
      </c>
      <c r="T31" s="98">
        <f>'Monthly Forecast'!T64+'Monthly Forecast'!T80</f>
        <v>188.34615384615384</v>
      </c>
      <c r="U31" s="98">
        <f>'Monthly Forecast'!U64+'Monthly Forecast'!U80</f>
        <v>189.34615384615384</v>
      </c>
      <c r="V31" s="98">
        <f>'Monthly Forecast'!V64+'Monthly Forecast'!V80</f>
        <v>189.34615384615384</v>
      </c>
      <c r="W31" s="98">
        <f>'Monthly Forecast'!W64+'Monthly Forecast'!W80</f>
        <v>189.34615384615384</v>
      </c>
      <c r="X31" s="98">
        <f>'Monthly Forecast'!X64+'Monthly Forecast'!X80</f>
        <v>189.34615384615384</v>
      </c>
      <c r="Z31" s="98">
        <f>'Monthly Forecast'!Y64+'Monthly Forecast'!Y80</f>
        <v>189.34615384615384</v>
      </c>
      <c r="AA31" s="98">
        <f>'Monthly Forecast'!Z64+'Monthly Forecast'!Z80</f>
        <v>189.34615384615384</v>
      </c>
      <c r="AB31" s="98">
        <f>'Monthly Forecast'!AA64+'Monthly Forecast'!AA80</f>
        <v>189.34615384615384</v>
      </c>
      <c r="AC31" s="98">
        <f>'Monthly Forecast'!AB64+'Monthly Forecast'!AB80</f>
        <v>188.34615384615384</v>
      </c>
      <c r="AD31" s="98">
        <f>'Monthly Forecast'!AC64+'Monthly Forecast'!AC80</f>
        <v>188.34615384615384</v>
      </c>
      <c r="AE31" s="98">
        <f>'Monthly Forecast'!AD64+'Monthly Forecast'!AD80</f>
        <v>188.34615384615384</v>
      </c>
      <c r="AF31" s="98">
        <f>'Monthly Forecast'!AE64+'Monthly Forecast'!AE80</f>
        <v>188.34615384615384</v>
      </c>
      <c r="AG31" s="98">
        <f>'Monthly Forecast'!AF64+'Monthly Forecast'!AF80</f>
        <v>188.34615384615384</v>
      </c>
      <c r="AH31" s="98">
        <f>'Monthly Forecast'!AG64+'Monthly Forecast'!AG80</f>
        <v>189.34615384615384</v>
      </c>
      <c r="AI31" s="98">
        <f>'Monthly Forecast'!AH64+'Monthly Forecast'!AH80</f>
        <v>189.34615384615384</v>
      </c>
      <c r="AJ31" s="98">
        <f>'Monthly Forecast'!AI64+'Monthly Forecast'!AI80</f>
        <v>189.34615384615384</v>
      </c>
      <c r="AK31" s="98">
        <f>'Monthly Forecast'!AJ64+'Monthly Forecast'!AJ80</f>
        <v>189.34615384615384</v>
      </c>
      <c r="AL31" s="457">
        <f>AVERAGE(Z31:AK31)</f>
        <v>188.92948717948718</v>
      </c>
      <c r="AM31" s="98">
        <f>AL31</f>
        <v>188.92948717948718</v>
      </c>
      <c r="AN31" s="98">
        <f t="shared" ref="AN31:AR31" si="27">AM31</f>
        <v>188.92948717948718</v>
      </c>
      <c r="AO31" s="98">
        <f t="shared" si="27"/>
        <v>188.92948717948718</v>
      </c>
      <c r="AP31" s="98">
        <f t="shared" si="27"/>
        <v>188.92948717948718</v>
      </c>
      <c r="AQ31" s="98">
        <f t="shared" si="27"/>
        <v>188.92948717948718</v>
      </c>
      <c r="AR31" s="98">
        <f t="shared" si="27"/>
        <v>188.92948717948718</v>
      </c>
    </row>
    <row r="32" spans="1:44">
      <c r="A32" s="233">
        <v>23</v>
      </c>
      <c r="B32" s="26" t="s">
        <v>557</v>
      </c>
      <c r="C32" s="458">
        <f>'Monthly Forecast'!D89</f>
        <v>12.346153846153847</v>
      </c>
      <c r="D32" s="458">
        <f>'Monthly Forecast'!E89</f>
        <v>12.346153846153847</v>
      </c>
      <c r="E32" s="458">
        <f>'Monthly Forecast'!F89</f>
        <v>12.346153846153847</v>
      </c>
      <c r="F32" s="458">
        <f>'Monthly Forecast'!G89</f>
        <v>12.346153846153847</v>
      </c>
      <c r="G32" s="458">
        <f>'Monthly Forecast'!H89</f>
        <v>12.346153846153847</v>
      </c>
      <c r="H32" s="458">
        <f>'Monthly Forecast'!I89</f>
        <v>12.346153846153847</v>
      </c>
      <c r="I32" s="458">
        <f>'Monthly Forecast'!J89</f>
        <v>13.346153846153847</v>
      </c>
      <c r="J32" s="458">
        <f>'Monthly Forecast'!K89</f>
        <v>13.346153846153847</v>
      </c>
      <c r="K32" s="458">
        <f>'Monthly Forecast'!L89</f>
        <v>13.346153846153847</v>
      </c>
      <c r="L32" s="458">
        <f>'Monthly Forecast'!M89</f>
        <v>13.346153846153847</v>
      </c>
      <c r="M32" s="458">
        <f>'Monthly Forecast'!N89</f>
        <v>13.346153846153847</v>
      </c>
      <c r="N32" s="458">
        <f>'Monthly Forecast'!O89</f>
        <v>13.346153846153847</v>
      </c>
      <c r="O32" s="459">
        <f t="shared" ref="O32:O33" si="28">AVERAGE(C32:N32)</f>
        <v>12.846153846153845</v>
      </c>
      <c r="P32" s="458">
        <f>'Monthly Forecast'!P89</f>
        <v>12.346153846153847</v>
      </c>
      <c r="Q32" s="458">
        <f>'Monthly Forecast'!Q89</f>
        <v>12.346153846153847</v>
      </c>
      <c r="R32" s="458">
        <f>'Monthly Forecast'!R89</f>
        <v>12.346153846153847</v>
      </c>
      <c r="S32" s="458">
        <f>'Monthly Forecast'!S89</f>
        <v>12.346153846153847</v>
      </c>
      <c r="T32" s="458">
        <f>'Monthly Forecast'!T89</f>
        <v>12.346153846153847</v>
      </c>
      <c r="U32" s="458">
        <f>'Monthly Forecast'!U89</f>
        <v>12.346153846153847</v>
      </c>
      <c r="V32" s="458">
        <f>'Monthly Forecast'!V89</f>
        <v>13.346153846153847</v>
      </c>
      <c r="W32" s="458">
        <f>'Monthly Forecast'!W89</f>
        <v>13.346153846153847</v>
      </c>
      <c r="X32" s="458">
        <f>'Monthly Forecast'!X89</f>
        <v>13.346153846153847</v>
      </c>
      <c r="Z32" s="458">
        <f>'Monthly Forecast'!Y89</f>
        <v>13.346153846153847</v>
      </c>
      <c r="AA32" s="458">
        <f>'Monthly Forecast'!Z89</f>
        <v>13.346153846153847</v>
      </c>
      <c r="AB32" s="458">
        <f>'Monthly Forecast'!AA89</f>
        <v>13.346153846153847</v>
      </c>
      <c r="AC32" s="458">
        <f>'Monthly Forecast'!AB89</f>
        <v>12.346153846153847</v>
      </c>
      <c r="AD32" s="458">
        <f>'Monthly Forecast'!AC89</f>
        <v>12.346153846153847</v>
      </c>
      <c r="AE32" s="458">
        <f>'Monthly Forecast'!AD89</f>
        <v>12.346153846153847</v>
      </c>
      <c r="AF32" s="458">
        <f>'Monthly Forecast'!AE89</f>
        <v>12.346153846153847</v>
      </c>
      <c r="AG32" s="458">
        <f>'Monthly Forecast'!AF89</f>
        <v>12.346153846153847</v>
      </c>
      <c r="AH32" s="458">
        <f>'Monthly Forecast'!AG89</f>
        <v>12.346153846153847</v>
      </c>
      <c r="AI32" s="458">
        <f>'Monthly Forecast'!AH89</f>
        <v>13.346153846153847</v>
      </c>
      <c r="AJ32" s="458">
        <f>'Monthly Forecast'!AI89</f>
        <v>13.346153846153847</v>
      </c>
      <c r="AK32" s="458">
        <f>'Monthly Forecast'!AJ89</f>
        <v>13.346153846153847</v>
      </c>
      <c r="AL32" s="459">
        <f>AVERAGE(Z32:AK32)</f>
        <v>12.846153846153841</v>
      </c>
      <c r="AM32" s="458">
        <f t="shared" ref="AM32:AR33" si="29">AL32</f>
        <v>12.846153846153841</v>
      </c>
      <c r="AN32" s="458">
        <f t="shared" si="29"/>
        <v>12.846153846153841</v>
      </c>
      <c r="AO32" s="458">
        <f t="shared" si="29"/>
        <v>12.846153846153841</v>
      </c>
      <c r="AP32" s="458">
        <f t="shared" si="29"/>
        <v>12.846153846153841</v>
      </c>
      <c r="AQ32" s="458">
        <f t="shared" si="29"/>
        <v>12.846153846153841</v>
      </c>
      <c r="AR32" s="458">
        <f t="shared" si="29"/>
        <v>12.846153846153841</v>
      </c>
    </row>
    <row r="33" spans="1:44">
      <c r="A33" s="233">
        <v>24</v>
      </c>
      <c r="B33" s="26" t="s">
        <v>18</v>
      </c>
      <c r="C33" s="98">
        <f t="shared" ref="C33:H33" si="30">SUM(C31:C32)</f>
        <v>200.69230769230768</v>
      </c>
      <c r="D33" s="98">
        <f t="shared" si="30"/>
        <v>200.69230769230768</v>
      </c>
      <c r="E33" s="98">
        <f t="shared" si="30"/>
        <v>200.69230769230768</v>
      </c>
      <c r="F33" s="98">
        <f t="shared" si="30"/>
        <v>200.69230769230768</v>
      </c>
      <c r="G33" s="98">
        <f t="shared" si="30"/>
        <v>200.69230769230768</v>
      </c>
      <c r="H33" s="98">
        <f t="shared" si="30"/>
        <v>201.69230769230768</v>
      </c>
      <c r="I33" s="98">
        <f>SUM(I31:I32)</f>
        <v>202.69230769230768</v>
      </c>
      <c r="J33" s="98">
        <f t="shared" ref="J33:V33" si="31">SUM(J31:J32)</f>
        <v>202.69230769230768</v>
      </c>
      <c r="K33" s="98">
        <f t="shared" si="31"/>
        <v>202.69230769230768</v>
      </c>
      <c r="L33" s="98">
        <f t="shared" si="31"/>
        <v>202.69230769230768</v>
      </c>
      <c r="M33" s="98">
        <f t="shared" si="31"/>
        <v>202.69230769230768</v>
      </c>
      <c r="N33" s="98">
        <f t="shared" si="31"/>
        <v>202.69230769230768</v>
      </c>
      <c r="O33" s="307">
        <f t="shared" si="28"/>
        <v>201.77564102564099</v>
      </c>
      <c r="P33" s="98">
        <f t="shared" si="31"/>
        <v>200.69230769230768</v>
      </c>
      <c r="Q33" s="98">
        <f t="shared" si="31"/>
        <v>200.69230769230768</v>
      </c>
      <c r="R33" s="98">
        <f t="shared" si="31"/>
        <v>200.69230769230768</v>
      </c>
      <c r="S33" s="98">
        <f t="shared" si="31"/>
        <v>200.69230769230768</v>
      </c>
      <c r="T33" s="98">
        <f t="shared" si="31"/>
        <v>200.69230769230768</v>
      </c>
      <c r="U33" s="98">
        <f t="shared" si="31"/>
        <v>201.69230769230768</v>
      </c>
      <c r="V33" s="98">
        <f t="shared" si="31"/>
        <v>202.69230769230768</v>
      </c>
      <c r="W33" s="98">
        <f t="shared" ref="W33" si="32">SUM(W31:W32)</f>
        <v>202.69230769230768</v>
      </c>
      <c r="X33" s="98">
        <f t="shared" ref="X33:Z33" si="33">SUM(X31:X32)</f>
        <v>202.69230769230768</v>
      </c>
      <c r="Z33" s="98">
        <f t="shared" si="33"/>
        <v>202.69230769230768</v>
      </c>
      <c r="AA33" s="98">
        <f t="shared" ref="AA33" si="34">SUM(AA31:AA32)</f>
        <v>202.69230769230768</v>
      </c>
      <c r="AB33" s="98">
        <f t="shared" ref="AB33" si="35">SUM(AB31:AB32)</f>
        <v>202.69230769230768</v>
      </c>
      <c r="AC33" s="98">
        <f t="shared" ref="AC33" si="36">SUM(AC31:AC32)</f>
        <v>200.69230769230768</v>
      </c>
      <c r="AD33" s="98">
        <f t="shared" ref="AD33" si="37">SUM(AD31:AD32)</f>
        <v>200.69230769230768</v>
      </c>
      <c r="AE33" s="98">
        <f t="shared" ref="AE33" si="38">SUM(AE31:AE32)</f>
        <v>200.69230769230768</v>
      </c>
      <c r="AF33" s="98">
        <f t="shared" ref="AF33" si="39">SUM(AF31:AF32)</f>
        <v>200.69230769230768</v>
      </c>
      <c r="AG33" s="98">
        <f t="shared" ref="AG33" si="40">SUM(AG31:AG32)</f>
        <v>200.69230769230768</v>
      </c>
      <c r="AH33" s="98">
        <f t="shared" ref="AH33" si="41">SUM(AH31:AH32)</f>
        <v>201.69230769230768</v>
      </c>
      <c r="AI33" s="98">
        <f t="shared" ref="AI33" si="42">SUM(AI31:AI32)</f>
        <v>202.69230769230768</v>
      </c>
      <c r="AJ33" s="98">
        <f t="shared" ref="AJ33" si="43">SUM(AJ31:AJ32)</f>
        <v>202.69230769230768</v>
      </c>
      <c r="AK33" s="98">
        <f t="shared" ref="AK33:AL33" si="44">SUM(AK31:AK32)</f>
        <v>202.69230769230768</v>
      </c>
      <c r="AL33" s="307">
        <f t="shared" si="44"/>
        <v>201.77564102564102</v>
      </c>
      <c r="AM33" s="98">
        <f t="shared" si="29"/>
        <v>201.77564102564102</v>
      </c>
      <c r="AN33" s="98">
        <f t="shared" si="29"/>
        <v>201.77564102564102</v>
      </c>
      <c r="AO33" s="98">
        <f t="shared" si="29"/>
        <v>201.77564102564102</v>
      </c>
      <c r="AP33" s="98">
        <f t="shared" si="29"/>
        <v>201.77564102564102</v>
      </c>
      <c r="AQ33" s="98">
        <f t="shared" si="29"/>
        <v>201.77564102564102</v>
      </c>
      <c r="AR33" s="98">
        <f t="shared" si="29"/>
        <v>201.77564102564102</v>
      </c>
    </row>
    <row r="34" spans="1:44">
      <c r="A34" s="233">
        <v>25</v>
      </c>
      <c r="O34" s="310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310"/>
    </row>
    <row r="35" spans="1:44">
      <c r="A35" s="233">
        <v>26</v>
      </c>
      <c r="B35" s="88" t="s">
        <v>558</v>
      </c>
      <c r="O35" s="310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310"/>
    </row>
    <row r="36" spans="1:44">
      <c r="A36" s="233">
        <v>27</v>
      </c>
      <c r="B36" s="26" t="s">
        <v>556</v>
      </c>
      <c r="C36" s="29">
        <f>'Monthly Forecast'!D71+'Monthly Forecast'!D86+'Monthly Forecast'!D77</f>
        <v>1192500.5457202378</v>
      </c>
      <c r="D36" s="29">
        <f>'Monthly Forecast'!E71+'Monthly Forecast'!E86+'Monthly Forecast'!E77</f>
        <v>1407206.1867202378</v>
      </c>
      <c r="E36" s="29">
        <f>'Monthly Forecast'!F71+'Monthly Forecast'!F86+'Monthly Forecast'!F77</f>
        <v>1489776.6047202384</v>
      </c>
      <c r="F36" s="29">
        <f>'Monthly Forecast'!G71+'Monthly Forecast'!G86+'Monthly Forecast'!G77</f>
        <v>1519788.5507202384</v>
      </c>
      <c r="G36" s="29">
        <f>'Monthly Forecast'!H71+'Monthly Forecast'!H86+'Monthly Forecast'!H77</f>
        <v>1769753.9437202383</v>
      </c>
      <c r="H36" s="29">
        <f>'Monthly Forecast'!I71+'Monthly Forecast'!I86+'Monthly Forecast'!I77</f>
        <v>1514407.7157202382</v>
      </c>
      <c r="I36" s="29">
        <f>'Monthly Forecast'!J71+'Monthly Forecast'!J86+'Monthly Forecast'!J77</f>
        <v>1469776.2947202381</v>
      </c>
      <c r="J36" s="29">
        <f>'Monthly Forecast'!K71+'Monthly Forecast'!K86+'Monthly Forecast'!K77</f>
        <v>1322264.4709166666</v>
      </c>
      <c r="K36" s="29">
        <f>'Monthly Forecast'!L71+'Monthly Forecast'!L86+'Monthly Forecast'!L77</f>
        <v>1275323.0318333334</v>
      </c>
      <c r="L36" s="29">
        <f>'Monthly Forecast'!M71+'Monthly Forecast'!M86+'Monthly Forecast'!M77</f>
        <v>1245430.5826666667</v>
      </c>
      <c r="M36" s="29">
        <f>'Monthly Forecast'!N71+'Monthly Forecast'!N86+'Monthly Forecast'!N77</f>
        <v>1193348.391952381</v>
      </c>
      <c r="N36" s="29">
        <f>'Monthly Forecast'!O71+'Monthly Forecast'!O86+'Monthly Forecast'!O77</f>
        <v>1124977.4562916667</v>
      </c>
      <c r="O36" s="307">
        <f>SUM(C36:N36)</f>
        <v>16524553.77570238</v>
      </c>
      <c r="P36" s="29">
        <f>'Monthly Forecast'!P71+'Monthly Forecast'!P86+'Monthly Forecast'!P77</f>
        <v>1192500.5457202378</v>
      </c>
      <c r="Q36" s="29">
        <f>'Monthly Forecast'!Q71+'Monthly Forecast'!Q86+'Monthly Forecast'!Q77</f>
        <v>1407206.1867202378</v>
      </c>
      <c r="R36" s="29">
        <f>'Monthly Forecast'!R71+'Monthly Forecast'!R86+'Monthly Forecast'!R77</f>
        <v>1489776.6047202384</v>
      </c>
      <c r="S36" s="29">
        <f>'Monthly Forecast'!S71+'Monthly Forecast'!S86+'Monthly Forecast'!S77</f>
        <v>1519788.5507202384</v>
      </c>
      <c r="T36" s="29">
        <f>'Monthly Forecast'!T71+'Monthly Forecast'!T86+'Monthly Forecast'!T77</f>
        <v>1769753.9437202383</v>
      </c>
      <c r="U36" s="29">
        <f>'Monthly Forecast'!U71+'Monthly Forecast'!U86+'Monthly Forecast'!U77</f>
        <v>1514407.7157202382</v>
      </c>
      <c r="V36" s="29">
        <f>'Monthly Forecast'!V71+'Monthly Forecast'!V86+'Monthly Forecast'!V77</f>
        <v>1469776.2947202381</v>
      </c>
      <c r="W36" s="29">
        <f>'Monthly Forecast'!W71+'Monthly Forecast'!W86+'Monthly Forecast'!W77</f>
        <v>1322264.4709166666</v>
      </c>
      <c r="X36" s="29">
        <f>'Monthly Forecast'!X71+'Monthly Forecast'!X86+'Monthly Forecast'!X77</f>
        <v>1275323.0318333334</v>
      </c>
      <c r="Z36" s="29">
        <f>'Monthly Forecast'!Y71+'Monthly Forecast'!Y86+'Monthly Forecast'!Y77</f>
        <v>1245430.5826666667</v>
      </c>
      <c r="AA36" s="29">
        <f>'Monthly Forecast'!Z71+'Monthly Forecast'!Z86+'Monthly Forecast'!Z77</f>
        <v>1193348.391952381</v>
      </c>
      <c r="AB36" s="29">
        <f>'Monthly Forecast'!AA71+'Monthly Forecast'!AA86+'Monthly Forecast'!AA77</f>
        <v>1124977.4562916667</v>
      </c>
      <c r="AC36" s="29">
        <f>'Monthly Forecast'!AB71+'Monthly Forecast'!AB86+'Monthly Forecast'!AB77</f>
        <v>1192500.5457202378</v>
      </c>
      <c r="AD36" s="29">
        <f>'Monthly Forecast'!AC71+'Monthly Forecast'!AC86+'Monthly Forecast'!AC77</f>
        <v>1407206.1867202378</v>
      </c>
      <c r="AE36" s="29">
        <f>'Monthly Forecast'!AD71+'Monthly Forecast'!AD86+'Monthly Forecast'!AD77</f>
        <v>1489776.6047202384</v>
      </c>
      <c r="AF36" s="29">
        <f>'Monthly Forecast'!AE71+'Monthly Forecast'!AE86+'Monthly Forecast'!AE77</f>
        <v>1519788.5507202384</v>
      </c>
      <c r="AG36" s="29">
        <f>'Monthly Forecast'!AF71+'Monthly Forecast'!AF86+'Monthly Forecast'!AF77</f>
        <v>1769753.9437202383</v>
      </c>
      <c r="AH36" s="29">
        <f>'Monthly Forecast'!AG71+'Monthly Forecast'!AG86+'Monthly Forecast'!AG77</f>
        <v>1514407.7157202382</v>
      </c>
      <c r="AI36" s="29">
        <f>'Monthly Forecast'!AH71+'Monthly Forecast'!AH86+'Monthly Forecast'!AH77</f>
        <v>1469776.2947202381</v>
      </c>
      <c r="AJ36" s="29">
        <f>'Monthly Forecast'!AI71+'Monthly Forecast'!AI86+'Monthly Forecast'!AI77</f>
        <v>1322264.4709166666</v>
      </c>
      <c r="AK36" s="29">
        <f>'Monthly Forecast'!AJ71+'Monthly Forecast'!AJ86+'Monthly Forecast'!AJ77</f>
        <v>1275323.0318333334</v>
      </c>
      <c r="AL36" s="307">
        <f>SUM(Z36:AK36)</f>
        <v>16524553.775702382</v>
      </c>
      <c r="AM36" s="81">
        <f>AL36</f>
        <v>16524553.775702382</v>
      </c>
      <c r="AN36" s="81">
        <f t="shared" ref="AN36:AR36" si="45">AM36</f>
        <v>16524553.775702382</v>
      </c>
      <c r="AO36" s="81">
        <f t="shared" si="45"/>
        <v>16524553.775702382</v>
      </c>
      <c r="AP36" s="81">
        <f t="shared" si="45"/>
        <v>16524553.775702382</v>
      </c>
      <c r="AQ36" s="81">
        <f t="shared" si="45"/>
        <v>16524553.775702382</v>
      </c>
      <c r="AR36" s="81">
        <f t="shared" si="45"/>
        <v>16524553.775702382</v>
      </c>
    </row>
    <row r="37" spans="1:44">
      <c r="A37" s="233">
        <v>28</v>
      </c>
      <c r="B37" s="26" t="s">
        <v>557</v>
      </c>
      <c r="C37" s="317">
        <f>'Monthly Forecast'!D95</f>
        <v>1095711.6499999999</v>
      </c>
      <c r="D37" s="317">
        <f>'Monthly Forecast'!E95</f>
        <v>1171325.5090000001</v>
      </c>
      <c r="E37" s="317">
        <f>'Monthly Forecast'!F95</f>
        <v>1223327.2750000001</v>
      </c>
      <c r="F37" s="317">
        <f>'Monthly Forecast'!G95</f>
        <v>1296950.4989999998</v>
      </c>
      <c r="G37" s="317">
        <f>'Monthly Forecast'!H95</f>
        <v>1535323.86</v>
      </c>
      <c r="H37" s="317">
        <f>'Monthly Forecast'!I95</f>
        <v>1391759.6110000003</v>
      </c>
      <c r="I37" s="317">
        <f>'Monthly Forecast'!J95</f>
        <v>1467400.6270000001</v>
      </c>
      <c r="J37" s="317">
        <f>'Monthly Forecast'!K95</f>
        <v>1320463.8700000003</v>
      </c>
      <c r="K37" s="317">
        <f>'Monthly Forecast'!L95</f>
        <v>1275922.6930000002</v>
      </c>
      <c r="L37" s="317">
        <f>'Monthly Forecast'!M95</f>
        <v>1174024.8120000002</v>
      </c>
      <c r="M37" s="317">
        <f>'Monthly Forecast'!N95</f>
        <v>1325397.4870000002</v>
      </c>
      <c r="N37" s="317">
        <f>'Monthly Forecast'!O95</f>
        <v>1227574.175</v>
      </c>
      <c r="O37" s="456">
        <f t="shared" ref="O37:O38" si="46">SUM(C37:N37)</f>
        <v>15505182.068000004</v>
      </c>
      <c r="P37" s="317">
        <f>'Monthly Forecast'!P95</f>
        <v>1095711.6499999999</v>
      </c>
      <c r="Q37" s="317">
        <f>'Monthly Forecast'!Q95</f>
        <v>1171325.5090000001</v>
      </c>
      <c r="R37" s="317">
        <f>'Monthly Forecast'!R95</f>
        <v>1223327.2750000001</v>
      </c>
      <c r="S37" s="317">
        <f>'Monthly Forecast'!S95</f>
        <v>1296950.4989999998</v>
      </c>
      <c r="T37" s="317">
        <f>'Monthly Forecast'!T95</f>
        <v>1535323.86</v>
      </c>
      <c r="U37" s="317">
        <f>'Monthly Forecast'!U95</f>
        <v>1391759.6110000003</v>
      </c>
      <c r="V37" s="317">
        <f>'Monthly Forecast'!V95</f>
        <v>1467400.6270000001</v>
      </c>
      <c r="W37" s="317">
        <f>'Monthly Forecast'!W95</f>
        <v>1320463.8700000003</v>
      </c>
      <c r="X37" s="317">
        <f>'Monthly Forecast'!X95</f>
        <v>1275922.6930000002</v>
      </c>
      <c r="Z37" s="317">
        <f>'Monthly Forecast'!Y95</f>
        <v>1174024.8120000002</v>
      </c>
      <c r="AA37" s="317">
        <f>'Monthly Forecast'!Z95</f>
        <v>1325397.4870000002</v>
      </c>
      <c r="AB37" s="317">
        <f>'Monthly Forecast'!AA95</f>
        <v>1227574.175</v>
      </c>
      <c r="AC37" s="317">
        <f>'Monthly Forecast'!AB95</f>
        <v>1095711.6499999999</v>
      </c>
      <c r="AD37" s="317">
        <f>'Monthly Forecast'!AC95</f>
        <v>1171325.5090000001</v>
      </c>
      <c r="AE37" s="317">
        <f>'Monthly Forecast'!AD95</f>
        <v>1223327.2750000001</v>
      </c>
      <c r="AF37" s="317">
        <f>'Monthly Forecast'!AE95</f>
        <v>1296950.4989999998</v>
      </c>
      <c r="AG37" s="317">
        <f>'Monthly Forecast'!AF95</f>
        <v>1535323.86</v>
      </c>
      <c r="AH37" s="317">
        <f>'Monthly Forecast'!AG95</f>
        <v>1391759.6110000003</v>
      </c>
      <c r="AI37" s="317">
        <f>'Monthly Forecast'!AH95</f>
        <v>1467400.6270000001</v>
      </c>
      <c r="AJ37" s="317">
        <f>'Monthly Forecast'!AI95</f>
        <v>1320463.8700000003</v>
      </c>
      <c r="AK37" s="317">
        <f>'Monthly Forecast'!AJ95</f>
        <v>1275922.6930000002</v>
      </c>
      <c r="AL37" s="456">
        <f>SUM(Z37:AK37)</f>
        <v>15505182.068</v>
      </c>
      <c r="AM37" s="460">
        <f t="shared" ref="AM37:AR38" si="47">AL37</f>
        <v>15505182.068</v>
      </c>
      <c r="AN37" s="460">
        <f t="shared" si="47"/>
        <v>15505182.068</v>
      </c>
      <c r="AO37" s="460">
        <f t="shared" si="47"/>
        <v>15505182.068</v>
      </c>
      <c r="AP37" s="460">
        <f t="shared" si="47"/>
        <v>15505182.068</v>
      </c>
      <c r="AQ37" s="460">
        <f t="shared" si="47"/>
        <v>15505182.068</v>
      </c>
      <c r="AR37" s="460">
        <f t="shared" si="47"/>
        <v>15505182.068</v>
      </c>
    </row>
    <row r="38" spans="1:44">
      <c r="A38" s="233">
        <v>29</v>
      </c>
      <c r="B38" s="26" t="s">
        <v>18</v>
      </c>
      <c r="C38" s="29">
        <f t="shared" ref="C38:H38" si="48">SUM(C36:C37)</f>
        <v>2288212.1957202377</v>
      </c>
      <c r="D38" s="29">
        <f t="shared" si="48"/>
        <v>2578531.6957202377</v>
      </c>
      <c r="E38" s="29">
        <f t="shared" si="48"/>
        <v>2713103.8797202385</v>
      </c>
      <c r="F38" s="29">
        <f t="shared" si="48"/>
        <v>2816739.049720238</v>
      </c>
      <c r="G38" s="29">
        <f t="shared" si="48"/>
        <v>3305077.8037202386</v>
      </c>
      <c r="H38" s="29">
        <f t="shared" si="48"/>
        <v>2906167.3267202387</v>
      </c>
      <c r="I38" s="29">
        <f>SUM(I36:I37)</f>
        <v>2937176.9217202384</v>
      </c>
      <c r="J38" s="29">
        <f t="shared" ref="J38:V38" si="49">SUM(J36:J37)</f>
        <v>2642728.3409166671</v>
      </c>
      <c r="K38" s="29">
        <f t="shared" si="49"/>
        <v>2551245.7248333339</v>
      </c>
      <c r="L38" s="29">
        <f t="shared" si="49"/>
        <v>2419455.3946666671</v>
      </c>
      <c r="M38" s="29">
        <f t="shared" si="49"/>
        <v>2518745.8789523812</v>
      </c>
      <c r="N38" s="29">
        <f t="shared" si="49"/>
        <v>2352551.631291667</v>
      </c>
      <c r="O38" s="452">
        <f t="shared" si="46"/>
        <v>32029735.843702383</v>
      </c>
      <c r="P38" s="29">
        <f t="shared" si="49"/>
        <v>2288212.1957202377</v>
      </c>
      <c r="Q38" s="29">
        <f t="shared" si="49"/>
        <v>2578531.6957202377</v>
      </c>
      <c r="R38" s="29">
        <f t="shared" si="49"/>
        <v>2713103.8797202385</v>
      </c>
      <c r="S38" s="29">
        <f t="shared" si="49"/>
        <v>2816739.049720238</v>
      </c>
      <c r="T38" s="29">
        <f t="shared" si="49"/>
        <v>3305077.8037202386</v>
      </c>
      <c r="U38" s="29">
        <f t="shared" si="49"/>
        <v>2906167.3267202387</v>
      </c>
      <c r="V38" s="29">
        <f t="shared" si="49"/>
        <v>2937176.9217202384</v>
      </c>
      <c r="W38" s="29">
        <f t="shared" ref="W38" si="50">SUM(W36:W37)</f>
        <v>2642728.3409166671</v>
      </c>
      <c r="X38" s="29">
        <f t="shared" ref="X38:Z38" si="51">SUM(X36:X37)</f>
        <v>2551245.7248333339</v>
      </c>
      <c r="Z38" s="29">
        <f t="shared" si="51"/>
        <v>2419455.3946666671</v>
      </c>
      <c r="AA38" s="29">
        <f t="shared" ref="AA38" si="52">SUM(AA36:AA37)</f>
        <v>2518745.8789523812</v>
      </c>
      <c r="AB38" s="29">
        <f t="shared" ref="AB38" si="53">SUM(AB36:AB37)</f>
        <v>2352551.631291667</v>
      </c>
      <c r="AC38" s="29">
        <f t="shared" ref="AC38" si="54">SUM(AC36:AC37)</f>
        <v>2288212.1957202377</v>
      </c>
      <c r="AD38" s="29">
        <f t="shared" ref="AD38" si="55">SUM(AD36:AD37)</f>
        <v>2578531.6957202377</v>
      </c>
      <c r="AE38" s="29">
        <f t="shared" ref="AE38" si="56">SUM(AE36:AE37)</f>
        <v>2713103.8797202385</v>
      </c>
      <c r="AF38" s="29">
        <f t="shared" ref="AF38" si="57">SUM(AF36:AF37)</f>
        <v>2816739.049720238</v>
      </c>
      <c r="AG38" s="29">
        <f t="shared" ref="AG38" si="58">SUM(AG36:AG37)</f>
        <v>3305077.8037202386</v>
      </c>
      <c r="AH38" s="29">
        <f t="shared" ref="AH38" si="59">SUM(AH36:AH37)</f>
        <v>2906167.3267202387</v>
      </c>
      <c r="AI38" s="29">
        <f t="shared" ref="AI38" si="60">SUM(AI36:AI37)</f>
        <v>2937176.9217202384</v>
      </c>
      <c r="AJ38" s="29">
        <f t="shared" ref="AJ38" si="61">SUM(AJ36:AJ37)</f>
        <v>2642728.3409166671</v>
      </c>
      <c r="AK38" s="29">
        <f t="shared" ref="AK38:AL38" si="62">SUM(AK36:AK37)</f>
        <v>2551245.7248333339</v>
      </c>
      <c r="AL38" s="452">
        <f t="shared" si="62"/>
        <v>32029735.843702383</v>
      </c>
      <c r="AM38" s="81">
        <f t="shared" si="47"/>
        <v>32029735.843702383</v>
      </c>
      <c r="AN38" s="81">
        <f t="shared" si="47"/>
        <v>32029735.843702383</v>
      </c>
      <c r="AO38" s="81">
        <f t="shared" si="47"/>
        <v>32029735.843702383</v>
      </c>
      <c r="AP38" s="81">
        <f t="shared" si="47"/>
        <v>32029735.843702383</v>
      </c>
      <c r="AQ38" s="81">
        <f t="shared" si="47"/>
        <v>32029735.843702383</v>
      </c>
      <c r="AR38" s="81">
        <f t="shared" si="47"/>
        <v>32029735.843702383</v>
      </c>
    </row>
    <row r="39" spans="1:44">
      <c r="A39" s="233">
        <v>30</v>
      </c>
    </row>
    <row r="40" spans="1:44">
      <c r="A40" s="233">
        <v>31</v>
      </c>
      <c r="AH40" s="665" t="s">
        <v>662</v>
      </c>
      <c r="AI40" s="665"/>
      <c r="AJ40" s="665"/>
      <c r="AK40" s="665"/>
      <c r="AL40" s="26" t="s">
        <v>556</v>
      </c>
      <c r="AM40" s="81">
        <f>AM36/AM31</f>
        <v>87464.132901624253</v>
      </c>
      <c r="AN40" s="81">
        <f t="shared" ref="AN40:AR40" si="63">AN36/AN31</f>
        <v>87464.132901624253</v>
      </c>
      <c r="AO40" s="81">
        <f t="shared" si="63"/>
        <v>87464.132901624253</v>
      </c>
      <c r="AP40" s="81">
        <f t="shared" si="63"/>
        <v>87464.132901624253</v>
      </c>
      <c r="AQ40" s="81">
        <f t="shared" si="63"/>
        <v>87464.132901624253</v>
      </c>
      <c r="AR40" s="81">
        <f t="shared" si="63"/>
        <v>87464.132901624253</v>
      </c>
    </row>
    <row r="41" spans="1:44">
      <c r="A41" s="233">
        <v>32</v>
      </c>
      <c r="AL41" s="26" t="s">
        <v>557</v>
      </c>
      <c r="AM41" s="81">
        <f t="shared" ref="AM41:AR42" si="64">AM37/AM32</f>
        <v>1206990.2208622759</v>
      </c>
      <c r="AN41" s="81">
        <f t="shared" si="64"/>
        <v>1206990.2208622759</v>
      </c>
      <c r="AO41" s="81">
        <f t="shared" si="64"/>
        <v>1206990.2208622759</v>
      </c>
      <c r="AP41" s="81">
        <f t="shared" si="64"/>
        <v>1206990.2208622759</v>
      </c>
      <c r="AQ41" s="81">
        <f t="shared" si="64"/>
        <v>1206990.2208622759</v>
      </c>
      <c r="AR41" s="81">
        <f t="shared" si="64"/>
        <v>1206990.2208622759</v>
      </c>
    </row>
    <row r="42" spans="1:44">
      <c r="A42" s="233">
        <v>33</v>
      </c>
      <c r="AL42" s="26" t="s">
        <v>18</v>
      </c>
      <c r="AM42" s="81">
        <f t="shared" si="64"/>
        <v>158739.35863066913</v>
      </c>
      <c r="AN42" s="81">
        <f t="shared" si="64"/>
        <v>158739.35863066913</v>
      </c>
      <c r="AO42" s="81">
        <f t="shared" si="64"/>
        <v>158739.35863066913</v>
      </c>
      <c r="AP42" s="81">
        <f t="shared" si="64"/>
        <v>158739.35863066913</v>
      </c>
      <c r="AQ42" s="81">
        <f t="shared" si="64"/>
        <v>158739.35863066913</v>
      </c>
      <c r="AR42" s="81">
        <f t="shared" si="64"/>
        <v>158739.35863066913</v>
      </c>
    </row>
  </sheetData>
  <mergeCells count="4">
    <mergeCell ref="AM6:AR6"/>
    <mergeCell ref="Z6:AK6"/>
    <mergeCell ref="C6:N6"/>
    <mergeCell ref="AH40:AK40"/>
  </mergeCells>
  <phoneticPr fontId="5" type="noConversion"/>
  <pageMargins left="0.25" right="0.25" top="0.75" bottom="0.75" header="0.3" footer="0.3"/>
  <pageSetup scale="75" fitToWidth="4" fitToHeight="0" orientation="landscape" r:id="rId1"/>
  <headerFooter alignWithMargins="0">
    <oddFooter>&amp;C&amp;A&amp;RPage &amp;P</oddFooter>
  </headerFooter>
  <colBreaks count="3" manualBreakCount="3">
    <brk id="15" max="1048575" man="1"/>
    <brk id="25" max="1048575" man="1"/>
    <brk id="38" max="1048575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transitionEntry="1" codeName="Sheet23"/>
  <dimension ref="A1:AE90"/>
  <sheetViews>
    <sheetView zoomScaleNormal="100" workbookViewId="0">
      <selection activeCell="D50" sqref="D50"/>
    </sheetView>
  </sheetViews>
  <sheetFormatPr defaultColWidth="12.5703125" defaultRowHeight="12.75"/>
  <cols>
    <col min="1" max="1" width="5.5703125" style="2" bestFit="1" customWidth="1"/>
    <col min="2" max="2" width="29.5703125" style="2" customWidth="1"/>
    <col min="3" max="3" width="13.5703125" style="2" customWidth="1"/>
    <col min="4" max="4" width="10.42578125" style="2" bestFit="1" customWidth="1"/>
    <col min="5" max="6" width="10" style="2" bestFit="1" customWidth="1"/>
    <col min="7" max="7" width="10.42578125" style="2" bestFit="1" customWidth="1"/>
    <col min="8" max="10" width="10.42578125" style="2" customWidth="1"/>
    <col min="11" max="11" width="10" style="2" bestFit="1" customWidth="1"/>
    <col min="12" max="12" width="10.42578125" style="2" bestFit="1" customWidth="1"/>
    <col min="13" max="13" width="11" style="2" bestFit="1" customWidth="1"/>
    <col min="14" max="14" width="10" style="2" bestFit="1" customWidth="1"/>
    <col min="15" max="15" width="11.140625" style="2" bestFit="1" customWidth="1"/>
    <col min="16" max="16" width="13.42578125" style="2" customWidth="1"/>
    <col min="17" max="17" width="8.5703125" style="2" customWidth="1"/>
    <col min="18" max="18" width="14.85546875" style="2" bestFit="1" customWidth="1"/>
    <col min="19" max="19" width="5.5703125" style="2" customWidth="1"/>
    <col min="20" max="20" width="15.140625" style="2" customWidth="1"/>
    <col min="21" max="21" width="16.42578125" style="2" customWidth="1"/>
    <col min="22" max="22" width="13.85546875" style="2" customWidth="1"/>
    <col min="23" max="23" width="16.5703125" style="2" customWidth="1"/>
    <col min="24" max="24" width="11.5703125" style="2" bestFit="1" customWidth="1"/>
    <col min="25" max="25" width="17.5703125" style="2" customWidth="1"/>
    <col min="26" max="16384" width="12.5703125" style="2"/>
  </cols>
  <sheetData>
    <row r="1" spans="1:31">
      <c r="O1" s="6"/>
      <c r="P1" s="6"/>
    </row>
    <row r="2" spans="1:31">
      <c r="O2" s="6"/>
      <c r="P2" s="6"/>
    </row>
    <row r="3" spans="1:31">
      <c r="O3" s="6"/>
      <c r="P3" s="6"/>
      <c r="R3" s="461" t="str">
        <f>CONCATENATE("EXHIBIT ",Dashboard!D16,"-1")</f>
        <v>EXHIBIT TLT-1</v>
      </c>
      <c r="T3" s="3"/>
    </row>
    <row r="4" spans="1:31">
      <c r="A4" s="666" t="s">
        <v>677</v>
      </c>
      <c r="B4" s="666"/>
      <c r="C4" s="666"/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  <c r="P4" s="666"/>
      <c r="Q4" s="666"/>
      <c r="R4" s="666"/>
    </row>
    <row r="5" spans="1:31">
      <c r="A5" s="666" t="s">
        <v>187</v>
      </c>
      <c r="B5" s="666"/>
      <c r="C5" s="666"/>
      <c r="D5" s="666"/>
      <c r="E5" s="666"/>
      <c r="F5" s="666"/>
      <c r="G5" s="666"/>
      <c r="H5" s="666"/>
      <c r="I5" s="666"/>
      <c r="J5" s="666"/>
      <c r="K5" s="666"/>
      <c r="L5" s="666"/>
      <c r="M5" s="666"/>
      <c r="N5" s="666"/>
      <c r="O5" s="666"/>
      <c r="P5" s="666"/>
      <c r="Q5" s="666"/>
      <c r="R5" s="666"/>
      <c r="W5" s="3"/>
    </row>
    <row r="6" spans="1:31">
      <c r="A6" s="666" t="str">
        <f>'Contract &amp; Vol Adj'!I6</f>
        <v>REFERENCE PERIOD - TWELVE MONTHS ENDING 06/30/2024</v>
      </c>
      <c r="B6" s="666"/>
      <c r="C6" s="666"/>
      <c r="D6" s="666"/>
      <c r="E6" s="666"/>
      <c r="F6" s="666"/>
      <c r="G6" s="666"/>
      <c r="H6" s="666"/>
      <c r="I6" s="666"/>
      <c r="J6" s="666"/>
      <c r="K6" s="666"/>
      <c r="L6" s="666"/>
      <c r="M6" s="666"/>
      <c r="N6" s="666"/>
      <c r="O6" s="666"/>
      <c r="P6" s="666"/>
      <c r="Q6" s="666"/>
      <c r="R6" s="666"/>
      <c r="W6" s="6"/>
      <c r="Y6" s="6"/>
    </row>
    <row r="8" spans="1:31">
      <c r="A8" s="7" t="s">
        <v>11</v>
      </c>
      <c r="O8" s="4" t="s">
        <v>17</v>
      </c>
      <c r="R8" s="4" t="s">
        <v>18</v>
      </c>
      <c r="S8" s="4"/>
      <c r="U8" s="4"/>
      <c r="V8" s="4"/>
      <c r="W8" s="4"/>
      <c r="X8" s="4"/>
      <c r="Y8" s="4"/>
    </row>
    <row r="9" spans="1:31">
      <c r="A9" s="8" t="s">
        <v>16</v>
      </c>
      <c r="B9" s="9" t="s">
        <v>26</v>
      </c>
      <c r="C9" s="35">
        <f>WNA!C10</f>
        <v>45108</v>
      </c>
      <c r="D9" s="35">
        <f>WNA!D10</f>
        <v>45169</v>
      </c>
      <c r="E9" s="35">
        <f>WNA!E10</f>
        <v>45199</v>
      </c>
      <c r="F9" s="35">
        <f>WNA!F10</f>
        <v>45230</v>
      </c>
      <c r="G9" s="35">
        <f>WNA!G10</f>
        <v>45260</v>
      </c>
      <c r="H9" s="35">
        <f>WNA!H10</f>
        <v>45291</v>
      </c>
      <c r="I9" s="35">
        <f>WNA!I10</f>
        <v>45322</v>
      </c>
      <c r="J9" s="35">
        <f>WNA!J10</f>
        <v>45351</v>
      </c>
      <c r="K9" s="35">
        <f>WNA!K10</f>
        <v>45382</v>
      </c>
      <c r="L9" s="35">
        <f>WNA!L10</f>
        <v>45412</v>
      </c>
      <c r="M9" s="35">
        <f>WNA!M10</f>
        <v>45443</v>
      </c>
      <c r="N9" s="35">
        <f>WNA!N10</f>
        <v>45473</v>
      </c>
      <c r="O9" s="10" t="s">
        <v>19</v>
      </c>
      <c r="P9" s="10" t="s">
        <v>20</v>
      </c>
      <c r="Q9" s="10" t="s">
        <v>5</v>
      </c>
      <c r="R9" s="10" t="s">
        <v>21</v>
      </c>
      <c r="S9" s="4"/>
      <c r="T9" s="462">
        <f t="shared" ref="T9:AE9" si="0">C9</f>
        <v>45108</v>
      </c>
      <c r="U9" s="462">
        <f t="shared" si="0"/>
        <v>45169</v>
      </c>
      <c r="V9" s="462">
        <f t="shared" si="0"/>
        <v>45199</v>
      </c>
      <c r="W9" s="462">
        <f t="shared" si="0"/>
        <v>45230</v>
      </c>
      <c r="X9" s="462">
        <f t="shared" si="0"/>
        <v>45260</v>
      </c>
      <c r="Y9" s="462">
        <f t="shared" si="0"/>
        <v>45291</v>
      </c>
      <c r="Z9" s="462">
        <f t="shared" si="0"/>
        <v>45322</v>
      </c>
      <c r="AA9" s="462">
        <f t="shared" si="0"/>
        <v>45351</v>
      </c>
      <c r="AB9" s="462">
        <f t="shared" si="0"/>
        <v>45382</v>
      </c>
      <c r="AC9" s="462">
        <f t="shared" si="0"/>
        <v>45412</v>
      </c>
      <c r="AD9" s="462">
        <f t="shared" si="0"/>
        <v>45443</v>
      </c>
      <c r="AE9" s="462">
        <f t="shared" si="0"/>
        <v>45473</v>
      </c>
    </row>
    <row r="10" spans="1:31">
      <c r="B10" s="4"/>
      <c r="C10" s="4" t="s">
        <v>12</v>
      </c>
      <c r="D10" s="42" t="s">
        <v>13</v>
      </c>
      <c r="E10" s="42" t="s">
        <v>14</v>
      </c>
      <c r="F10" s="4" t="s">
        <v>15</v>
      </c>
      <c r="G10" s="48" t="s">
        <v>80</v>
      </c>
      <c r="H10" s="49" t="s">
        <v>81</v>
      </c>
      <c r="I10" s="49" t="s">
        <v>82</v>
      </c>
      <c r="J10" s="49" t="s">
        <v>83</v>
      </c>
      <c r="K10" s="49" t="s">
        <v>84</v>
      </c>
      <c r="L10" s="49" t="s">
        <v>85</v>
      </c>
      <c r="M10" s="49" t="s">
        <v>86</v>
      </c>
      <c r="N10" s="49" t="s">
        <v>87</v>
      </c>
      <c r="O10" s="49" t="s">
        <v>88</v>
      </c>
      <c r="P10" s="49" t="s">
        <v>204</v>
      </c>
      <c r="Q10" s="49" t="s">
        <v>205</v>
      </c>
      <c r="R10" s="49" t="s">
        <v>206</v>
      </c>
      <c r="S10" s="42"/>
      <c r="V10" s="4"/>
      <c r="Y10" s="4"/>
    </row>
    <row r="11" spans="1:31">
      <c r="C11" s="96"/>
      <c r="S11" s="4"/>
      <c r="U11" s="4"/>
      <c r="V11" s="4"/>
      <c r="W11" s="4"/>
      <c r="X11" s="4"/>
      <c r="Y11" s="4"/>
    </row>
    <row r="12" spans="1:31">
      <c r="A12" s="4">
        <v>1</v>
      </c>
      <c r="B12" s="23" t="s">
        <v>29</v>
      </c>
      <c r="C12" s="9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4"/>
      <c r="P12" s="4"/>
      <c r="Q12" s="4"/>
      <c r="R12" s="4"/>
      <c r="W12" s="4"/>
      <c r="X12" s="4"/>
      <c r="Y12" s="4"/>
    </row>
    <row r="13" spans="1:31">
      <c r="A13" s="4">
        <v>2</v>
      </c>
      <c r="B13" s="2" t="s">
        <v>22</v>
      </c>
      <c r="C13" s="36">
        <v>158859</v>
      </c>
      <c r="D13" s="36">
        <v>158643</v>
      </c>
      <c r="E13" s="36">
        <v>157525</v>
      </c>
      <c r="F13" s="36">
        <v>158693</v>
      </c>
      <c r="G13" s="36">
        <v>160008</v>
      </c>
      <c r="H13" s="36">
        <v>161112</v>
      </c>
      <c r="I13" s="36">
        <v>162059</v>
      </c>
      <c r="J13" s="36">
        <v>162229</v>
      </c>
      <c r="K13" s="36">
        <v>162136</v>
      </c>
      <c r="L13" s="36">
        <v>162288</v>
      </c>
      <c r="M13" s="36">
        <v>161528</v>
      </c>
      <c r="N13" s="36">
        <v>160443</v>
      </c>
      <c r="O13" s="6">
        <f>SUM(C13:N13)</f>
        <v>1925523</v>
      </c>
      <c r="P13" s="6"/>
      <c r="Q13" s="11">
        <f>'Rate Design'!G12</f>
        <v>19.3</v>
      </c>
      <c r="R13" s="3">
        <f>O13*Q13</f>
        <v>37162593.899999999</v>
      </c>
    </row>
    <row r="14" spans="1:31">
      <c r="A14" s="4">
        <v>3</v>
      </c>
      <c r="B14" s="2" t="s">
        <v>23</v>
      </c>
      <c r="C14" s="36">
        <v>164018.1759</v>
      </c>
      <c r="D14" s="36">
        <v>143655.10499999998</v>
      </c>
      <c r="E14" s="36">
        <v>162593.32060000001</v>
      </c>
      <c r="F14" s="36">
        <v>210110.15230000002</v>
      </c>
      <c r="G14" s="36">
        <v>597469.31759999995</v>
      </c>
      <c r="H14" s="36">
        <v>1216075.2079999999</v>
      </c>
      <c r="I14" s="36">
        <v>1994247.4428000001</v>
      </c>
      <c r="J14" s="36">
        <v>1802824.0316000001</v>
      </c>
      <c r="K14" s="36">
        <v>1055528.4583999999</v>
      </c>
      <c r="L14" s="36">
        <v>767066.57369999995</v>
      </c>
      <c r="M14" s="36">
        <v>312100.08959999995</v>
      </c>
      <c r="N14" s="36">
        <v>185751.02910000001</v>
      </c>
      <c r="O14" s="6"/>
      <c r="P14" s="6">
        <f>SUM(C14:N14)</f>
        <v>8611438.9046</v>
      </c>
      <c r="Q14" s="13">
        <f>'Rate Design'!G23</f>
        <v>1.5483</v>
      </c>
      <c r="R14" s="6">
        <f>P14*Q14</f>
        <v>13333090.855992179</v>
      </c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pans="1:31">
      <c r="A15" s="4">
        <v>4</v>
      </c>
      <c r="B15" s="2" t="s">
        <v>24</v>
      </c>
      <c r="C15" s="36">
        <v>0</v>
      </c>
      <c r="D15" s="36">
        <v>0</v>
      </c>
      <c r="E15" s="36">
        <v>0</v>
      </c>
      <c r="F15" s="36">
        <v>308.75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P15" s="6">
        <f>SUM(C15:N15)</f>
        <v>308.75</v>
      </c>
      <c r="Q15" s="13">
        <f>'Rate Design'!G24</f>
        <v>1.0762</v>
      </c>
      <c r="R15" s="6">
        <f>P15*Q15</f>
        <v>332.27674999999999</v>
      </c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pans="1:31">
      <c r="A16" s="4">
        <v>5</v>
      </c>
      <c r="B16" s="2" t="s">
        <v>55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/>
      <c r="P16" s="6">
        <f>SUM(C16:N16)</f>
        <v>0</v>
      </c>
      <c r="Q16" s="13">
        <f>'Rate Design'!G25</f>
        <v>0.88880000000000003</v>
      </c>
      <c r="R16" s="6">
        <f>P16*Q16</f>
        <v>0</v>
      </c>
      <c r="S16" s="28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pans="1:31">
      <c r="A17" s="4">
        <v>6</v>
      </c>
      <c r="B17" s="75" t="s">
        <v>53</v>
      </c>
      <c r="C17" s="463">
        <f>SUM(C14:C16)</f>
        <v>164018.1759</v>
      </c>
      <c r="D17" s="463">
        <f t="shared" ref="D17:N17" si="1">SUM(D14:D16)</f>
        <v>143655.10499999998</v>
      </c>
      <c r="E17" s="463">
        <f t="shared" si="1"/>
        <v>162593.32060000001</v>
      </c>
      <c r="F17" s="463">
        <f t="shared" si="1"/>
        <v>210418.90230000002</v>
      </c>
      <c r="G17" s="463">
        <f t="shared" si="1"/>
        <v>597469.31759999995</v>
      </c>
      <c r="H17" s="463">
        <f t="shared" si="1"/>
        <v>1216075.2079999999</v>
      </c>
      <c r="I17" s="463">
        <f t="shared" si="1"/>
        <v>1994247.4428000001</v>
      </c>
      <c r="J17" s="463">
        <f t="shared" si="1"/>
        <v>1802824.0316000001</v>
      </c>
      <c r="K17" s="463">
        <f t="shared" si="1"/>
        <v>1055528.4583999999</v>
      </c>
      <c r="L17" s="463">
        <f t="shared" si="1"/>
        <v>767066.57369999995</v>
      </c>
      <c r="M17" s="463">
        <f t="shared" si="1"/>
        <v>312100.08959999995</v>
      </c>
      <c r="N17" s="463">
        <f t="shared" si="1"/>
        <v>185751.02910000001</v>
      </c>
      <c r="O17" s="464">
        <f>O13</f>
        <v>1925523</v>
      </c>
      <c r="P17" s="464">
        <f>SUM(P14:P16)</f>
        <v>8611747.6546</v>
      </c>
      <c r="Q17" s="75"/>
      <c r="R17" s="465">
        <f>SUM(R13:R16)</f>
        <v>50496017.032742172</v>
      </c>
      <c r="S17" s="6"/>
      <c r="V17" s="3"/>
    </row>
    <row r="18" spans="1:31">
      <c r="A18" s="4">
        <v>7</v>
      </c>
      <c r="D18" s="3"/>
      <c r="E18" s="3"/>
      <c r="F18" s="3"/>
      <c r="G18" s="3"/>
      <c r="H18" s="3"/>
      <c r="I18" s="3"/>
      <c r="J18" s="3"/>
      <c r="R18" s="3"/>
      <c r="T18" s="25"/>
    </row>
    <row r="19" spans="1:31">
      <c r="A19" s="4">
        <v>8</v>
      </c>
      <c r="B19" s="23" t="s">
        <v>30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S19" s="28"/>
    </row>
    <row r="20" spans="1:31">
      <c r="A20" s="4">
        <v>9</v>
      </c>
      <c r="B20" s="2" t="s">
        <v>22</v>
      </c>
      <c r="C20" s="36">
        <v>17806</v>
      </c>
      <c r="D20" s="36">
        <v>17752</v>
      </c>
      <c r="E20" s="36">
        <v>17631</v>
      </c>
      <c r="F20" s="36">
        <v>17835</v>
      </c>
      <c r="G20" s="36">
        <v>18260</v>
      </c>
      <c r="H20" s="36">
        <v>18536</v>
      </c>
      <c r="I20" s="36">
        <v>18799</v>
      </c>
      <c r="J20" s="36">
        <v>18781</v>
      </c>
      <c r="K20" s="36">
        <v>18794</v>
      </c>
      <c r="L20" s="36">
        <v>18834</v>
      </c>
      <c r="M20" s="36">
        <v>18536</v>
      </c>
      <c r="N20" s="36">
        <v>18167</v>
      </c>
      <c r="O20" s="6">
        <f>SUM(C20:N20)</f>
        <v>219731</v>
      </c>
      <c r="P20" s="4"/>
      <c r="Q20" s="44">
        <f>'Rate Design'!G13</f>
        <v>66</v>
      </c>
      <c r="R20" s="3">
        <f>O20*Q20</f>
        <v>14502246</v>
      </c>
      <c r="S20" s="28"/>
      <c r="U20" s="27"/>
    </row>
    <row r="21" spans="1:31">
      <c r="A21" s="4">
        <v>10</v>
      </c>
      <c r="B21" s="2" t="s">
        <v>23</v>
      </c>
      <c r="C21" s="36">
        <v>139965.72140000001</v>
      </c>
      <c r="D21" s="36">
        <v>123658.2338</v>
      </c>
      <c r="E21" s="36">
        <v>150225.2985</v>
      </c>
      <c r="F21" s="36">
        <v>173616.40150000001</v>
      </c>
      <c r="G21" s="36">
        <v>299971.63140000001</v>
      </c>
      <c r="H21" s="36">
        <v>539444.87010000006</v>
      </c>
      <c r="I21" s="36">
        <v>862989.50020000001</v>
      </c>
      <c r="J21" s="36">
        <v>785288.71360000002</v>
      </c>
      <c r="K21" s="36">
        <v>486240.34220000007</v>
      </c>
      <c r="L21" s="36">
        <v>366399.65299999999</v>
      </c>
      <c r="M21" s="36">
        <v>193319.37119999999</v>
      </c>
      <c r="N21" s="36">
        <v>149395.9596</v>
      </c>
      <c r="O21" s="6"/>
      <c r="P21" s="6">
        <f>SUM(C21:N21)</f>
        <v>4270515.6964999996</v>
      </c>
      <c r="Q21" s="13">
        <f>Q14</f>
        <v>1.5483</v>
      </c>
      <c r="R21" s="6">
        <f>P21*Q21</f>
        <v>6612039.4528909493</v>
      </c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pans="1:31">
      <c r="A22" s="4">
        <v>11</v>
      </c>
      <c r="B22" s="2" t="s">
        <v>24</v>
      </c>
      <c r="C22" s="36">
        <v>21463.13</v>
      </c>
      <c r="D22" s="36">
        <v>14136.33</v>
      </c>
      <c r="E22" s="36">
        <v>50017.21</v>
      </c>
      <c r="F22" s="36">
        <v>78742</v>
      </c>
      <c r="G22" s="36">
        <v>42364.79</v>
      </c>
      <c r="H22" s="36">
        <v>72610.740000000005</v>
      </c>
      <c r="I22" s="36">
        <v>156952.23000000001</v>
      </c>
      <c r="J22" s="36">
        <v>123852.19</v>
      </c>
      <c r="K22" s="36">
        <v>54189.73</v>
      </c>
      <c r="L22" s="36">
        <v>37375.230000000003</v>
      </c>
      <c r="M22" s="36">
        <v>20833.46</v>
      </c>
      <c r="N22" s="36">
        <v>19685.79</v>
      </c>
      <c r="O22" s="6"/>
      <c r="P22" s="6">
        <f>SUM(C22:N22)</f>
        <v>692222.83000000007</v>
      </c>
      <c r="Q22" s="13">
        <f>Q15</f>
        <v>1.0762</v>
      </c>
      <c r="R22" s="6">
        <f>P22*Q22</f>
        <v>744970.20964600006</v>
      </c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pans="1:31">
      <c r="A23" s="4">
        <v>12</v>
      </c>
      <c r="B23" s="2" t="s">
        <v>55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6"/>
      <c r="P23" s="6">
        <f>SUM(C23:N23)</f>
        <v>0</v>
      </c>
      <c r="Q23" s="13">
        <f>Q16</f>
        <v>0.88880000000000003</v>
      </c>
      <c r="R23" s="6">
        <f>P23*Q23</f>
        <v>0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pans="1:31">
      <c r="A24" s="4">
        <v>13</v>
      </c>
      <c r="B24" s="21" t="s">
        <v>53</v>
      </c>
      <c r="C24" s="466">
        <f>SUM(C21:C23)</f>
        <v>161428.85140000001</v>
      </c>
      <c r="D24" s="466">
        <f t="shared" ref="D24:N24" si="2">SUM(D21:D23)</f>
        <v>137794.5638</v>
      </c>
      <c r="E24" s="466">
        <f t="shared" si="2"/>
        <v>200242.5085</v>
      </c>
      <c r="F24" s="466">
        <f t="shared" si="2"/>
        <v>252358.40150000001</v>
      </c>
      <c r="G24" s="466">
        <f t="shared" si="2"/>
        <v>342336.42139999999</v>
      </c>
      <c r="H24" s="466">
        <f t="shared" si="2"/>
        <v>612055.61010000005</v>
      </c>
      <c r="I24" s="466">
        <f t="shared" si="2"/>
        <v>1019941.7302</v>
      </c>
      <c r="J24" s="466">
        <f t="shared" si="2"/>
        <v>909140.90360000008</v>
      </c>
      <c r="K24" s="466">
        <f t="shared" si="2"/>
        <v>540430.07220000005</v>
      </c>
      <c r="L24" s="466">
        <f t="shared" si="2"/>
        <v>403774.88299999997</v>
      </c>
      <c r="M24" s="466">
        <f t="shared" si="2"/>
        <v>214152.83119999999</v>
      </c>
      <c r="N24" s="466">
        <f t="shared" si="2"/>
        <v>169081.74960000001</v>
      </c>
      <c r="O24" s="20">
        <f>O20</f>
        <v>219731</v>
      </c>
      <c r="P24" s="20">
        <f>SUM(P21:P23)</f>
        <v>4962738.5264999997</v>
      </c>
      <c r="Q24" s="21"/>
      <c r="R24" s="467">
        <f>SUM(R20:R23)</f>
        <v>21859255.662536949</v>
      </c>
      <c r="T24" s="271"/>
      <c r="U24" s="27"/>
    </row>
    <row r="25" spans="1:31">
      <c r="A25" s="4">
        <v>14</v>
      </c>
    </row>
    <row r="26" spans="1:31">
      <c r="A26" s="4">
        <v>15</v>
      </c>
      <c r="B26" s="23" t="s">
        <v>54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6"/>
      <c r="P26" s="6"/>
      <c r="Q26" s="13"/>
      <c r="R26" s="6"/>
    </row>
    <row r="27" spans="1:31">
      <c r="A27" s="4">
        <v>16</v>
      </c>
      <c r="B27" s="2" t="s">
        <v>22</v>
      </c>
      <c r="C27" s="29">
        <v>202</v>
      </c>
      <c r="D27" s="29">
        <v>214</v>
      </c>
      <c r="E27" s="29">
        <v>208</v>
      </c>
      <c r="F27" s="29">
        <v>210</v>
      </c>
      <c r="G27" s="29">
        <v>213</v>
      </c>
      <c r="H27" s="29">
        <v>208</v>
      </c>
      <c r="I27" s="29">
        <v>205</v>
      </c>
      <c r="J27" s="29">
        <v>212</v>
      </c>
      <c r="K27" s="29">
        <v>215</v>
      </c>
      <c r="L27" s="29">
        <v>213</v>
      </c>
      <c r="M27" s="29">
        <v>212</v>
      </c>
      <c r="N27" s="29">
        <v>210</v>
      </c>
      <c r="O27" s="6">
        <f>SUM(C27:N27)</f>
        <v>2522</v>
      </c>
      <c r="P27" s="4"/>
      <c r="Q27" s="11">
        <f>Q20</f>
        <v>66</v>
      </c>
      <c r="R27" s="3">
        <f>O27*Q27</f>
        <v>166452</v>
      </c>
    </row>
    <row r="28" spans="1:31">
      <c r="A28" s="4">
        <v>17</v>
      </c>
      <c r="B28" s="2" t="s">
        <v>23</v>
      </c>
      <c r="C28" s="29">
        <v>8451.663700000001</v>
      </c>
      <c r="D28" s="29">
        <v>8627.8865999999998</v>
      </c>
      <c r="E28" s="29">
        <v>9211.2734999999993</v>
      </c>
      <c r="F28" s="29">
        <v>10770.834699999996</v>
      </c>
      <c r="G28" s="29">
        <v>23719.025699999995</v>
      </c>
      <c r="H28" s="29">
        <v>33812.761500000008</v>
      </c>
      <c r="I28" s="29">
        <v>43948.126800000005</v>
      </c>
      <c r="J28" s="29">
        <v>45008.453900000015</v>
      </c>
      <c r="K28" s="29">
        <v>34440.155699999996</v>
      </c>
      <c r="L28" s="29">
        <v>27357.7264</v>
      </c>
      <c r="M28" s="29">
        <v>16429.903000000002</v>
      </c>
      <c r="N28" s="29">
        <v>9573.3551000000007</v>
      </c>
      <c r="O28" s="6"/>
      <c r="P28" s="6">
        <f>SUM(C28:N28)</f>
        <v>271351.1666</v>
      </c>
      <c r="Q28" s="13">
        <f>Q21</f>
        <v>1.5483</v>
      </c>
      <c r="R28" s="6">
        <f>P28*Q28</f>
        <v>420133.01124677999</v>
      </c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pans="1:31">
      <c r="A29" s="4">
        <v>18</v>
      </c>
      <c r="B29" s="2" t="s">
        <v>24</v>
      </c>
      <c r="C29" s="29">
        <v>7423.55</v>
      </c>
      <c r="D29" s="29">
        <v>12968.44</v>
      </c>
      <c r="E29" s="29">
        <v>10541.07</v>
      </c>
      <c r="F29" s="29">
        <v>12654.12</v>
      </c>
      <c r="G29" s="29">
        <v>20700.650000000001</v>
      </c>
      <c r="H29" s="29">
        <v>38317.78</v>
      </c>
      <c r="I29" s="29">
        <v>78266.12</v>
      </c>
      <c r="J29" s="29">
        <v>67506.399999999994</v>
      </c>
      <c r="K29" s="29">
        <v>33568.43</v>
      </c>
      <c r="L29" s="29">
        <v>20924.759999999998</v>
      </c>
      <c r="M29" s="29">
        <v>37318.93</v>
      </c>
      <c r="N29" s="29">
        <v>8543.2999999999993</v>
      </c>
      <c r="O29" s="6"/>
      <c r="P29" s="6">
        <f>SUM(C29:N29)</f>
        <v>348733.55</v>
      </c>
      <c r="Q29" s="13">
        <f>Q22</f>
        <v>1.0762</v>
      </c>
      <c r="R29" s="6">
        <f>P29*Q29</f>
        <v>375307.04651000001</v>
      </c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pans="1:31">
      <c r="A30" s="4">
        <v>19</v>
      </c>
      <c r="B30" s="2" t="s">
        <v>55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6"/>
      <c r="P30" s="6">
        <f>SUM(C30:N30)</f>
        <v>0</v>
      </c>
      <c r="Q30" s="13">
        <f>Q23</f>
        <v>0.88880000000000003</v>
      </c>
      <c r="R30" s="6">
        <f>P30*Q30</f>
        <v>0</v>
      </c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pans="1:31">
      <c r="A31" s="4">
        <v>20</v>
      </c>
      <c r="B31" s="21" t="s">
        <v>53</v>
      </c>
      <c r="C31" s="466">
        <f>SUM(C28:C30)</f>
        <v>15875.2137</v>
      </c>
      <c r="D31" s="466">
        <f t="shared" ref="D31:N31" si="3">SUM(D28:D30)</f>
        <v>21596.3266</v>
      </c>
      <c r="E31" s="466">
        <f t="shared" si="3"/>
        <v>19752.343499999999</v>
      </c>
      <c r="F31" s="466">
        <f t="shared" si="3"/>
        <v>23424.954699999995</v>
      </c>
      <c r="G31" s="466">
        <f t="shared" si="3"/>
        <v>44419.675699999993</v>
      </c>
      <c r="H31" s="466">
        <f t="shared" si="3"/>
        <v>72130.541500000007</v>
      </c>
      <c r="I31" s="466">
        <f t="shared" si="3"/>
        <v>122214.24679999999</v>
      </c>
      <c r="J31" s="466">
        <f t="shared" si="3"/>
        <v>112514.85390000002</v>
      </c>
      <c r="K31" s="466">
        <f t="shared" si="3"/>
        <v>68008.585699999996</v>
      </c>
      <c r="L31" s="466">
        <f t="shared" si="3"/>
        <v>48282.486399999994</v>
      </c>
      <c r="M31" s="466">
        <f t="shared" si="3"/>
        <v>53748.832999999999</v>
      </c>
      <c r="N31" s="466">
        <f t="shared" si="3"/>
        <v>18116.6551</v>
      </c>
      <c r="O31" s="20">
        <f>O27</f>
        <v>2522</v>
      </c>
      <c r="P31" s="20">
        <f>SUM(P28:P30)</f>
        <v>620084.71659999993</v>
      </c>
      <c r="Q31" s="21"/>
      <c r="R31" s="467">
        <f>SUM(R27:R30)</f>
        <v>961892.05775677995</v>
      </c>
      <c r="S31" s="6"/>
      <c r="U31" s="27"/>
    </row>
    <row r="32" spans="1:31">
      <c r="A32" s="4">
        <v>21</v>
      </c>
      <c r="S32" s="6"/>
      <c r="U32" s="27"/>
    </row>
    <row r="33" spans="1:31">
      <c r="A33" s="4">
        <v>22</v>
      </c>
      <c r="B33" s="23" t="s">
        <v>56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Q33" s="13"/>
      <c r="R33" s="3"/>
      <c r="S33" s="6"/>
      <c r="U33" s="27"/>
    </row>
    <row r="34" spans="1:31">
      <c r="A34" s="4">
        <v>23</v>
      </c>
      <c r="B34" s="2" t="s">
        <v>22</v>
      </c>
      <c r="C34" s="36">
        <v>1490</v>
      </c>
      <c r="D34" s="36">
        <v>1493</v>
      </c>
      <c r="E34" s="36">
        <v>1496</v>
      </c>
      <c r="F34" s="36">
        <v>1504</v>
      </c>
      <c r="G34" s="36">
        <v>1502</v>
      </c>
      <c r="H34" s="36">
        <v>1507</v>
      </c>
      <c r="I34" s="36">
        <v>1516</v>
      </c>
      <c r="J34" s="36">
        <v>1503</v>
      </c>
      <c r="K34" s="36">
        <v>1507</v>
      </c>
      <c r="L34" s="36">
        <v>1504</v>
      </c>
      <c r="M34" s="36">
        <v>1513</v>
      </c>
      <c r="N34" s="36">
        <v>1483</v>
      </c>
      <c r="O34" s="6">
        <f>SUM(C34:N34)</f>
        <v>18018</v>
      </c>
      <c r="P34" s="4"/>
      <c r="Q34" s="11">
        <f>Q27</f>
        <v>66</v>
      </c>
      <c r="R34" s="3">
        <f>O34*Q34</f>
        <v>1189188</v>
      </c>
      <c r="S34" s="6"/>
      <c r="U34" s="27"/>
    </row>
    <row r="35" spans="1:31">
      <c r="A35" s="4">
        <v>24</v>
      </c>
      <c r="B35" s="2" t="s">
        <v>23</v>
      </c>
      <c r="C35" s="36">
        <v>22333.7261</v>
      </c>
      <c r="D35" s="36">
        <v>20476.419600000001</v>
      </c>
      <c r="E35" s="36">
        <v>24092.899399999998</v>
      </c>
      <c r="F35" s="36">
        <v>31351.3845</v>
      </c>
      <c r="G35" s="36">
        <v>53768.293099999995</v>
      </c>
      <c r="H35" s="36">
        <v>88124.361400000009</v>
      </c>
      <c r="I35" s="36">
        <v>129128.7534</v>
      </c>
      <c r="J35" s="36">
        <v>121153.76960000001</v>
      </c>
      <c r="K35" s="36">
        <v>80447.979800000001</v>
      </c>
      <c r="L35" s="36">
        <v>61795.671900000001</v>
      </c>
      <c r="M35" s="36">
        <v>38580.881600000001</v>
      </c>
      <c r="N35" s="36">
        <v>24163.165799999999</v>
      </c>
      <c r="O35" s="6"/>
      <c r="P35" s="6">
        <f>SUM(C35:N35)</f>
        <v>695417.30619999988</v>
      </c>
      <c r="Q35" s="13">
        <f>Q28</f>
        <v>1.5483</v>
      </c>
      <c r="R35" s="6">
        <f>P35*Q35</f>
        <v>1076714.6151894599</v>
      </c>
      <c r="S35" s="6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pans="1:31">
      <c r="A36" s="4">
        <v>25</v>
      </c>
      <c r="B36" s="2" t="s">
        <v>24</v>
      </c>
      <c r="C36" s="36">
        <v>2874.81</v>
      </c>
      <c r="D36" s="36">
        <v>2579.6799999999998</v>
      </c>
      <c r="E36" s="36">
        <v>900.29</v>
      </c>
      <c r="F36" s="36">
        <v>4145.53</v>
      </c>
      <c r="G36" s="36">
        <v>6763.58</v>
      </c>
      <c r="H36" s="36">
        <v>12252.12</v>
      </c>
      <c r="I36" s="36">
        <v>31691.31</v>
      </c>
      <c r="J36" s="36">
        <v>28565.17</v>
      </c>
      <c r="K36" s="36">
        <v>10448.75</v>
      </c>
      <c r="L36" s="36">
        <v>6337.4</v>
      </c>
      <c r="M36" s="36">
        <v>6665.39</v>
      </c>
      <c r="N36" s="36">
        <v>4028.98</v>
      </c>
      <c r="O36" s="6"/>
      <c r="P36" s="6">
        <f>SUM(C36:N36)</f>
        <v>117253.01</v>
      </c>
      <c r="Q36" s="13">
        <f>Q29</f>
        <v>1.0762</v>
      </c>
      <c r="R36" s="6">
        <f>P36*Q36</f>
        <v>126187.689362</v>
      </c>
      <c r="S36" s="6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pans="1:31">
      <c r="A37" s="4">
        <v>26</v>
      </c>
      <c r="B37" s="2" t="s">
        <v>55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6"/>
      <c r="P37" s="6">
        <f>SUM(C37:N37)</f>
        <v>0</v>
      </c>
      <c r="Q37" s="13">
        <f>Q30</f>
        <v>0.88880000000000003</v>
      </c>
      <c r="R37" s="6">
        <f>P37*Q37</f>
        <v>0</v>
      </c>
      <c r="S37" s="6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pans="1:31">
      <c r="A38" s="4">
        <v>27</v>
      </c>
      <c r="B38" s="21" t="s">
        <v>53</v>
      </c>
      <c r="C38" s="466">
        <f>SUM(C35:C37)</f>
        <v>25208.536100000001</v>
      </c>
      <c r="D38" s="466">
        <f t="shared" ref="D38:N38" si="4">SUM(D35:D37)</f>
        <v>23056.099600000001</v>
      </c>
      <c r="E38" s="466">
        <f t="shared" si="4"/>
        <v>24993.189399999999</v>
      </c>
      <c r="F38" s="466">
        <f t="shared" si="4"/>
        <v>35496.914499999999</v>
      </c>
      <c r="G38" s="466">
        <f t="shared" si="4"/>
        <v>60531.873099999997</v>
      </c>
      <c r="H38" s="466">
        <f t="shared" si="4"/>
        <v>100376.4814</v>
      </c>
      <c r="I38" s="466">
        <f t="shared" si="4"/>
        <v>160820.06340000001</v>
      </c>
      <c r="J38" s="466">
        <f t="shared" si="4"/>
        <v>149718.93960000001</v>
      </c>
      <c r="K38" s="466">
        <f t="shared" si="4"/>
        <v>90896.729800000001</v>
      </c>
      <c r="L38" s="466">
        <f t="shared" si="4"/>
        <v>68133.071899999995</v>
      </c>
      <c r="M38" s="466">
        <f t="shared" si="4"/>
        <v>45246.2716</v>
      </c>
      <c r="N38" s="466">
        <f t="shared" si="4"/>
        <v>28192.145799999998</v>
      </c>
      <c r="O38" s="20">
        <f>O34</f>
        <v>18018</v>
      </c>
      <c r="P38" s="20">
        <f>SUM(P35:P37)</f>
        <v>812670.31619999988</v>
      </c>
      <c r="Q38" s="21"/>
      <c r="R38" s="467">
        <f>SUM(R34:R37)</f>
        <v>2392090.3045514603</v>
      </c>
      <c r="S38" s="6"/>
    </row>
    <row r="39" spans="1:31">
      <c r="A39" s="4">
        <v>28</v>
      </c>
      <c r="S39" s="41"/>
      <c r="T39" s="6"/>
      <c r="U39" s="27"/>
      <c r="V39" s="41"/>
    </row>
    <row r="40" spans="1:31">
      <c r="A40" s="4">
        <v>29</v>
      </c>
      <c r="B40" s="23" t="s">
        <v>57</v>
      </c>
      <c r="S40" s="41"/>
      <c r="T40" s="6"/>
      <c r="U40" s="27"/>
      <c r="V40" s="41"/>
    </row>
    <row r="41" spans="1:31">
      <c r="A41" s="4">
        <v>30</v>
      </c>
      <c r="B41" s="2" t="s">
        <v>58</v>
      </c>
      <c r="C41" s="29">
        <v>2</v>
      </c>
      <c r="D41" s="29">
        <v>2</v>
      </c>
      <c r="E41" s="29">
        <v>2</v>
      </c>
      <c r="F41" s="29">
        <v>2</v>
      </c>
      <c r="G41" s="29">
        <v>3</v>
      </c>
      <c r="H41" s="29">
        <v>3</v>
      </c>
      <c r="I41" s="29">
        <v>3</v>
      </c>
      <c r="J41" s="29">
        <v>3</v>
      </c>
      <c r="K41" s="29">
        <v>3</v>
      </c>
      <c r="L41" s="29">
        <v>3</v>
      </c>
      <c r="M41" s="29">
        <v>4</v>
      </c>
      <c r="N41" s="29">
        <v>2</v>
      </c>
      <c r="O41" s="6">
        <f>SUM(C41:N41)</f>
        <v>32</v>
      </c>
      <c r="P41" s="4"/>
      <c r="Q41" s="44">
        <f>'Rate Design'!G14</f>
        <v>520</v>
      </c>
      <c r="R41" s="3">
        <f>O41*Q41</f>
        <v>16640</v>
      </c>
      <c r="U41" s="6"/>
      <c r="V41" s="41"/>
    </row>
    <row r="42" spans="1:31">
      <c r="A42" s="4">
        <v>31</v>
      </c>
      <c r="B42" s="2" t="s">
        <v>59</v>
      </c>
      <c r="C42" s="29">
        <v>19.064800000000002</v>
      </c>
      <c r="D42" s="29">
        <v>28.697600000000001</v>
      </c>
      <c r="E42" s="29">
        <v>122.4164</v>
      </c>
      <c r="F42" s="29">
        <v>44.350900000000003</v>
      </c>
      <c r="G42" s="29">
        <v>169.93610000000001</v>
      </c>
      <c r="H42" s="29">
        <v>970.43129999999996</v>
      </c>
      <c r="I42" s="29">
        <v>1488.3128999999999</v>
      </c>
      <c r="J42" s="29">
        <v>1867.9184</v>
      </c>
      <c r="K42" s="29">
        <v>1099.057</v>
      </c>
      <c r="L42" s="29">
        <v>543.30920000000003</v>
      </c>
      <c r="M42" s="29">
        <v>397.65870000000001</v>
      </c>
      <c r="N42" s="29">
        <v>59.301400000000001</v>
      </c>
      <c r="O42" s="6"/>
      <c r="P42" s="6">
        <f>SUM(C42:N42)</f>
        <v>6810.4546999999993</v>
      </c>
      <c r="Q42" s="13">
        <f>'Rate Design'!G31</f>
        <v>0.95569999999999999</v>
      </c>
      <c r="R42" s="6">
        <f>P42*Q42</f>
        <v>6508.7515567899991</v>
      </c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pans="1:31">
      <c r="A43" s="4">
        <v>32</v>
      </c>
      <c r="B43" s="2" t="s">
        <v>55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6"/>
      <c r="P43" s="6">
        <f>SUM(C43:N43)</f>
        <v>0</v>
      </c>
      <c r="Q43" s="13">
        <f>'Rate Design'!G32</f>
        <v>0.78369999999999995</v>
      </c>
      <c r="R43" s="6">
        <f>P43*Q43</f>
        <v>0</v>
      </c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pans="1:31">
      <c r="A44" s="4">
        <v>33</v>
      </c>
      <c r="B44" s="21" t="s">
        <v>53</v>
      </c>
      <c r="C44" s="466">
        <f>SUM(C42:C43)</f>
        <v>19.064800000000002</v>
      </c>
      <c r="D44" s="466">
        <f t="shared" ref="D44:N44" si="5">SUM(D42:D43)</f>
        <v>28.697600000000001</v>
      </c>
      <c r="E44" s="466">
        <f t="shared" si="5"/>
        <v>122.4164</v>
      </c>
      <c r="F44" s="466">
        <f t="shared" si="5"/>
        <v>44.350900000000003</v>
      </c>
      <c r="G44" s="466">
        <f t="shared" si="5"/>
        <v>169.93610000000001</v>
      </c>
      <c r="H44" s="466">
        <f t="shared" si="5"/>
        <v>970.43129999999996</v>
      </c>
      <c r="I44" s="466">
        <f t="shared" si="5"/>
        <v>1488.3128999999999</v>
      </c>
      <c r="J44" s="466">
        <f t="shared" si="5"/>
        <v>1867.9184</v>
      </c>
      <c r="K44" s="466">
        <f t="shared" si="5"/>
        <v>1099.057</v>
      </c>
      <c r="L44" s="466">
        <f t="shared" si="5"/>
        <v>543.30920000000003</v>
      </c>
      <c r="M44" s="466">
        <f t="shared" si="5"/>
        <v>397.65870000000001</v>
      </c>
      <c r="N44" s="466">
        <f t="shared" si="5"/>
        <v>59.301400000000001</v>
      </c>
      <c r="O44" s="20">
        <f>O41</f>
        <v>32</v>
      </c>
      <c r="P44" s="20">
        <f>SUM(P42:P43)</f>
        <v>6810.4546999999993</v>
      </c>
      <c r="Q44" s="21"/>
      <c r="R44" s="467">
        <f>SUM(R41:R43)</f>
        <v>23148.751556789997</v>
      </c>
    </row>
    <row r="45" spans="1:31">
      <c r="A45" s="4">
        <v>34</v>
      </c>
    </row>
    <row r="46" spans="1:31">
      <c r="A46" s="4">
        <v>35</v>
      </c>
      <c r="B46" s="23" t="s">
        <v>60</v>
      </c>
    </row>
    <row r="47" spans="1:31">
      <c r="A47" s="4">
        <v>36</v>
      </c>
      <c r="B47" s="2" t="s">
        <v>58</v>
      </c>
      <c r="C47" s="36">
        <v>5</v>
      </c>
      <c r="D47" s="36">
        <v>5</v>
      </c>
      <c r="E47" s="36">
        <v>6</v>
      </c>
      <c r="F47" s="36">
        <v>6</v>
      </c>
      <c r="G47" s="36">
        <v>6</v>
      </c>
      <c r="H47" s="36">
        <v>5</v>
      </c>
      <c r="I47" s="36">
        <v>8</v>
      </c>
      <c r="J47" s="36">
        <v>8</v>
      </c>
      <c r="K47" s="36">
        <v>6</v>
      </c>
      <c r="L47" s="36">
        <v>6</v>
      </c>
      <c r="M47" s="36">
        <v>6</v>
      </c>
      <c r="N47" s="36">
        <v>6</v>
      </c>
      <c r="O47" s="6">
        <f>SUM(C47:N47)</f>
        <v>73</v>
      </c>
      <c r="P47" s="4"/>
      <c r="Q47" s="44">
        <f>Q41</f>
        <v>520</v>
      </c>
      <c r="R47" s="3">
        <f>O47*Q47</f>
        <v>37960</v>
      </c>
    </row>
    <row r="48" spans="1:31">
      <c r="A48" s="4">
        <v>37</v>
      </c>
      <c r="B48" s="2" t="s">
        <v>59</v>
      </c>
      <c r="C48" s="36">
        <v>1620.8219999999999</v>
      </c>
      <c r="D48" s="36">
        <v>2041.4</v>
      </c>
      <c r="E48" s="36">
        <v>2038.1</v>
      </c>
      <c r="F48" s="36">
        <v>1556.636</v>
      </c>
      <c r="G48" s="36">
        <v>1833.412</v>
      </c>
      <c r="H48" s="36">
        <v>1436.077</v>
      </c>
      <c r="I48" s="36">
        <v>1910.44</v>
      </c>
      <c r="J48" s="36">
        <v>1860.9</v>
      </c>
      <c r="K48" s="36">
        <v>2104.9</v>
      </c>
      <c r="L48" s="36">
        <v>2078.4</v>
      </c>
      <c r="M48" s="36">
        <v>2200.1999999999998</v>
      </c>
      <c r="N48" s="36">
        <v>1286</v>
      </c>
      <c r="O48" s="6"/>
      <c r="P48" s="6">
        <f>SUM(C48:N48)</f>
        <v>21967.287000000004</v>
      </c>
      <c r="Q48" s="13">
        <f>Q42</f>
        <v>0.95569999999999999</v>
      </c>
      <c r="R48" s="6">
        <f>P48*Q48</f>
        <v>20994.136185900003</v>
      </c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pans="1:31">
      <c r="A49" s="4">
        <v>38</v>
      </c>
      <c r="B49" s="2" t="s">
        <v>55</v>
      </c>
      <c r="C49" s="36">
        <v>7295.6719999999996</v>
      </c>
      <c r="D49" s="36">
        <v>8055.6100000000006</v>
      </c>
      <c r="E49" s="36">
        <v>10759.655999999999</v>
      </c>
      <c r="F49" s="36">
        <v>10023.146999999999</v>
      </c>
      <c r="G49" s="36">
        <v>14051.564</v>
      </c>
      <c r="H49" s="36">
        <v>20976.724999999999</v>
      </c>
      <c r="I49" s="36">
        <v>20050.698</v>
      </c>
      <c r="J49" s="36">
        <v>17548.054</v>
      </c>
      <c r="K49" s="36">
        <v>21736.326999999997</v>
      </c>
      <c r="L49" s="36">
        <v>20225.300999999999</v>
      </c>
      <c r="M49" s="36">
        <v>16426.343000000001</v>
      </c>
      <c r="N49" s="36">
        <v>16784.196</v>
      </c>
      <c r="O49" s="6"/>
      <c r="P49" s="6">
        <f>SUM(C49:N49)</f>
        <v>183933.29300000001</v>
      </c>
      <c r="Q49" s="13">
        <f>Q43</f>
        <v>0.78369999999999995</v>
      </c>
      <c r="R49" s="6">
        <f>P49*Q49</f>
        <v>144148.52172409999</v>
      </c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pans="1:31">
      <c r="A50" s="4">
        <v>39</v>
      </c>
      <c r="B50" s="21" t="s">
        <v>53</v>
      </c>
      <c r="C50" s="466">
        <f>SUM(C48:C49)</f>
        <v>8916.4939999999988</v>
      </c>
      <c r="D50" s="466">
        <f t="shared" ref="D50:N50" si="6">SUM(D48:D49)</f>
        <v>10097.01</v>
      </c>
      <c r="E50" s="466">
        <f t="shared" si="6"/>
        <v>12797.755999999999</v>
      </c>
      <c r="F50" s="466">
        <f t="shared" si="6"/>
        <v>11579.782999999999</v>
      </c>
      <c r="G50" s="466">
        <f t="shared" si="6"/>
        <v>15884.976000000001</v>
      </c>
      <c r="H50" s="466">
        <f t="shared" si="6"/>
        <v>22412.802</v>
      </c>
      <c r="I50" s="466">
        <f t="shared" si="6"/>
        <v>21961.137999999999</v>
      </c>
      <c r="J50" s="466">
        <f t="shared" si="6"/>
        <v>19408.954000000002</v>
      </c>
      <c r="K50" s="466">
        <f t="shared" si="6"/>
        <v>23841.226999999999</v>
      </c>
      <c r="L50" s="466">
        <f t="shared" si="6"/>
        <v>22303.701000000001</v>
      </c>
      <c r="M50" s="466">
        <f t="shared" si="6"/>
        <v>18626.543000000001</v>
      </c>
      <c r="N50" s="466">
        <f t="shared" si="6"/>
        <v>18070.196</v>
      </c>
      <c r="O50" s="20">
        <f>O47</f>
        <v>73</v>
      </c>
      <c r="P50" s="20">
        <f>SUM(P48:P49)</f>
        <v>205900.58000000002</v>
      </c>
      <c r="Q50" s="21"/>
      <c r="R50" s="467">
        <f>SUM(R47:R49)</f>
        <v>203102.65791000001</v>
      </c>
    </row>
    <row r="51" spans="1:31">
      <c r="A51" s="4">
        <v>40</v>
      </c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</row>
    <row r="52" spans="1:31">
      <c r="A52" s="4">
        <v>41</v>
      </c>
      <c r="B52" s="23" t="s">
        <v>62</v>
      </c>
      <c r="T52" s="6"/>
      <c r="U52" s="6"/>
      <c r="X52" s="13"/>
      <c r="Y52" s="6"/>
    </row>
    <row r="53" spans="1:31">
      <c r="A53" s="4">
        <v>42</v>
      </c>
      <c r="B53" s="2" t="s">
        <v>61</v>
      </c>
      <c r="C53" s="43">
        <v>119.34615384615384</v>
      </c>
      <c r="D53" s="43">
        <v>119.34615384615384</v>
      </c>
      <c r="E53" s="43">
        <v>119.34615384615384</v>
      </c>
      <c r="F53" s="43">
        <v>119.34615384615384</v>
      </c>
      <c r="G53" s="43">
        <v>119.34615384615384</v>
      </c>
      <c r="H53" s="43">
        <v>121.34615384615384</v>
      </c>
      <c r="I53" s="43">
        <v>119.34615384615384</v>
      </c>
      <c r="J53" s="43">
        <v>118.34615384615384</v>
      </c>
      <c r="K53" s="43">
        <v>119.34615384615384</v>
      </c>
      <c r="L53" s="43">
        <v>119.34615384615384</v>
      </c>
      <c r="M53" s="43">
        <v>120.34615384615384</v>
      </c>
      <c r="N53" s="43">
        <v>119.34615384615384</v>
      </c>
      <c r="O53" s="6">
        <f>SUM(C53:N53)</f>
        <v>1434.153846153846</v>
      </c>
      <c r="Q53" s="44">
        <f>'Rate Design'!G15</f>
        <v>520</v>
      </c>
      <c r="R53" s="3">
        <f>O53*Q53</f>
        <v>745759.99999999988</v>
      </c>
      <c r="S53" s="3"/>
      <c r="T53" s="6"/>
      <c r="U53" s="6"/>
      <c r="X53" s="13"/>
      <c r="Y53" s="6"/>
    </row>
    <row r="54" spans="1:31">
      <c r="A54" s="4">
        <v>43</v>
      </c>
      <c r="B54" s="2" t="s">
        <v>1</v>
      </c>
      <c r="C54" s="77">
        <v>5950</v>
      </c>
      <c r="D54" s="77">
        <v>5950</v>
      </c>
      <c r="E54" s="77">
        <v>5950</v>
      </c>
      <c r="F54" s="77">
        <v>5950</v>
      </c>
      <c r="G54" s="77">
        <v>5950</v>
      </c>
      <c r="H54" s="77">
        <v>6050</v>
      </c>
      <c r="I54" s="77">
        <v>5950</v>
      </c>
      <c r="J54" s="77">
        <v>5900</v>
      </c>
      <c r="K54" s="77">
        <v>6000</v>
      </c>
      <c r="L54" s="77">
        <v>5950</v>
      </c>
      <c r="M54" s="77">
        <v>6000</v>
      </c>
      <c r="N54" s="77">
        <v>5950</v>
      </c>
      <c r="R54" s="6">
        <f>SUM(C54:N54)</f>
        <v>71550</v>
      </c>
      <c r="S54" s="3"/>
      <c r="U54" s="6"/>
      <c r="X54" s="13"/>
      <c r="Y54" s="6"/>
    </row>
    <row r="55" spans="1:31">
      <c r="A55" s="4">
        <v>44</v>
      </c>
      <c r="B55" s="2" t="s">
        <v>48</v>
      </c>
      <c r="C55" s="77">
        <v>6900</v>
      </c>
      <c r="D55" s="77">
        <v>7050</v>
      </c>
      <c r="E55" s="77">
        <v>6900</v>
      </c>
      <c r="F55" s="77">
        <v>7050</v>
      </c>
      <c r="G55" s="77">
        <v>7050</v>
      </c>
      <c r="H55" s="77">
        <v>7200</v>
      </c>
      <c r="I55" s="77">
        <v>7125</v>
      </c>
      <c r="J55" s="77">
        <v>7200</v>
      </c>
      <c r="K55" s="77">
        <v>7050</v>
      </c>
      <c r="L55" s="77">
        <v>7125</v>
      </c>
      <c r="M55" s="77">
        <v>7200</v>
      </c>
      <c r="N55" s="77">
        <v>7200</v>
      </c>
      <c r="R55" s="6">
        <f>SUM(C55:N55)</f>
        <v>85050</v>
      </c>
      <c r="S55" s="3"/>
      <c r="U55" s="6"/>
      <c r="X55" s="13"/>
      <c r="Y55" s="6"/>
    </row>
    <row r="56" spans="1:31">
      <c r="A56" s="4">
        <v>45</v>
      </c>
      <c r="B56" s="2" t="s">
        <v>2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0</v>
      </c>
      <c r="M56" s="77">
        <v>0</v>
      </c>
      <c r="N56" s="77">
        <v>0</v>
      </c>
      <c r="O56" s="96"/>
      <c r="R56" s="6">
        <f>SUM(C56:N56)</f>
        <v>0</v>
      </c>
      <c r="S56" s="3"/>
      <c r="X56" s="13"/>
      <c r="Y56" s="6"/>
    </row>
    <row r="57" spans="1:31">
      <c r="A57" s="4">
        <v>46</v>
      </c>
      <c r="B57" s="2" t="s">
        <v>31</v>
      </c>
      <c r="C57" s="36">
        <v>31464.480999999996</v>
      </c>
      <c r="D57" s="36">
        <v>34123.5</v>
      </c>
      <c r="E57" s="36">
        <v>35729.080999999998</v>
      </c>
      <c r="F57" s="36">
        <v>35896.705000000002</v>
      </c>
      <c r="G57" s="36">
        <v>35700</v>
      </c>
      <c r="H57" s="36">
        <v>35611.274000000005</v>
      </c>
      <c r="I57" s="36">
        <v>35440.599000000002</v>
      </c>
      <c r="J57" s="36">
        <v>33941.104999999996</v>
      </c>
      <c r="K57" s="36">
        <v>32105.792000000001</v>
      </c>
      <c r="L57" s="36">
        <v>31434.730000000003</v>
      </c>
      <c r="M57" s="36">
        <v>30898.559000000005</v>
      </c>
      <c r="N57" s="36">
        <v>31272.666000000005</v>
      </c>
      <c r="O57" s="96"/>
      <c r="P57" s="6">
        <f>SUM(C57:N57)</f>
        <v>403618.49200000003</v>
      </c>
      <c r="Q57" s="13">
        <f>'Rate Design'!G27</f>
        <v>1.5483</v>
      </c>
      <c r="R57" s="6">
        <f>P57*Q57</f>
        <v>624922.51116360002</v>
      </c>
      <c r="S57" s="3"/>
      <c r="T57"/>
      <c r="U57"/>
      <c r="V57"/>
      <c r="W57"/>
      <c r="X57"/>
      <c r="Y57"/>
      <c r="Z57"/>
      <c r="AA57"/>
      <c r="AB57"/>
      <c r="AC57"/>
      <c r="AD57"/>
      <c r="AE57"/>
    </row>
    <row r="58" spans="1:31">
      <c r="A58" s="4">
        <v>47</v>
      </c>
      <c r="B58" s="2" t="s">
        <v>32</v>
      </c>
      <c r="C58" s="36">
        <v>406806.91199999989</v>
      </c>
      <c r="D58" s="36">
        <v>472060.04299999971</v>
      </c>
      <c r="E58" s="36">
        <v>525685.69700000016</v>
      </c>
      <c r="F58" s="36">
        <v>564243.50700000022</v>
      </c>
      <c r="G58" s="36">
        <v>673390.15800000017</v>
      </c>
      <c r="H58" s="36">
        <v>551813.29999999981</v>
      </c>
      <c r="I58" s="36">
        <v>504734.49100000004</v>
      </c>
      <c r="J58" s="36">
        <v>442110.44699999999</v>
      </c>
      <c r="K58" s="36">
        <v>411246.7350000001</v>
      </c>
      <c r="L58" s="36">
        <v>405427.66999999993</v>
      </c>
      <c r="M58" s="36">
        <v>397102.24300000013</v>
      </c>
      <c r="N58" s="36">
        <v>411062.49300000007</v>
      </c>
      <c r="P58" s="6">
        <f>SUM(C58:N58)</f>
        <v>5765683.6959999995</v>
      </c>
      <c r="Q58" s="13">
        <f>'Rate Design'!G28</f>
        <v>1.0762</v>
      </c>
      <c r="R58" s="6">
        <f>P58*Q58</f>
        <v>6205028.7936351998</v>
      </c>
      <c r="S58" s="3"/>
      <c r="T58"/>
      <c r="U58"/>
      <c r="V58"/>
      <c r="W58"/>
      <c r="X58"/>
      <c r="Y58"/>
      <c r="Z58"/>
      <c r="AA58"/>
      <c r="AB58"/>
      <c r="AC58"/>
      <c r="AD58"/>
      <c r="AE58"/>
    </row>
    <row r="59" spans="1:31">
      <c r="A59" s="4">
        <v>48</v>
      </c>
      <c r="B59" s="2" t="s">
        <v>572</v>
      </c>
      <c r="C59" s="36">
        <v>108609.992</v>
      </c>
      <c r="D59" s="36">
        <v>143399.11800000002</v>
      </c>
      <c r="E59" s="36">
        <v>152185</v>
      </c>
      <c r="F59" s="36">
        <v>135721.93599999999</v>
      </c>
      <c r="G59" s="36">
        <v>214738.15400000001</v>
      </c>
      <c r="H59" s="36">
        <v>172590.22999999995</v>
      </c>
      <c r="I59" s="36">
        <v>174296.59700000001</v>
      </c>
      <c r="J59" s="36">
        <v>147987.49400000001</v>
      </c>
      <c r="K59" s="36">
        <v>135462.75199999998</v>
      </c>
      <c r="L59" s="36">
        <v>111234.209</v>
      </c>
      <c r="M59" s="36">
        <v>107871.19000000002</v>
      </c>
      <c r="N59" s="36">
        <v>116960.83199999999</v>
      </c>
      <c r="O59" s="96"/>
      <c r="P59" s="6">
        <f>SUM(C59:N59)</f>
        <v>1721057.504</v>
      </c>
      <c r="Q59" s="13">
        <f>'Rate Design'!G29</f>
        <v>0.88880000000000003</v>
      </c>
      <c r="R59" s="6">
        <f>P59*Q59</f>
        <v>1529675.9095552</v>
      </c>
      <c r="S59" s="3"/>
      <c r="T59"/>
      <c r="U59"/>
      <c r="V59"/>
      <c r="W59"/>
      <c r="X59"/>
      <c r="Y59"/>
      <c r="Z59"/>
      <c r="AA59"/>
      <c r="AB59"/>
      <c r="AC59"/>
      <c r="AD59"/>
      <c r="AE59"/>
    </row>
    <row r="60" spans="1:31">
      <c r="A60" s="4">
        <v>49</v>
      </c>
      <c r="B60" s="21" t="s">
        <v>53</v>
      </c>
      <c r="C60" s="466">
        <f>SUM(C57:C59)</f>
        <v>546881.38499999989</v>
      </c>
      <c r="D60" s="466">
        <f t="shared" ref="D60:N60" si="7">SUM(D57:D59)</f>
        <v>649582.66099999973</v>
      </c>
      <c r="E60" s="466">
        <f t="shared" si="7"/>
        <v>713599.77800000017</v>
      </c>
      <c r="F60" s="466">
        <f t="shared" si="7"/>
        <v>735862.14800000016</v>
      </c>
      <c r="G60" s="466">
        <f t="shared" si="7"/>
        <v>923828.31200000015</v>
      </c>
      <c r="H60" s="466">
        <f t="shared" si="7"/>
        <v>760014.80399999977</v>
      </c>
      <c r="I60" s="466">
        <f t="shared" si="7"/>
        <v>714471.68700000015</v>
      </c>
      <c r="J60" s="466">
        <f t="shared" si="7"/>
        <v>624039.04599999997</v>
      </c>
      <c r="K60" s="466">
        <f t="shared" si="7"/>
        <v>578815.2790000001</v>
      </c>
      <c r="L60" s="466">
        <f t="shared" si="7"/>
        <v>548096.60899999994</v>
      </c>
      <c r="M60" s="466">
        <f t="shared" si="7"/>
        <v>535871.9920000002</v>
      </c>
      <c r="N60" s="466">
        <f t="shared" si="7"/>
        <v>559295.99100000015</v>
      </c>
      <c r="O60" s="20">
        <f>SUM(O53:O59)</f>
        <v>1434.153846153846</v>
      </c>
      <c r="P60" s="20">
        <f>SUM(P57:P59)</f>
        <v>7890359.6919999989</v>
      </c>
      <c r="Q60" s="21"/>
      <c r="R60" s="467">
        <f>SUM(R53:R59)</f>
        <v>9261987.2143539991</v>
      </c>
      <c r="Y60" s="6"/>
    </row>
    <row r="61" spans="1:31">
      <c r="A61" s="4">
        <v>50</v>
      </c>
      <c r="Y61" s="6"/>
    </row>
    <row r="62" spans="1:31">
      <c r="A62" s="4">
        <v>51</v>
      </c>
      <c r="B62" s="23" t="s">
        <v>574</v>
      </c>
      <c r="Y62" s="6"/>
    </row>
    <row r="63" spans="1:31">
      <c r="A63" s="4">
        <v>52</v>
      </c>
      <c r="B63" s="2" t="s">
        <v>31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P63" s="6">
        <f>SUM(C63:O63)</f>
        <v>0</v>
      </c>
      <c r="Q63" s="468">
        <f>'Rate Design'!T27</f>
        <v>1.161225</v>
      </c>
      <c r="R63" s="3">
        <f>O63*Q63</f>
        <v>0</v>
      </c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pans="1:31">
      <c r="A64" s="4">
        <v>53</v>
      </c>
      <c r="B64" s="2" t="s">
        <v>32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P64" s="6">
        <f t="shared" ref="P64:P66" si="8">SUM(C64:O64)</f>
        <v>0</v>
      </c>
      <c r="Q64" s="468">
        <f>'Rate Design'!T28</f>
        <v>0.80715000000000003</v>
      </c>
      <c r="R64" s="6">
        <f t="shared" ref="R64:R65" si="9">P64*Q64</f>
        <v>0</v>
      </c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pans="1:31">
      <c r="A65" s="4">
        <v>54</v>
      </c>
      <c r="B65" s="2" t="s">
        <v>572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P65" s="6">
        <f t="shared" si="8"/>
        <v>0</v>
      </c>
      <c r="Q65" s="469">
        <f>'Rate Design'!T29</f>
        <v>0.66660000000000008</v>
      </c>
      <c r="R65" s="6">
        <f t="shared" si="9"/>
        <v>0</v>
      </c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pans="1:31">
      <c r="A66" s="4">
        <v>55</v>
      </c>
      <c r="B66" s="21" t="s">
        <v>53</v>
      </c>
      <c r="C66" s="466">
        <f>SUM(C63:C65)</f>
        <v>0</v>
      </c>
      <c r="D66" s="466">
        <f t="shared" ref="D66:N66" si="10">SUM(D63:D65)</f>
        <v>0</v>
      </c>
      <c r="E66" s="466">
        <f t="shared" si="10"/>
        <v>0</v>
      </c>
      <c r="F66" s="466">
        <f t="shared" si="10"/>
        <v>0</v>
      </c>
      <c r="G66" s="466">
        <f t="shared" si="10"/>
        <v>0</v>
      </c>
      <c r="H66" s="466">
        <f t="shared" si="10"/>
        <v>0</v>
      </c>
      <c r="I66" s="466">
        <f t="shared" si="10"/>
        <v>0</v>
      </c>
      <c r="J66" s="466">
        <f t="shared" si="10"/>
        <v>0</v>
      </c>
      <c r="K66" s="466">
        <f t="shared" si="10"/>
        <v>0</v>
      </c>
      <c r="L66" s="466">
        <f t="shared" si="10"/>
        <v>0</v>
      </c>
      <c r="M66" s="466">
        <f t="shared" si="10"/>
        <v>0</v>
      </c>
      <c r="N66" s="466">
        <f t="shared" si="10"/>
        <v>0</v>
      </c>
      <c r="P66" s="20">
        <f t="shared" si="8"/>
        <v>0</v>
      </c>
      <c r="Q66" s="21"/>
      <c r="R66" s="467">
        <f>SUM(R63:R65)</f>
        <v>0</v>
      </c>
      <c r="Y66" s="6"/>
    </row>
    <row r="67" spans="1:31">
      <c r="A67" s="4">
        <v>56</v>
      </c>
      <c r="Y67" s="6"/>
    </row>
    <row r="68" spans="1:31">
      <c r="A68" s="4">
        <v>57</v>
      </c>
      <c r="B68" s="23" t="s">
        <v>63</v>
      </c>
      <c r="Y68" s="6"/>
    </row>
    <row r="69" spans="1:31">
      <c r="A69" s="4">
        <v>58</v>
      </c>
      <c r="B69" s="2" t="s">
        <v>61</v>
      </c>
      <c r="C69" s="43">
        <v>70</v>
      </c>
      <c r="D69" s="43">
        <v>70</v>
      </c>
      <c r="E69" s="43">
        <v>70</v>
      </c>
      <c r="F69" s="43">
        <v>70</v>
      </c>
      <c r="G69" s="43">
        <v>70</v>
      </c>
      <c r="H69" s="43">
        <v>70</v>
      </c>
      <c r="I69" s="43">
        <v>70</v>
      </c>
      <c r="J69" s="43">
        <v>70</v>
      </c>
      <c r="K69" s="43">
        <v>71</v>
      </c>
      <c r="L69" s="43">
        <v>71</v>
      </c>
      <c r="M69" s="43">
        <v>71</v>
      </c>
      <c r="N69" s="43">
        <v>71</v>
      </c>
      <c r="O69" s="6">
        <f>SUM(C69:N69)</f>
        <v>844</v>
      </c>
      <c r="P69" s="4"/>
      <c r="Q69" s="44">
        <f>'Rate Design'!G16</f>
        <v>520</v>
      </c>
      <c r="R69" s="3">
        <f>O69*Q69</f>
        <v>438880</v>
      </c>
      <c r="X69" s="13"/>
      <c r="Y69" s="6"/>
    </row>
    <row r="70" spans="1:31">
      <c r="A70" s="4">
        <v>59</v>
      </c>
      <c r="B70" s="2" t="s">
        <v>1</v>
      </c>
      <c r="C70" s="77">
        <v>3450</v>
      </c>
      <c r="D70" s="77">
        <v>3450</v>
      </c>
      <c r="E70" s="77">
        <v>3450</v>
      </c>
      <c r="F70" s="77">
        <v>3450</v>
      </c>
      <c r="G70" s="77">
        <v>3450</v>
      </c>
      <c r="H70" s="77">
        <v>3450</v>
      </c>
      <c r="I70" s="77">
        <v>3450</v>
      </c>
      <c r="J70" s="77">
        <v>3450</v>
      </c>
      <c r="K70" s="77">
        <v>3500</v>
      </c>
      <c r="L70" s="77">
        <v>3500</v>
      </c>
      <c r="M70" s="77">
        <v>3500</v>
      </c>
      <c r="N70" s="77">
        <v>3500</v>
      </c>
      <c r="R70" s="6">
        <f>SUM(C70:N70)</f>
        <v>41600</v>
      </c>
      <c r="X70" s="13"/>
      <c r="Y70" s="6"/>
    </row>
    <row r="71" spans="1:31">
      <c r="A71" s="4">
        <v>60</v>
      </c>
      <c r="B71" s="2" t="s">
        <v>48</v>
      </c>
      <c r="C71" s="77">
        <v>3900</v>
      </c>
      <c r="D71" s="77">
        <v>3900</v>
      </c>
      <c r="E71" s="77">
        <v>3900</v>
      </c>
      <c r="F71" s="77">
        <v>3900</v>
      </c>
      <c r="G71" s="77">
        <v>3900</v>
      </c>
      <c r="H71" s="77">
        <v>3900</v>
      </c>
      <c r="I71" s="77">
        <v>3900</v>
      </c>
      <c r="J71" s="77">
        <v>3900</v>
      </c>
      <c r="K71" s="77">
        <v>3975</v>
      </c>
      <c r="L71" s="77">
        <v>3975</v>
      </c>
      <c r="M71" s="77">
        <v>3975</v>
      </c>
      <c r="N71" s="77">
        <v>3975</v>
      </c>
      <c r="R71" s="6">
        <f>SUM(C71:N71)</f>
        <v>47100</v>
      </c>
      <c r="X71" s="13"/>
      <c r="Y71" s="6"/>
    </row>
    <row r="72" spans="1:31">
      <c r="A72" s="4">
        <v>61</v>
      </c>
      <c r="B72" s="2" t="s">
        <v>2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R72" s="6">
        <f>SUM(C72:N72)</f>
        <v>0</v>
      </c>
      <c r="X72" s="13"/>
      <c r="Y72" s="6"/>
    </row>
    <row r="73" spans="1:31">
      <c r="A73" s="4">
        <v>62</v>
      </c>
      <c r="B73" s="2" t="s">
        <v>39</v>
      </c>
      <c r="C73" s="36">
        <v>397640.08999999991</v>
      </c>
      <c r="D73" s="36">
        <v>442351.85199999996</v>
      </c>
      <c r="E73" s="36">
        <v>463474.78000000009</v>
      </c>
      <c r="F73" s="36">
        <v>463884.10000000003</v>
      </c>
      <c r="G73" s="36">
        <v>486045.31699999992</v>
      </c>
      <c r="H73" s="36">
        <v>445164.79100000003</v>
      </c>
      <c r="I73" s="36">
        <v>434683.45099999994</v>
      </c>
      <c r="J73" s="36">
        <v>424391.45600000001</v>
      </c>
      <c r="K73" s="36">
        <v>423536.50999999995</v>
      </c>
      <c r="L73" s="36">
        <v>416313.16300000006</v>
      </c>
      <c r="M73" s="36">
        <v>401974.18699999986</v>
      </c>
      <c r="N73" s="36">
        <v>388998.01500000001</v>
      </c>
      <c r="P73" s="6">
        <f>SUM(C73:N73)</f>
        <v>5188457.7119999994</v>
      </c>
      <c r="Q73" s="13">
        <f>'Rate Design'!G34</f>
        <v>0.95569999999999999</v>
      </c>
      <c r="R73" s="6">
        <f>P73*Q73</f>
        <v>4958609.0353583992</v>
      </c>
      <c r="T73"/>
      <c r="U73"/>
      <c r="V73"/>
      <c r="W73"/>
      <c r="X73"/>
      <c r="Y73"/>
      <c r="Z73"/>
      <c r="AA73"/>
      <c r="AB73"/>
      <c r="AC73"/>
      <c r="AD73"/>
      <c r="AE73"/>
    </row>
    <row r="74" spans="1:31">
      <c r="A74" s="4">
        <v>63</v>
      </c>
      <c r="B74" s="2" t="s">
        <v>40</v>
      </c>
      <c r="C74" s="36">
        <v>247659.10700000005</v>
      </c>
      <c r="D74" s="36">
        <v>313000.67499999999</v>
      </c>
      <c r="E74" s="36">
        <v>310632.62900000002</v>
      </c>
      <c r="F74" s="36">
        <v>314147.96799999994</v>
      </c>
      <c r="G74" s="36">
        <v>354311.09900000005</v>
      </c>
      <c r="H74" s="36">
        <v>308383.99300000007</v>
      </c>
      <c r="I74" s="36">
        <v>319776.386</v>
      </c>
      <c r="J74" s="36">
        <v>277573.55499999993</v>
      </c>
      <c r="K74" s="36">
        <v>270524.43799999997</v>
      </c>
      <c r="L74" s="36">
        <v>272196.22100000002</v>
      </c>
      <c r="M74" s="36">
        <v>245261.25299999994</v>
      </c>
      <c r="N74" s="36">
        <v>173601.33800000002</v>
      </c>
      <c r="P74" s="6">
        <f>SUM(C74:N74)</f>
        <v>3407068.6620000005</v>
      </c>
      <c r="Q74" s="13">
        <f>'Rate Design'!G35</f>
        <v>0.78369999999999995</v>
      </c>
      <c r="R74" s="6">
        <f>P74*Q74</f>
        <v>2670119.7104094001</v>
      </c>
      <c r="T74"/>
      <c r="U74"/>
      <c r="V74"/>
      <c r="W74"/>
      <c r="X74"/>
      <c r="Y74"/>
      <c r="Z74"/>
      <c r="AA74"/>
      <c r="AB74"/>
      <c r="AC74"/>
      <c r="AD74"/>
      <c r="AE74"/>
    </row>
    <row r="75" spans="1:31">
      <c r="A75" s="4">
        <v>64</v>
      </c>
      <c r="B75" s="21" t="s">
        <v>53</v>
      </c>
      <c r="C75" s="466">
        <f>SUM(C73:C74)</f>
        <v>645299.19699999993</v>
      </c>
      <c r="D75" s="466">
        <f t="shared" ref="D75:N75" si="11">SUM(D73:D74)</f>
        <v>755352.527</v>
      </c>
      <c r="E75" s="466">
        <f t="shared" si="11"/>
        <v>774107.4090000001</v>
      </c>
      <c r="F75" s="466">
        <f t="shared" si="11"/>
        <v>778032.06799999997</v>
      </c>
      <c r="G75" s="466">
        <f t="shared" si="11"/>
        <v>840356.41599999997</v>
      </c>
      <c r="H75" s="466">
        <f t="shared" si="11"/>
        <v>753548.7840000001</v>
      </c>
      <c r="I75" s="466">
        <f t="shared" si="11"/>
        <v>754459.83699999994</v>
      </c>
      <c r="J75" s="466">
        <f t="shared" si="11"/>
        <v>701965.01099999994</v>
      </c>
      <c r="K75" s="466">
        <f t="shared" si="11"/>
        <v>694060.94799999986</v>
      </c>
      <c r="L75" s="466">
        <f t="shared" si="11"/>
        <v>688509.38400000008</v>
      </c>
      <c r="M75" s="466">
        <f t="shared" si="11"/>
        <v>647235.43999999983</v>
      </c>
      <c r="N75" s="466">
        <f t="shared" si="11"/>
        <v>562599.353</v>
      </c>
      <c r="O75" s="20">
        <f>O69</f>
        <v>844</v>
      </c>
      <c r="P75" s="20">
        <f>SUM(P73:P74)</f>
        <v>8595526.3739999998</v>
      </c>
      <c r="Q75" s="21"/>
      <c r="R75" s="467">
        <f>SUM(R69:R74)</f>
        <v>8156308.7457677992</v>
      </c>
      <c r="X75" s="13"/>
      <c r="Y75" s="6"/>
    </row>
    <row r="76" spans="1:31">
      <c r="A76" s="4">
        <v>65</v>
      </c>
      <c r="R76" s="192"/>
      <c r="X76" s="13"/>
      <c r="Y76" s="6"/>
    </row>
    <row r="77" spans="1:31">
      <c r="A77" s="4">
        <v>66</v>
      </c>
      <c r="B77" s="23" t="s">
        <v>64</v>
      </c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R77" s="77"/>
      <c r="X77" s="13"/>
      <c r="Y77" s="6"/>
    </row>
    <row r="78" spans="1:31">
      <c r="A78" s="4">
        <v>67</v>
      </c>
      <c r="B78" s="2" t="s">
        <v>61</v>
      </c>
      <c r="C78" s="43">
        <v>13.346153846153847</v>
      </c>
      <c r="D78" s="43">
        <v>13.346153846153847</v>
      </c>
      <c r="E78" s="43">
        <v>13.346153846153847</v>
      </c>
      <c r="F78" s="43">
        <v>13.346153846153847</v>
      </c>
      <c r="G78" s="43">
        <v>13.346153846153847</v>
      </c>
      <c r="H78" s="43">
        <v>13.346153846153847</v>
      </c>
      <c r="I78" s="43">
        <v>14.346153846153847</v>
      </c>
      <c r="J78" s="43">
        <v>14.346153846153847</v>
      </c>
      <c r="K78" s="43">
        <v>14.346153846153847</v>
      </c>
      <c r="L78" s="43">
        <v>14.346153846153847</v>
      </c>
      <c r="M78" s="43">
        <v>13.346153846153847</v>
      </c>
      <c r="N78" s="43">
        <v>13.346153846153847</v>
      </c>
      <c r="O78" s="6">
        <f>SUM(C78:N78)</f>
        <v>164.1538461538461</v>
      </c>
      <c r="P78" s="4"/>
      <c r="Q78" s="44">
        <f>'Rate Design'!E16</f>
        <v>520</v>
      </c>
      <c r="R78" s="3">
        <f>O78*Q78</f>
        <v>85359.999999999971</v>
      </c>
      <c r="S78" s="3"/>
      <c r="X78" s="13"/>
      <c r="Y78" s="6"/>
    </row>
    <row r="79" spans="1:31">
      <c r="A79" s="4">
        <v>68</v>
      </c>
      <c r="B79" s="2" t="s">
        <v>1</v>
      </c>
      <c r="C79" s="77">
        <v>650</v>
      </c>
      <c r="D79" s="77">
        <v>650</v>
      </c>
      <c r="E79" s="77">
        <v>650</v>
      </c>
      <c r="F79" s="77">
        <v>650</v>
      </c>
      <c r="G79" s="77">
        <v>650</v>
      </c>
      <c r="H79" s="77">
        <v>650</v>
      </c>
      <c r="I79" s="77">
        <v>700</v>
      </c>
      <c r="J79" s="77">
        <v>700</v>
      </c>
      <c r="K79" s="77">
        <v>700</v>
      </c>
      <c r="L79" s="77">
        <v>700</v>
      </c>
      <c r="M79" s="77">
        <v>650</v>
      </c>
      <c r="N79" s="77">
        <v>650</v>
      </c>
      <c r="R79" s="6">
        <f>SUM(C79:N79)</f>
        <v>8000</v>
      </c>
      <c r="X79" s="13"/>
      <c r="Y79" s="6"/>
    </row>
    <row r="80" spans="1:31">
      <c r="A80" s="4">
        <v>69</v>
      </c>
      <c r="B80" s="2" t="s">
        <v>48</v>
      </c>
      <c r="C80" s="77">
        <v>750</v>
      </c>
      <c r="D80" s="77">
        <v>750</v>
      </c>
      <c r="E80" s="77">
        <v>750</v>
      </c>
      <c r="F80" s="77">
        <v>750</v>
      </c>
      <c r="G80" s="77">
        <v>750</v>
      </c>
      <c r="H80" s="77">
        <v>750</v>
      </c>
      <c r="I80" s="77">
        <v>825</v>
      </c>
      <c r="J80" s="77">
        <v>825</v>
      </c>
      <c r="K80" s="77">
        <v>825</v>
      </c>
      <c r="L80" s="77">
        <v>825</v>
      </c>
      <c r="M80" s="77">
        <v>750</v>
      </c>
      <c r="N80" s="77">
        <v>750</v>
      </c>
      <c r="R80" s="6">
        <f>SUM(C80:N80)</f>
        <v>9300</v>
      </c>
      <c r="X80" s="13"/>
      <c r="Y80" s="6"/>
    </row>
    <row r="81" spans="1:24">
      <c r="A81" s="4">
        <v>70</v>
      </c>
      <c r="B81" s="2" t="s">
        <v>559</v>
      </c>
      <c r="C81" s="77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v>0</v>
      </c>
      <c r="K81" s="77">
        <v>0</v>
      </c>
      <c r="L81" s="77">
        <v>0</v>
      </c>
      <c r="M81" s="77">
        <v>0</v>
      </c>
      <c r="N81" s="77">
        <v>0</v>
      </c>
      <c r="R81" s="6">
        <f>SUM(C81:N81)</f>
        <v>0</v>
      </c>
      <c r="X81" s="13"/>
    </row>
    <row r="82" spans="1:24">
      <c r="A82" s="4">
        <v>71</v>
      </c>
      <c r="B82" s="2" t="s">
        <v>65</v>
      </c>
      <c r="C82" s="36">
        <v>1070906.683</v>
      </c>
      <c r="D82" s="36">
        <v>1145895.26</v>
      </c>
      <c r="E82" s="36">
        <v>1197326.7150000001</v>
      </c>
      <c r="F82" s="36">
        <v>1267205.17</v>
      </c>
      <c r="G82" s="36">
        <v>1506121.0560000001</v>
      </c>
      <c r="H82" s="36">
        <v>1364198.1430000002</v>
      </c>
      <c r="I82" s="36">
        <v>1441195.135</v>
      </c>
      <c r="J82" s="36">
        <v>1295904.1180000002</v>
      </c>
      <c r="K82" s="36">
        <v>1248479.0710000002</v>
      </c>
      <c r="L82" s="36">
        <v>1144870.8970000001</v>
      </c>
      <c r="M82" s="36">
        <v>1295397.4870000002</v>
      </c>
      <c r="N82" s="36">
        <v>1197574.175</v>
      </c>
      <c r="P82" s="6">
        <f>SUM(C82:N82)</f>
        <v>15175073.910000002</v>
      </c>
      <c r="Q82" s="37" t="s">
        <v>47</v>
      </c>
      <c r="R82" s="6"/>
      <c r="X82" s="13"/>
    </row>
    <row r="83" spans="1:24">
      <c r="A83" s="4">
        <v>72</v>
      </c>
      <c r="B83" s="2" t="s">
        <v>66</v>
      </c>
      <c r="C83" s="77">
        <v>198183.59</v>
      </c>
      <c r="D83" s="77">
        <v>243680.07</v>
      </c>
      <c r="E83" s="77">
        <v>213683.36</v>
      </c>
      <c r="F83" s="77">
        <v>186162.24999999997</v>
      </c>
      <c r="G83" s="77">
        <v>227311.16000000003</v>
      </c>
      <c r="H83" s="77">
        <v>212627.56</v>
      </c>
      <c r="I83" s="77">
        <v>231041.59</v>
      </c>
      <c r="J83" s="77">
        <v>278118.54000000004</v>
      </c>
      <c r="K83" s="77">
        <v>251729.42</v>
      </c>
      <c r="L83" s="77">
        <v>264887.86000000004</v>
      </c>
      <c r="M83" s="77">
        <v>243563.49000000002</v>
      </c>
      <c r="N83" s="77">
        <v>225098.58</v>
      </c>
      <c r="P83" s="6"/>
      <c r="Q83" s="37"/>
      <c r="R83" s="6">
        <f>SUM(C83:N83)</f>
        <v>2776087.4700000007</v>
      </c>
    </row>
    <row r="84" spans="1:24">
      <c r="A84" s="4">
        <v>73</v>
      </c>
      <c r="B84" s="21" t="s">
        <v>53</v>
      </c>
      <c r="C84" s="466">
        <f>C82</f>
        <v>1070906.683</v>
      </c>
      <c r="D84" s="466">
        <f t="shared" ref="D84:N84" si="12">D82</f>
        <v>1145895.26</v>
      </c>
      <c r="E84" s="466">
        <f t="shared" si="12"/>
        <v>1197326.7150000001</v>
      </c>
      <c r="F84" s="466">
        <f t="shared" si="12"/>
        <v>1267205.17</v>
      </c>
      <c r="G84" s="466">
        <f t="shared" si="12"/>
        <v>1506121.0560000001</v>
      </c>
      <c r="H84" s="466">
        <f t="shared" si="12"/>
        <v>1364198.1430000002</v>
      </c>
      <c r="I84" s="466">
        <f t="shared" si="12"/>
        <v>1441195.135</v>
      </c>
      <c r="J84" s="466">
        <f t="shared" si="12"/>
        <v>1295904.1180000002</v>
      </c>
      <c r="K84" s="466">
        <f t="shared" si="12"/>
        <v>1248479.0710000002</v>
      </c>
      <c r="L84" s="466">
        <f t="shared" si="12"/>
        <v>1144870.8970000001</v>
      </c>
      <c r="M84" s="466">
        <f t="shared" si="12"/>
        <v>1295397.4870000002</v>
      </c>
      <c r="N84" s="466">
        <f t="shared" si="12"/>
        <v>1197574.175</v>
      </c>
      <c r="O84" s="20">
        <f>O78</f>
        <v>164.1538461538461</v>
      </c>
      <c r="P84" s="20">
        <f>P82</f>
        <v>15175073.910000002</v>
      </c>
      <c r="Q84" s="21"/>
      <c r="R84" s="467">
        <f>SUM(R78:R83)</f>
        <v>2878747.4700000007</v>
      </c>
    </row>
    <row r="86" spans="1:24">
      <c r="C86"/>
      <c r="D86"/>
      <c r="E86"/>
      <c r="F86"/>
      <c r="G86"/>
      <c r="H86"/>
      <c r="I86"/>
      <c r="J86"/>
      <c r="K86"/>
      <c r="L86"/>
      <c r="M86"/>
      <c r="N86"/>
      <c r="O86"/>
      <c r="P86" s="275"/>
    </row>
    <row r="87" spans="1:24">
      <c r="A87" s="4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</row>
    <row r="88" spans="1:24">
      <c r="A88" s="4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/>
      <c r="R88" s="36"/>
    </row>
    <row r="89" spans="1:24">
      <c r="A89" s="4"/>
      <c r="B89" s="351" t="s">
        <v>663</v>
      </c>
      <c r="C89" s="351"/>
      <c r="D89" s="351"/>
      <c r="O89" s="6"/>
      <c r="P89"/>
      <c r="R89" s="3"/>
      <c r="S89" s="36"/>
    </row>
    <row r="90" spans="1:24">
      <c r="A90" s="4"/>
      <c r="P90"/>
    </row>
  </sheetData>
  <mergeCells count="3">
    <mergeCell ref="A4:R4"/>
    <mergeCell ref="A5:R5"/>
    <mergeCell ref="A6:R6"/>
  </mergeCells>
  <phoneticPr fontId="7" type="noConversion"/>
  <printOptions horizontalCentered="1"/>
  <pageMargins left="0.25" right="0.25" top="0.75" bottom="0.75" header="0.3" footer="0.3"/>
  <pageSetup scale="65" orientation="landscape" r:id="rId1"/>
  <headerFooter alignWithMargins="0">
    <oddFooter>&amp;C&amp;A&amp;RPage &amp;P</oddFooter>
  </headerFooter>
  <rowBreaks count="2" manualBreakCount="2">
    <brk id="50" max="17" man="1"/>
    <brk id="174" max="16383" man="1"/>
  </rowBreaks>
  <colBreaks count="1" manualBreakCount="1">
    <brk id="18" max="1048575" man="1"/>
  </colBreaks>
  <customProperties>
    <customPr name="_pios_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transitionEntry="1" codeName="Sheet15">
    <pageSetUpPr fitToPage="1"/>
  </sheetPr>
  <dimension ref="A3:U51"/>
  <sheetViews>
    <sheetView zoomScaleNormal="100" workbookViewId="0">
      <selection activeCell="D50" sqref="D50"/>
    </sheetView>
  </sheetViews>
  <sheetFormatPr defaultColWidth="11" defaultRowHeight="15.75"/>
  <cols>
    <col min="1" max="1" width="4.85546875" style="55" customWidth="1"/>
    <col min="2" max="2" width="43.42578125" style="55" bestFit="1" customWidth="1"/>
    <col min="3" max="3" width="16.5703125" style="55" customWidth="1"/>
    <col min="4" max="4" width="15.140625" style="55" bestFit="1" customWidth="1"/>
    <col min="5" max="5" width="15.42578125" style="55" bestFit="1" customWidth="1"/>
    <col min="6" max="6" width="13.42578125" style="55" customWidth="1"/>
    <col min="7" max="7" width="16.5703125" style="55" customWidth="1"/>
    <col min="8" max="8" width="15.42578125" style="55" bestFit="1" customWidth="1"/>
    <col min="9" max="9" width="3.5703125" style="55" customWidth="1"/>
    <col min="10" max="10" width="15.42578125" style="55" customWidth="1"/>
    <col min="11" max="11" width="18.42578125" style="55" customWidth="1"/>
    <col min="12" max="12" width="3.5703125" style="55" customWidth="1"/>
    <col min="13" max="13" width="15.42578125" style="55" bestFit="1" customWidth="1"/>
    <col min="14" max="14" width="3.5703125" style="55" customWidth="1"/>
    <col min="15" max="15" width="11" style="55"/>
    <col min="16" max="16" width="19" style="55" bestFit="1" customWidth="1"/>
    <col min="17" max="17" width="19" style="55" customWidth="1"/>
    <col min="18" max="18" width="21.5703125" style="55" bestFit="1" customWidth="1"/>
    <col min="19" max="19" width="16.140625" style="55" bestFit="1" customWidth="1"/>
    <col min="20" max="20" width="17" style="55" bestFit="1" customWidth="1"/>
    <col min="21" max="22" width="14.5703125" style="55" bestFit="1" customWidth="1"/>
    <col min="23" max="23" width="16.140625" style="55" bestFit="1" customWidth="1"/>
    <col min="24" max="26" width="14.5703125" style="55" bestFit="1" customWidth="1"/>
    <col min="27" max="16384" width="11" style="55"/>
  </cols>
  <sheetData>
    <row r="3" spans="1:21">
      <c r="P3" s="461" t="str">
        <f>CONCATENATE("EXHIBIT ",Dashboard!D16,"-2")</f>
        <v>EXHIBIT TLT-2</v>
      </c>
      <c r="Q3" s="56"/>
    </row>
    <row r="4" spans="1:21">
      <c r="A4" s="669" t="s">
        <v>677</v>
      </c>
      <c r="B4" s="669"/>
      <c r="C4" s="669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  <c r="U4" s="57"/>
    </row>
    <row r="5" spans="1:21">
      <c r="A5" s="670" t="s">
        <v>314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0"/>
      <c r="O5" s="670"/>
      <c r="P5" s="670"/>
      <c r="Q5" s="56"/>
      <c r="U5" s="175"/>
    </row>
    <row r="6" spans="1:21">
      <c r="A6" s="670" t="str">
        <f>"TEST YEAR ENDING "&amp;UPPER(TEXT(Dashboard!D11,"MMMm DD YYYY"))</f>
        <v>TEST YEAR ENDING MARCH 31 2026</v>
      </c>
      <c r="B6" s="670"/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70"/>
      <c r="O6" s="670"/>
      <c r="P6" s="670"/>
      <c r="U6" s="175"/>
    </row>
    <row r="7" spans="1:21">
      <c r="E7" s="172"/>
      <c r="F7" s="172"/>
      <c r="U7" s="61"/>
    </row>
    <row r="8" spans="1:21">
      <c r="J8" s="667" t="s">
        <v>114</v>
      </c>
      <c r="K8" s="667"/>
      <c r="U8" s="176"/>
    </row>
    <row r="9" spans="1:21" ht="16.5" thickBot="1">
      <c r="D9" s="668" t="str">
        <f>"Reference Period - Twelve Months Ending "&amp;TEXT(Dashboard!D8,"MM/DD/YYYY")</f>
        <v>Reference Period - Twelve Months Ending 06/30/2024</v>
      </c>
      <c r="E9" s="668"/>
      <c r="F9" s="668"/>
      <c r="G9" s="668"/>
      <c r="H9" s="668"/>
      <c r="J9" s="668" t="s">
        <v>316</v>
      </c>
      <c r="K9" s="668"/>
      <c r="U9" s="176"/>
    </row>
    <row r="10" spans="1:21" ht="16.5" thickTop="1">
      <c r="E10" s="57"/>
      <c r="F10" s="57" t="s">
        <v>115</v>
      </c>
      <c r="G10" s="57" t="s">
        <v>120</v>
      </c>
      <c r="H10" s="57"/>
      <c r="I10" s="57"/>
      <c r="J10" s="57" t="s">
        <v>77</v>
      </c>
      <c r="K10" s="57" t="s">
        <v>116</v>
      </c>
      <c r="L10" s="57"/>
      <c r="M10" s="57" t="s">
        <v>18</v>
      </c>
      <c r="N10" s="57"/>
      <c r="O10" s="57"/>
      <c r="U10" s="176"/>
    </row>
    <row r="11" spans="1:21">
      <c r="A11" s="57" t="s">
        <v>11</v>
      </c>
      <c r="D11" s="57" t="s">
        <v>118</v>
      </c>
      <c r="E11" s="57" t="s">
        <v>78</v>
      </c>
      <c r="F11" s="57" t="s">
        <v>119</v>
      </c>
      <c r="G11" s="57" t="s">
        <v>78</v>
      </c>
      <c r="H11" s="57" t="s">
        <v>18</v>
      </c>
      <c r="I11" s="57"/>
      <c r="J11" s="57" t="s">
        <v>121</v>
      </c>
      <c r="K11" s="57" t="s">
        <v>122</v>
      </c>
      <c r="L11" s="57"/>
      <c r="M11" s="57" t="s">
        <v>123</v>
      </c>
      <c r="N11" s="57"/>
      <c r="O11" s="57" t="s">
        <v>117</v>
      </c>
      <c r="P11" s="57" t="s">
        <v>117</v>
      </c>
      <c r="Q11" s="57"/>
      <c r="R11" s="57"/>
      <c r="U11" s="176"/>
    </row>
    <row r="12" spans="1:21">
      <c r="A12" s="58" t="s">
        <v>16</v>
      </c>
      <c r="B12" s="58" t="s">
        <v>124</v>
      </c>
      <c r="C12" s="58" t="s">
        <v>125</v>
      </c>
      <c r="D12" s="58" t="s">
        <v>126</v>
      </c>
      <c r="E12" s="58" t="s">
        <v>127</v>
      </c>
      <c r="F12" s="58" t="s">
        <v>78</v>
      </c>
      <c r="G12" s="217" t="s">
        <v>750</v>
      </c>
      <c r="H12" s="58" t="s">
        <v>78</v>
      </c>
      <c r="I12" s="217"/>
      <c r="J12" s="58" t="s">
        <v>128</v>
      </c>
      <c r="K12" s="58" t="s">
        <v>129</v>
      </c>
      <c r="L12" s="58"/>
      <c r="M12" s="58" t="s">
        <v>78</v>
      </c>
      <c r="N12" s="217"/>
      <c r="O12" s="59" t="s">
        <v>51</v>
      </c>
      <c r="P12" s="58" t="s">
        <v>21</v>
      </c>
      <c r="Q12" s="57"/>
      <c r="U12" s="79"/>
    </row>
    <row r="13" spans="1:21">
      <c r="B13" s="57"/>
      <c r="C13" s="57"/>
      <c r="D13" s="57" t="s">
        <v>12</v>
      </c>
      <c r="E13" s="57" t="s">
        <v>13</v>
      </c>
      <c r="F13" s="57" t="s">
        <v>14</v>
      </c>
      <c r="G13" s="57" t="s">
        <v>15</v>
      </c>
      <c r="H13" s="57" t="s">
        <v>80</v>
      </c>
      <c r="I13" s="57"/>
      <c r="J13" s="57" t="s">
        <v>81</v>
      </c>
      <c r="K13" s="57" t="s">
        <v>82</v>
      </c>
      <c r="L13" s="57"/>
      <c r="M13" s="60" t="s">
        <v>84</v>
      </c>
      <c r="O13" s="60" t="s">
        <v>85</v>
      </c>
      <c r="P13" s="60" t="s">
        <v>86</v>
      </c>
      <c r="Q13" s="60"/>
      <c r="R13" s="61"/>
      <c r="T13" s="169"/>
      <c r="U13" s="175"/>
    </row>
    <row r="14" spans="1:21">
      <c r="A14" s="57">
        <v>1</v>
      </c>
      <c r="B14" s="173" t="s">
        <v>130</v>
      </c>
      <c r="R14" s="61"/>
      <c r="S14" s="79"/>
      <c r="U14" s="175"/>
    </row>
    <row r="15" spans="1:21">
      <c r="A15" s="57">
        <v>2</v>
      </c>
      <c r="B15" s="55" t="s">
        <v>472</v>
      </c>
      <c r="C15" s="57" t="s">
        <v>131</v>
      </c>
      <c r="D15" s="61">
        <f>'Bill Frequency'!O13</f>
        <v>1925523</v>
      </c>
      <c r="E15" s="61"/>
      <c r="F15" s="61"/>
      <c r="G15" s="61"/>
      <c r="H15" s="61"/>
      <c r="I15" s="61"/>
      <c r="J15" s="61">
        <f>'Test Year Monthly - (Pres)'!P13-'Test Year Revenue Present'!D15</f>
        <v>0</v>
      </c>
      <c r="K15" s="61"/>
      <c r="L15" s="61"/>
      <c r="M15" s="61"/>
      <c r="N15" s="61"/>
      <c r="O15" s="470">
        <f>'Rate Design'!G12</f>
        <v>19.3</v>
      </c>
      <c r="P15" s="79">
        <f>ROUND(+O15*(D15+F15+J15),0)</f>
        <v>37162594</v>
      </c>
      <c r="Q15" s="79"/>
      <c r="R15" s="61"/>
      <c r="S15" s="177"/>
      <c r="U15" s="61"/>
    </row>
    <row r="16" spans="1:21">
      <c r="A16" s="57">
        <v>3</v>
      </c>
      <c r="C16" s="57" t="s">
        <v>131</v>
      </c>
      <c r="D16" s="61">
        <f>'Bill Frequency'!O20+'Bill Frequency'!O27+'Bill Frequency'!O34</f>
        <v>240271</v>
      </c>
      <c r="E16" s="61"/>
      <c r="F16" s="61">
        <f>+'Contract &amp; Vol Adj'!O20+'Contract &amp; Vol Adj'!O27+'Contract &amp; Vol Adj'!O34</f>
        <v>2</v>
      </c>
      <c r="J16" s="61">
        <f>SUM('Test Year Monthly - (Pres)'!P22,'Test Year Monthly - (Pres)'!P31,'Test Year Monthly - (Pres)'!P40)-D16</f>
        <v>1052</v>
      </c>
      <c r="K16" s="61"/>
      <c r="M16" s="177"/>
      <c r="O16" s="471">
        <f>'Rate Design'!G13</f>
        <v>66</v>
      </c>
      <c r="P16" s="80">
        <f>ROUND(+O16*(D16+F16+J16),0)</f>
        <v>15927450</v>
      </c>
      <c r="Q16" s="80"/>
      <c r="R16" s="61"/>
      <c r="S16" s="177"/>
      <c r="U16" s="176"/>
    </row>
    <row r="17" spans="1:21">
      <c r="A17" s="57">
        <v>4</v>
      </c>
      <c r="C17" s="57" t="s">
        <v>132</v>
      </c>
      <c r="D17" s="61"/>
      <c r="E17" s="61">
        <f>'Bill Frequency'!P21+'Bill Frequency'!P28+'Bill Frequency'!P35+'Bill Frequency'!P14</f>
        <v>13848723.073899999</v>
      </c>
      <c r="F17" s="61">
        <f>'Contract &amp; Vol Adj'!P21+'Contract &amp; Vol Adj'!P28+'Contract &amp; Vol Adj'!P35+'Contract &amp; Vol Adj'!P14</f>
        <v>506.15499999999997</v>
      </c>
      <c r="G17" s="61">
        <f>'WNA Summary'!P14+'WNA Summary'!P21+'WNA Summary'!P28</f>
        <v>1982025.2135244117</v>
      </c>
      <c r="H17" s="61">
        <f>SUM(E17:G17)</f>
        <v>15831254.442424411</v>
      </c>
      <c r="I17" s="61"/>
      <c r="J17" s="61">
        <f>M17-H17</f>
        <v>24087.45171058923</v>
      </c>
      <c r="K17" s="61">
        <v>0</v>
      </c>
      <c r="L17" s="61"/>
      <c r="M17" s="80">
        <f>Q17</f>
        <v>15855341.894135</v>
      </c>
      <c r="N17" s="61"/>
      <c r="O17" s="472">
        <f>'Rate Design'!G23</f>
        <v>1.5483</v>
      </c>
      <c r="P17" s="61">
        <f>ROUND((+M17)*O17,0)</f>
        <v>24548826</v>
      </c>
      <c r="Q17" s="61">
        <f>'Test Year Monthly - (Pres)'!P14+'Test Year Monthly - (Pres)'!P23+'Test Year Monthly - (Pres)'!P32+'Test Year Monthly - (Pres)'!P41</f>
        <v>15855341.894135</v>
      </c>
      <c r="R17" s="61"/>
      <c r="S17" s="177"/>
      <c r="T17" s="65"/>
      <c r="U17" s="65"/>
    </row>
    <row r="18" spans="1:21">
      <c r="A18" s="57">
        <v>5</v>
      </c>
      <c r="B18" s="61"/>
      <c r="C18" s="57" t="s">
        <v>133</v>
      </c>
      <c r="D18" s="61"/>
      <c r="E18" s="61">
        <f>'Bill Frequency'!P22+'Bill Frequency'!P29+'Bill Frequency'!P36+'Bill Frequency'!P15</f>
        <v>1158518.1400000001</v>
      </c>
      <c r="F18" s="61">
        <f>'Contract &amp; Vol Adj'!P15+'Contract &amp; Vol Adj'!P22+'Contract &amp; Vol Adj'!P29+'Contract &amp; Vol Adj'!P36</f>
        <v>-1109.2339999999999</v>
      </c>
      <c r="G18" s="61">
        <f>'WNA Summary'!P15+'WNA Summary'!P22+'WNA Summary'!P29</f>
        <v>64220.786475588378</v>
      </c>
      <c r="H18" s="61">
        <f>SUM(E18:G18)</f>
        <v>1221629.6924755885</v>
      </c>
      <c r="I18" s="61"/>
      <c r="J18" s="61">
        <f>M18-H18</f>
        <v>3822.2009734539315</v>
      </c>
      <c r="K18" s="61">
        <v>0</v>
      </c>
      <c r="L18" s="61"/>
      <c r="M18" s="80">
        <f>Q18</f>
        <v>1225451.8934490425</v>
      </c>
      <c r="N18" s="61"/>
      <c r="O18" s="472">
        <f>'Rate Design'!G24</f>
        <v>1.0762</v>
      </c>
      <c r="P18" s="61">
        <f>ROUND((+M18)*O18,0)</f>
        <v>1318831</v>
      </c>
      <c r="Q18" s="61">
        <f>'Test Year Monthly - (Pres)'!P15+'Test Year Monthly - (Pres)'!P24+'Test Year Monthly - (Pres)'!P33+'Test Year Monthly - (Pres)'!P42</f>
        <v>1225451.8934490425</v>
      </c>
      <c r="R18" s="61"/>
      <c r="S18" s="177"/>
      <c r="U18" s="65"/>
    </row>
    <row r="19" spans="1:21">
      <c r="A19" s="57">
        <v>6</v>
      </c>
      <c r="B19" s="218"/>
      <c r="C19" s="57" t="s">
        <v>134</v>
      </c>
      <c r="D19" s="61"/>
      <c r="E19" s="61">
        <f>'Bill Frequency'!P23+'Bill Frequency'!P30+'Bill Frequency'!P37+'Bill Frequency'!P16</f>
        <v>0</v>
      </c>
      <c r="F19" s="61">
        <f>'Contract &amp; Vol Adj'!P16+'Contract &amp; Vol Adj'!P23+'Contract &amp; Vol Adj'!P30+'Contract &amp; Vol Adj'!P37</f>
        <v>0</v>
      </c>
      <c r="G19" s="61">
        <f>'WNA Summary'!P16+'WNA Summary'!P23+'WNA Summary'!P30</f>
        <v>0</v>
      </c>
      <c r="H19" s="61">
        <f>SUM(E19:G19)</f>
        <v>0</v>
      </c>
      <c r="I19" s="61"/>
      <c r="J19" s="61">
        <v>0</v>
      </c>
      <c r="K19" s="61">
        <v>0</v>
      </c>
      <c r="L19" s="61"/>
      <c r="M19" s="80">
        <f>H19+J19+K19</f>
        <v>0</v>
      </c>
      <c r="N19" s="61"/>
      <c r="O19" s="472">
        <f>'Rate Design'!G25</f>
        <v>0.88880000000000003</v>
      </c>
      <c r="P19" s="61">
        <f>ROUND((+M19)*O19,0)</f>
        <v>0</v>
      </c>
      <c r="Q19" s="61"/>
      <c r="R19" s="61"/>
      <c r="S19" s="177"/>
    </row>
    <row r="20" spans="1:21">
      <c r="A20" s="57">
        <v>7</v>
      </c>
      <c r="B20" s="55" t="s">
        <v>473</v>
      </c>
      <c r="C20" s="57" t="s">
        <v>131</v>
      </c>
      <c r="D20" s="61">
        <f>'Bill Frequency'!O41+'Bill Frequency'!O47</f>
        <v>105</v>
      </c>
      <c r="E20" s="61"/>
      <c r="F20" s="61">
        <f>'Contract &amp; Vol Adj'!O41+'Contract &amp; Vol Adj'!O47</f>
        <v>0</v>
      </c>
      <c r="G20" s="61"/>
      <c r="H20" s="61"/>
      <c r="I20" s="61"/>
      <c r="J20" s="61"/>
      <c r="K20" s="61"/>
      <c r="L20" s="61"/>
      <c r="M20" s="80"/>
      <c r="N20" s="61"/>
      <c r="O20" s="471">
        <f>'Rate Design'!G14</f>
        <v>520</v>
      </c>
      <c r="P20" s="80">
        <f>ROUND(+O20*(D20+F20+J20),0)</f>
        <v>54600</v>
      </c>
      <c r="Q20" s="80"/>
      <c r="R20" s="63" t="s">
        <v>505</v>
      </c>
      <c r="S20" s="178" t="s">
        <v>503</v>
      </c>
      <c r="T20" s="179" t="s">
        <v>504</v>
      </c>
      <c r="U20" s="59" t="s">
        <v>134</v>
      </c>
    </row>
    <row r="21" spans="1:21">
      <c r="A21" s="57">
        <v>8</v>
      </c>
      <c r="B21" s="174"/>
      <c r="C21" s="57" t="s">
        <v>135</v>
      </c>
      <c r="D21" s="61"/>
      <c r="E21" s="61">
        <f>'Bill Frequency'!P42+'Bill Frequency'!P48</f>
        <v>28777.741700000002</v>
      </c>
      <c r="F21" s="61">
        <f>'Contract &amp; Vol Adj'!P42+'Contract &amp; Vol Adj'!P48</f>
        <v>0</v>
      </c>
      <c r="G21" s="61"/>
      <c r="H21" s="61">
        <f>SUM(E21:G21)</f>
        <v>28777.741700000002</v>
      </c>
      <c r="I21" s="61"/>
      <c r="J21" s="61"/>
      <c r="K21" s="61"/>
      <c r="L21" s="61"/>
      <c r="M21" s="80">
        <f>H21+J21+K21</f>
        <v>28777.741700000002</v>
      </c>
      <c r="N21" s="61"/>
      <c r="O21" s="472">
        <f>'Rate Design'!G31</f>
        <v>0.95569999999999999</v>
      </c>
      <c r="P21" s="61">
        <f>ROUND((+M21)*O21,0)</f>
        <v>27503</v>
      </c>
      <c r="Q21" s="61"/>
      <c r="R21" s="61" t="s">
        <v>68</v>
      </c>
      <c r="S21" s="62">
        <f>'Bill Frequency'!P14+'Contract &amp; Vol Adj'!P14+'WNA Summary'!P14</f>
        <v>9938592.6546</v>
      </c>
      <c r="T21" s="61">
        <f>'Bill Frequency'!P15+'Contract &amp; Vol Adj'!P15+'WNA Summary'!P15</f>
        <v>0</v>
      </c>
      <c r="U21" s="61">
        <f>'Bill Frequency'!P16+'Contract &amp; Vol Adj'!P16+'WNA Summary'!P16</f>
        <v>0</v>
      </c>
    </row>
    <row r="22" spans="1:21">
      <c r="A22" s="57">
        <v>9</v>
      </c>
      <c r="C22" s="57" t="s">
        <v>134</v>
      </c>
      <c r="D22" s="61"/>
      <c r="E22" s="61">
        <f>'Bill Frequency'!P43+'Bill Frequency'!P49</f>
        <v>183933.29300000001</v>
      </c>
      <c r="F22" s="61">
        <f>'Contract &amp; Vol Adj'!P43+'Contract &amp; Vol Adj'!P49</f>
        <v>0</v>
      </c>
      <c r="G22" s="61"/>
      <c r="H22" s="61">
        <f>SUM(E22:G22)</f>
        <v>183933.29300000001</v>
      </c>
      <c r="I22" s="61"/>
      <c r="J22" s="61"/>
      <c r="K22" s="61"/>
      <c r="L22" s="61"/>
      <c r="M22" s="80">
        <f>H22+J22+K22</f>
        <v>183933.29300000001</v>
      </c>
      <c r="N22" s="61"/>
      <c r="O22" s="472">
        <f>'Rate Design'!G32</f>
        <v>0.78369999999999995</v>
      </c>
      <c r="P22" s="61">
        <f>ROUND((+M22)*O22,0)</f>
        <v>144149</v>
      </c>
      <c r="Q22" s="61"/>
      <c r="R22" s="61" t="s">
        <v>96</v>
      </c>
      <c r="S22" s="62">
        <f>'Bill Frequency'!P21+'Contract &amp; Vol Adj'!P21+'WNA Summary'!P21</f>
        <v>4835490.1132525513</v>
      </c>
      <c r="T22" s="61">
        <f>'Bill Frequency'!P22+'Contract &amp; Vol Adj'!P22+'WNA Summary'!P22</f>
        <v>743928.41324744804</v>
      </c>
      <c r="U22" s="61">
        <f>'Bill Frequency'!P23+'Contract &amp; Vol Adj'!P23+'WNA Summary'!P23</f>
        <v>0</v>
      </c>
    </row>
    <row r="23" spans="1:21">
      <c r="A23" s="57">
        <v>10</v>
      </c>
      <c r="B23" s="219"/>
      <c r="C23" s="220"/>
      <c r="D23" s="78"/>
      <c r="E23" s="78"/>
      <c r="F23" s="78"/>
      <c r="G23" s="219"/>
      <c r="H23" s="78"/>
      <c r="I23" s="78"/>
      <c r="J23" s="78"/>
      <c r="K23" s="78"/>
      <c r="L23" s="78"/>
      <c r="M23" s="236"/>
      <c r="N23" s="78"/>
      <c r="O23" s="221"/>
      <c r="P23" s="78"/>
      <c r="Q23" s="78"/>
      <c r="R23" s="61" t="s">
        <v>286</v>
      </c>
      <c r="S23" s="177">
        <f>'Bill Frequency'!P28+'Contract &amp; Vol Adj'!P28</f>
        <v>271548.57160000002</v>
      </c>
      <c r="T23" s="61">
        <f>'Bill Frequency'!P29+'Contract &amp; Vol Adj'!P29</f>
        <v>347933.06599999999</v>
      </c>
      <c r="U23" s="61">
        <f>'Bill Frequency'!P30+'Contract &amp; Vol Adj'!P30</f>
        <v>0</v>
      </c>
    </row>
    <row r="24" spans="1:21">
      <c r="A24" s="57">
        <v>11</v>
      </c>
      <c r="B24" s="173" t="s">
        <v>52</v>
      </c>
      <c r="M24" s="177"/>
      <c r="P24" s="61"/>
      <c r="Q24" s="61"/>
      <c r="R24" s="63" t="s">
        <v>502</v>
      </c>
      <c r="S24" s="63">
        <f>'Bill Frequency'!P35+'Contract &amp; Vol Adj'!P35+'WNA Summary'!P28</f>
        <v>785623.10297185951</v>
      </c>
      <c r="T24" s="63">
        <f>'Bill Frequency'!P36+'Contract &amp; Vol Adj'!P36+'WNA Summary'!P29</f>
        <v>129768.21322814036</v>
      </c>
      <c r="U24" s="63">
        <f>'Bill Frequency'!P37+'Contract &amp; Vol Adj'!P37+'WNA Summary'!P30</f>
        <v>0</v>
      </c>
    </row>
    <row r="25" spans="1:21">
      <c r="A25" s="57">
        <v>12</v>
      </c>
      <c r="B25" s="55" t="s">
        <v>477</v>
      </c>
      <c r="C25" s="57" t="s">
        <v>131</v>
      </c>
      <c r="D25" s="61">
        <f>'Bill Frequency'!O53</f>
        <v>1434.153846153846</v>
      </c>
      <c r="F25" s="92">
        <f>'Contract &amp; Vol Adj'!O53</f>
        <v>-19</v>
      </c>
      <c r="H25" s="61"/>
      <c r="I25" s="61"/>
      <c r="J25" s="61"/>
      <c r="K25" s="61"/>
      <c r="L25" s="61"/>
      <c r="M25" s="80"/>
      <c r="N25" s="61"/>
      <c r="O25" s="471">
        <f>'Rate Design'!G15</f>
        <v>520</v>
      </c>
      <c r="P25" s="61">
        <f>ROUND(+O25*(D25+F25),0)</f>
        <v>735880</v>
      </c>
      <c r="Q25" s="61"/>
      <c r="R25" s="61"/>
      <c r="S25" s="62">
        <f>SUM(S21:S24)</f>
        <v>15831254.442424411</v>
      </c>
      <c r="T25" s="62">
        <f>SUM(T21:T24)</f>
        <v>1221629.6924755883</v>
      </c>
      <c r="U25" s="61">
        <f>SUM(U21:U24)</f>
        <v>0</v>
      </c>
    </row>
    <row r="26" spans="1:21">
      <c r="A26" s="57">
        <v>13</v>
      </c>
      <c r="B26" s="55" t="s">
        <v>476</v>
      </c>
      <c r="C26" s="57" t="s">
        <v>131</v>
      </c>
      <c r="D26" s="61">
        <f>'Bill Frequency'!O69</f>
        <v>844</v>
      </c>
      <c r="F26" s="92">
        <f>'Contract &amp; Vol Adj'!O69</f>
        <v>8</v>
      </c>
      <c r="H26" s="61"/>
      <c r="I26" s="61"/>
      <c r="J26" s="61"/>
      <c r="K26" s="61"/>
      <c r="L26" s="61"/>
      <c r="M26" s="61"/>
      <c r="N26" s="61"/>
      <c r="O26" s="471">
        <f>'Rate Design'!G16</f>
        <v>520</v>
      </c>
      <c r="P26" s="61">
        <f>ROUND(+O26*(D26+F26),0)</f>
        <v>443040</v>
      </c>
      <c r="Q26" s="61"/>
      <c r="S26" s="62"/>
    </row>
    <row r="27" spans="1:21">
      <c r="A27" s="57">
        <v>14</v>
      </c>
      <c r="B27" s="55" t="s">
        <v>478</v>
      </c>
      <c r="C27" s="57" t="s">
        <v>131</v>
      </c>
      <c r="D27" s="473">
        <f>'Bill Frequency'!O78</f>
        <v>164.1538461538461</v>
      </c>
      <c r="F27" s="474">
        <f>'Contract &amp; Vol Adj'!O78</f>
        <v>-10</v>
      </c>
      <c r="O27" s="471">
        <f>'Rate Design'!E16</f>
        <v>520</v>
      </c>
      <c r="P27" s="61">
        <f>ROUND(+O27*(D27+F27),0)</f>
        <v>80160</v>
      </c>
      <c r="Q27" s="61"/>
      <c r="R27" s="180" t="s">
        <v>506</v>
      </c>
      <c r="S27" s="180"/>
      <c r="T27" s="180"/>
      <c r="U27" s="180"/>
    </row>
    <row r="28" spans="1:21">
      <c r="A28" s="57">
        <v>15</v>
      </c>
      <c r="B28" s="55" t="s">
        <v>136</v>
      </c>
      <c r="C28" s="57" t="s">
        <v>131</v>
      </c>
      <c r="D28" s="177">
        <f>('Bill Frequency'!R54+'Bill Frequency'!R70+'Bill Frequency'!R79)/50</f>
        <v>2423</v>
      </c>
      <c r="F28" s="92">
        <f>(+'Contract &amp; Vol Adj'!R54+'Contract &amp; Vol Adj'!R70+'Contract &amp; Vol Adj'!R79)/50</f>
        <v>-21</v>
      </c>
      <c r="H28" s="61"/>
      <c r="I28" s="61"/>
      <c r="J28" s="61"/>
      <c r="K28" s="61"/>
      <c r="L28" s="61"/>
      <c r="M28" s="61"/>
      <c r="N28" s="61"/>
      <c r="O28" s="471">
        <f>'Rate Design'!G37</f>
        <v>50</v>
      </c>
      <c r="P28" s="61">
        <f>ROUND(+O28*(D28+F28),0)</f>
        <v>120100</v>
      </c>
      <c r="Q28" s="61"/>
      <c r="R28" s="61" t="s">
        <v>68</v>
      </c>
      <c r="S28" s="62">
        <f>'Test Year Monthly - (Pres)'!P14</f>
        <v>9938592.8194675054</v>
      </c>
      <c r="T28" s="62">
        <f>'Test Year Monthly - (Pres)'!P15</f>
        <v>0</v>
      </c>
      <c r="U28" s="61">
        <f>'Test Year Monthly - (Pres)'!P16</f>
        <v>0</v>
      </c>
    </row>
    <row r="29" spans="1:21">
      <c r="A29" s="57">
        <v>16</v>
      </c>
      <c r="B29" s="55" t="s">
        <v>430</v>
      </c>
      <c r="E29" s="177">
        <f>(+'Bill Frequency'!R56+'Bill Frequency'!R72+'Bill Frequency'!R81)/0.1</f>
        <v>0</v>
      </c>
      <c r="F29" s="92">
        <f>(+'Contract &amp; Vol Adj'!R56+'Contract &amp; Vol Adj'!R72+'Contract &amp; Vol Adj'!R81)/0.1</f>
        <v>0</v>
      </c>
      <c r="O29" s="471">
        <f>'Rate Design'!G38</f>
        <v>0</v>
      </c>
      <c r="P29" s="61">
        <f>ROUND((+E29+G29+F29)*O29,0)</f>
        <v>0</v>
      </c>
      <c r="Q29" s="61"/>
      <c r="R29" s="61" t="s">
        <v>96</v>
      </c>
      <c r="S29" s="62">
        <f>'Test Year Monthly - (Pres)'!P23</f>
        <v>4859577.4000956351</v>
      </c>
      <c r="T29" s="62">
        <f>'Test Year Monthly - (Pres)'!P24</f>
        <v>747750.61422090186</v>
      </c>
      <c r="U29" s="61">
        <f>'Test Year Monthly - (Pres)'!P25</f>
        <v>0</v>
      </c>
    </row>
    <row r="30" spans="1:21">
      <c r="A30" s="57">
        <v>17</v>
      </c>
      <c r="B30" s="55" t="s">
        <v>0</v>
      </c>
      <c r="F30" s="92"/>
      <c r="O30" s="56" t="s">
        <v>47</v>
      </c>
      <c r="P30" s="61">
        <f>'Test Year Monthly - (Pres)'!P67+'Test Year Monthly - (Pres)'!P83+'Test Year Monthly - (Pres)'!P92</f>
        <v>139875</v>
      </c>
      <c r="Q30" s="61"/>
      <c r="R30" s="61" t="s">
        <v>286</v>
      </c>
      <c r="S30" s="62">
        <f>'Test Year Monthly - (Pres)'!P32</f>
        <v>271548.57160000002</v>
      </c>
      <c r="T30" s="62">
        <f>'Test Year Monthly - (Pres)'!P33</f>
        <v>347933.06599999999</v>
      </c>
      <c r="U30" s="61">
        <f>'Test Year Monthly - (Pres)'!P34</f>
        <v>0</v>
      </c>
    </row>
    <row r="31" spans="1:21">
      <c r="A31" s="57">
        <v>18</v>
      </c>
      <c r="B31" s="55" t="s">
        <v>474</v>
      </c>
      <c r="C31" s="57" t="s">
        <v>132</v>
      </c>
      <c r="D31" s="61"/>
      <c r="E31" s="61">
        <f>'Bill Frequency'!P57</f>
        <v>403618.49200000003</v>
      </c>
      <c r="F31" s="61">
        <f>'Contract &amp; Vol Adj'!P57</f>
        <v>2866.8629999999998</v>
      </c>
      <c r="G31" s="61"/>
      <c r="H31" s="61">
        <f t="shared" ref="H31:H38" si="0">SUM(E31:G31)</f>
        <v>406485.35500000004</v>
      </c>
      <c r="I31" s="61"/>
      <c r="J31" s="61"/>
      <c r="K31" s="61"/>
      <c r="L31" s="61"/>
      <c r="M31" s="61">
        <f t="shared" ref="M31:M38" si="1">H31+J31+K31</f>
        <v>406485.35500000004</v>
      </c>
      <c r="N31" s="61"/>
      <c r="O31" s="472">
        <f>'Rate Design'!G27</f>
        <v>1.5483</v>
      </c>
      <c r="P31" s="61">
        <f t="shared" ref="P31:P37" si="2">ROUND((+M31)*O31,0)</f>
        <v>629361</v>
      </c>
      <c r="Q31" s="61"/>
      <c r="R31" s="63" t="s">
        <v>502</v>
      </c>
      <c r="S31" s="171">
        <f>'Test Year Monthly - (Pres)'!P41</f>
        <v>785623.10297185974</v>
      </c>
      <c r="T31" s="171">
        <f>'Test Year Monthly - (Pres)'!P42</f>
        <v>129768.21322814038</v>
      </c>
      <c r="U31" s="63">
        <f>'Test Year Monthly - (Pres)'!P43</f>
        <v>0</v>
      </c>
    </row>
    <row r="32" spans="1:21">
      <c r="A32" s="57">
        <v>19</v>
      </c>
      <c r="C32" s="57" t="s">
        <v>133</v>
      </c>
      <c r="D32" s="61"/>
      <c r="E32" s="61">
        <f>'Bill Frequency'!P58</f>
        <v>5765683.6959999995</v>
      </c>
      <c r="F32" s="61">
        <f>'Contract &amp; Vol Adj'!P58</f>
        <v>21095.910702380952</v>
      </c>
      <c r="G32" s="61"/>
      <c r="H32" s="61">
        <f t="shared" si="0"/>
        <v>5786779.6067023808</v>
      </c>
      <c r="I32" s="61"/>
      <c r="J32" s="61"/>
      <c r="K32" s="61"/>
      <c r="L32" s="61"/>
      <c r="M32" s="61">
        <f t="shared" si="1"/>
        <v>5786779.6067023808</v>
      </c>
      <c r="N32" s="61"/>
      <c r="O32" s="472">
        <f>'Rate Design'!G28</f>
        <v>1.0762</v>
      </c>
      <c r="P32" s="61">
        <f t="shared" si="2"/>
        <v>6227732</v>
      </c>
      <c r="Q32" s="61"/>
      <c r="R32" s="61"/>
      <c r="S32" s="62">
        <f>SUM(S28:S31)</f>
        <v>15855341.894135</v>
      </c>
      <c r="T32" s="65">
        <f>SUM(T28:T31)</f>
        <v>1225451.8934490425</v>
      </c>
      <c r="U32" s="61">
        <f>SUM(U28:U31)</f>
        <v>0</v>
      </c>
    </row>
    <row r="33" spans="1:21">
      <c r="A33" s="57">
        <v>20</v>
      </c>
      <c r="C33" s="57" t="s">
        <v>134</v>
      </c>
      <c r="D33" s="61"/>
      <c r="E33" s="61">
        <f>'Bill Frequency'!P59</f>
        <v>1721057.504</v>
      </c>
      <c r="F33" s="61">
        <f>'Contract &amp; Vol Adj'!P59</f>
        <v>-4252.2380000000012</v>
      </c>
      <c r="G33" s="61"/>
      <c r="H33" s="61">
        <f t="shared" si="0"/>
        <v>1716805.2660000001</v>
      </c>
      <c r="I33" s="61"/>
      <c r="J33" s="61"/>
      <c r="K33" s="61"/>
      <c r="L33" s="61"/>
      <c r="M33" s="61">
        <f t="shared" si="1"/>
        <v>1716805.2660000001</v>
      </c>
      <c r="N33" s="61"/>
      <c r="O33" s="472">
        <f>'Rate Design'!G29</f>
        <v>0.88880000000000003</v>
      </c>
      <c r="P33" s="61">
        <f t="shared" si="2"/>
        <v>1525897</v>
      </c>
      <c r="Q33" s="61"/>
    </row>
    <row r="34" spans="1:21">
      <c r="A34" s="57">
        <v>21</v>
      </c>
      <c r="B34" s="55" t="s">
        <v>573</v>
      </c>
      <c r="C34" s="57" t="s">
        <v>133</v>
      </c>
      <c r="D34" s="61"/>
      <c r="E34" s="61">
        <f>'Bill Frequency'!P64</f>
        <v>0</v>
      </c>
      <c r="F34" s="61">
        <f>'Contract &amp; Vol Adj'!P64</f>
        <v>0</v>
      </c>
      <c r="G34" s="61"/>
      <c r="H34" s="61">
        <f t="shared" si="0"/>
        <v>0</v>
      </c>
      <c r="I34" s="61"/>
      <c r="J34" s="61"/>
      <c r="K34" s="61"/>
      <c r="L34" s="61"/>
      <c r="M34" s="61">
        <f t="shared" si="1"/>
        <v>0</v>
      </c>
      <c r="N34" s="61"/>
      <c r="O34" s="472">
        <f>'Rate Design'!T28</f>
        <v>0.80715000000000003</v>
      </c>
      <c r="P34" s="61">
        <f t="shared" si="2"/>
        <v>0</v>
      </c>
      <c r="Q34" s="61"/>
    </row>
    <row r="35" spans="1:21">
      <c r="A35" s="57">
        <v>22</v>
      </c>
      <c r="C35" s="57" t="s">
        <v>134</v>
      </c>
      <c r="D35" s="61"/>
      <c r="E35" s="61">
        <f>'Bill Frequency'!P65</f>
        <v>0</v>
      </c>
      <c r="F35" s="61">
        <f>'Contract &amp; Vol Adj'!P65</f>
        <v>0</v>
      </c>
      <c r="G35" s="61"/>
      <c r="H35" s="61">
        <f t="shared" si="0"/>
        <v>0</v>
      </c>
      <c r="I35" s="61"/>
      <c r="J35" s="61"/>
      <c r="K35" s="61"/>
      <c r="L35" s="61"/>
      <c r="M35" s="61">
        <f t="shared" si="1"/>
        <v>0</v>
      </c>
      <c r="N35" s="61"/>
      <c r="O35" s="472">
        <f>'Rate Design'!T29</f>
        <v>0.66660000000000008</v>
      </c>
      <c r="P35" s="61">
        <f t="shared" si="2"/>
        <v>0</v>
      </c>
      <c r="Q35" s="61"/>
    </row>
    <row r="36" spans="1:21">
      <c r="A36" s="57">
        <v>23</v>
      </c>
      <c r="B36" s="55" t="s">
        <v>475</v>
      </c>
      <c r="C36" s="57" t="s">
        <v>135</v>
      </c>
      <c r="D36" s="61"/>
      <c r="E36" s="61">
        <f>'Bill Frequency'!P73</f>
        <v>5188457.7119999994</v>
      </c>
      <c r="F36" s="61">
        <f>'Contract &amp; Vol Adj'!P73</f>
        <v>18957.173999999999</v>
      </c>
      <c r="G36" s="61"/>
      <c r="H36" s="61">
        <f t="shared" si="0"/>
        <v>5207414.885999999</v>
      </c>
      <c r="I36" s="61"/>
      <c r="J36" s="61"/>
      <c r="K36" s="61"/>
      <c r="L36" s="61"/>
      <c r="M36" s="61">
        <f t="shared" si="1"/>
        <v>5207414.885999999</v>
      </c>
      <c r="N36" s="61"/>
      <c r="O36" s="472">
        <f>'Rate Design'!G34</f>
        <v>0.95569999999999999</v>
      </c>
      <c r="P36" s="61">
        <f t="shared" si="2"/>
        <v>4976726</v>
      </c>
      <c r="Q36" s="61"/>
      <c r="R36" s="63" t="s">
        <v>50</v>
      </c>
      <c r="S36" s="171"/>
      <c r="T36" s="180"/>
      <c r="U36" s="180"/>
    </row>
    <row r="37" spans="1:21">
      <c r="A37" s="57">
        <v>24</v>
      </c>
      <c r="C37" s="57" t="s">
        <v>134</v>
      </c>
      <c r="D37" s="61"/>
      <c r="E37" s="61">
        <f>'Bill Frequency'!P74</f>
        <v>3407068.6620000005</v>
      </c>
      <c r="F37" s="61">
        <f>'Contract &amp; Vol Adj'!P74</f>
        <v>0</v>
      </c>
      <c r="G37" s="61"/>
      <c r="H37" s="61">
        <f t="shared" si="0"/>
        <v>3407068.6620000005</v>
      </c>
      <c r="I37" s="61"/>
      <c r="J37" s="61"/>
      <c r="K37" s="61"/>
      <c r="L37" s="61"/>
      <c r="M37" s="61">
        <f t="shared" si="1"/>
        <v>3407068.6620000005</v>
      </c>
      <c r="N37" s="61"/>
      <c r="O37" s="472">
        <f>'Rate Design'!G35</f>
        <v>0.78369999999999995</v>
      </c>
      <c r="P37" s="61">
        <f t="shared" si="2"/>
        <v>2670120</v>
      </c>
      <c r="Q37" s="61"/>
      <c r="R37" s="61" t="s">
        <v>68</v>
      </c>
      <c r="S37" s="62">
        <f>S28-S21</f>
        <v>0.16486750543117523</v>
      </c>
      <c r="T37" s="62">
        <f>T28-T21</f>
        <v>0</v>
      </c>
      <c r="U37" s="62">
        <f>U28-U21</f>
        <v>0</v>
      </c>
    </row>
    <row r="38" spans="1:21">
      <c r="A38" s="57">
        <v>25</v>
      </c>
      <c r="B38" s="55" t="s">
        <v>431</v>
      </c>
      <c r="D38" s="61"/>
      <c r="E38" s="61">
        <f>'Bill Frequency'!P82</f>
        <v>15175073.910000002</v>
      </c>
      <c r="F38" s="61">
        <f>'Contract &amp; Vol Adj'!P82</f>
        <v>330108.158</v>
      </c>
      <c r="H38" s="61">
        <f t="shared" si="0"/>
        <v>15505182.068000002</v>
      </c>
      <c r="I38" s="61"/>
      <c r="J38" s="61"/>
      <c r="K38" s="61"/>
      <c r="L38" s="61"/>
      <c r="M38" s="61">
        <f t="shared" si="1"/>
        <v>15505182.068000002</v>
      </c>
      <c r="N38" s="61"/>
      <c r="O38" s="56" t="s">
        <v>47</v>
      </c>
      <c r="P38" s="61">
        <f>'Test Year Monthly - (Pres)'!P95-P39</f>
        <v>3022029.63</v>
      </c>
      <c r="Q38" s="61"/>
      <c r="R38" s="61" t="s">
        <v>96</v>
      </c>
      <c r="S38" s="62">
        <f>S29-S22</f>
        <v>24087.286843083799</v>
      </c>
      <c r="T38" s="62">
        <f t="shared" ref="T38:U38" si="3">T29-T22</f>
        <v>3822.2009734538151</v>
      </c>
      <c r="U38" s="62">
        <f t="shared" si="3"/>
        <v>0</v>
      </c>
    </row>
    <row r="39" spans="1:21">
      <c r="A39" s="57">
        <v>26</v>
      </c>
      <c r="D39" s="222"/>
      <c r="E39" s="222"/>
      <c r="F39" s="222"/>
      <c r="G39" s="223"/>
      <c r="H39" s="63"/>
      <c r="I39" s="61"/>
      <c r="J39" s="63"/>
      <c r="K39" s="63"/>
      <c r="L39" s="63"/>
      <c r="M39" s="63"/>
      <c r="N39" s="61"/>
      <c r="O39" s="56"/>
      <c r="P39" s="222"/>
      <c r="Q39" s="61"/>
      <c r="R39" s="61"/>
      <c r="S39" s="62"/>
      <c r="T39" s="62"/>
      <c r="U39" s="62"/>
    </row>
    <row r="40" spans="1:21" ht="16.5" thickBot="1">
      <c r="A40" s="57">
        <v>27</v>
      </c>
      <c r="B40" s="55" t="s">
        <v>137</v>
      </c>
      <c r="D40" s="224">
        <f>SUM(D15:D38)-D28</f>
        <v>2168341.307692308</v>
      </c>
      <c r="E40" s="224">
        <f>SUM((E17:E23),(E31:E38))</f>
        <v>46880912.224600002</v>
      </c>
      <c r="F40" s="224">
        <f>F17+F18+F19+F21+F22+F23+SUM(F31:F38)</f>
        <v>368172.7887023809</v>
      </c>
      <c r="G40" s="224">
        <f>SUM(G14:G38)</f>
        <v>2046246</v>
      </c>
      <c r="H40" s="224">
        <f>SUM(H14:H38)</f>
        <v>49295331.013302386</v>
      </c>
      <c r="I40" s="225"/>
      <c r="J40" s="475">
        <f>SUM(J14:J38)</f>
        <v>28961.652684043162</v>
      </c>
      <c r="K40" s="475">
        <f>SUM(K17:K38)</f>
        <v>0</v>
      </c>
      <c r="L40" s="224"/>
      <c r="M40" s="224">
        <f>SUM(M14:M38)</f>
        <v>49323240.665986434</v>
      </c>
      <c r="N40" s="225"/>
      <c r="P40" s="177">
        <f>SUM(P14:P39)</f>
        <v>99754873.629999995</v>
      </c>
      <c r="Q40" s="62"/>
      <c r="R40" s="61" t="s">
        <v>286</v>
      </c>
      <c r="S40" s="62">
        <f>S30-S23</f>
        <v>0</v>
      </c>
      <c r="T40" s="62">
        <f t="shared" ref="T40:U40" si="4">T30-T23</f>
        <v>0</v>
      </c>
      <c r="U40" s="62">
        <f t="shared" si="4"/>
        <v>0</v>
      </c>
    </row>
    <row r="41" spans="1:21" ht="16.5" thickTop="1">
      <c r="A41" s="57">
        <v>28</v>
      </c>
      <c r="R41" s="63" t="s">
        <v>502</v>
      </c>
      <c r="S41" s="171">
        <f>S31-S24</f>
        <v>0</v>
      </c>
      <c r="T41" s="171">
        <f t="shared" ref="T41:U41" si="5">T31-T24</f>
        <v>0</v>
      </c>
      <c r="U41" s="171">
        <f t="shared" si="5"/>
        <v>0</v>
      </c>
    </row>
    <row r="42" spans="1:21">
      <c r="A42" s="57">
        <v>29</v>
      </c>
      <c r="B42" s="55" t="s">
        <v>261</v>
      </c>
      <c r="E42" s="226"/>
      <c r="P42" s="225">
        <f>'Test Year Monthly - (Pres)'!P99</f>
        <v>58912</v>
      </c>
      <c r="Q42" s="64"/>
      <c r="R42" s="61"/>
      <c r="S42" s="65">
        <f>SUM(S37:S41)</f>
        <v>24087.45171058923</v>
      </c>
      <c r="T42" s="65">
        <f>SUM(T37:T41)</f>
        <v>3822.2009734538151</v>
      </c>
      <c r="U42" s="65">
        <f>SUM(U37:U41)</f>
        <v>0</v>
      </c>
    </row>
    <row r="43" spans="1:21">
      <c r="A43" s="57">
        <v>30</v>
      </c>
      <c r="B43" s="55" t="s">
        <v>73</v>
      </c>
      <c r="D43" s="237"/>
      <c r="E43" s="65"/>
      <c r="P43" s="63">
        <f>'Test Year Monthly - (Pres)'!P100</f>
        <v>367461.89996584691</v>
      </c>
      <c r="Q43" s="61"/>
    </row>
    <row r="44" spans="1:21">
      <c r="A44" s="57">
        <v>31</v>
      </c>
      <c r="B44" s="55" t="s">
        <v>283</v>
      </c>
      <c r="P44" s="177">
        <f>P40+P42+P43</f>
        <v>100181247.52996585</v>
      </c>
      <c r="Q44" s="62"/>
      <c r="R44" s="61"/>
      <c r="S44" s="62"/>
    </row>
    <row r="45" spans="1:21">
      <c r="A45" s="57">
        <v>32</v>
      </c>
      <c r="S45" s="65"/>
    </row>
    <row r="46" spans="1:21">
      <c r="A46" s="57">
        <v>33</v>
      </c>
      <c r="B46" s="55" t="s">
        <v>188</v>
      </c>
      <c r="P46" s="476">
        <f>'Test Year Monthly - (Pres)'!P103</f>
        <v>87640898.071899384</v>
      </c>
      <c r="Q46" s="64"/>
      <c r="S46" s="170"/>
    </row>
    <row r="47" spans="1:21">
      <c r="A47" s="57">
        <v>34</v>
      </c>
    </row>
    <row r="48" spans="1:21" ht="16.5" thickBot="1">
      <c r="A48" s="57">
        <v>35</v>
      </c>
      <c r="B48" s="55" t="s">
        <v>70</v>
      </c>
      <c r="P48" s="477">
        <f>P40+P42+P46+P43</f>
        <v>187822145.60186523</v>
      </c>
      <c r="Q48" s="95"/>
      <c r="R48" s="26"/>
      <c r="S48" s="26"/>
      <c r="T48" s="26"/>
    </row>
    <row r="49" spans="1:15" ht="16.5" thickTop="1">
      <c r="A49" s="57">
        <v>36</v>
      </c>
    </row>
    <row r="50" spans="1:15">
      <c r="A50" s="57">
        <v>37</v>
      </c>
      <c r="B50" s="227" t="s">
        <v>429</v>
      </c>
      <c r="O50" s="56"/>
    </row>
    <row r="51" spans="1:15">
      <c r="A51" s="57">
        <v>38</v>
      </c>
      <c r="B51" s="227" t="s">
        <v>492</v>
      </c>
      <c r="M51" s="65"/>
    </row>
  </sheetData>
  <mergeCells count="6">
    <mergeCell ref="J8:K8"/>
    <mergeCell ref="J9:K9"/>
    <mergeCell ref="D9:H9"/>
    <mergeCell ref="A4:P4"/>
    <mergeCell ref="A5:P5"/>
    <mergeCell ref="A6:P6"/>
  </mergeCells>
  <phoneticPr fontId="15" type="noConversion"/>
  <printOptions horizontalCentered="1"/>
  <pageMargins left="0.25" right="0.25" top="0.75" bottom="0.75" header="0.3" footer="0.3"/>
  <pageSetup scale="59" fitToHeight="0" orientation="landscape" r:id="rId1"/>
  <headerFooter alignWithMargins="0">
    <oddFooter>&amp;C&amp;A&amp;RPage &amp;P</oddFooter>
  </headerFooter>
  <rowBreaks count="1" manualBreakCount="1">
    <brk id="67" max="16383" man="1"/>
  </row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transitionEntry="1" codeName="Sheet20">
    <pageSetUpPr fitToPage="1"/>
  </sheetPr>
  <dimension ref="A3:Y87"/>
  <sheetViews>
    <sheetView topLeftCell="A55" zoomScaleNormal="100" workbookViewId="0">
      <selection activeCell="D50" sqref="D50"/>
    </sheetView>
  </sheetViews>
  <sheetFormatPr defaultColWidth="12.5703125" defaultRowHeight="12.75"/>
  <cols>
    <col min="1" max="1" width="5.5703125" style="2" bestFit="1" customWidth="1"/>
    <col min="2" max="2" width="29.5703125" style="2" customWidth="1"/>
    <col min="3" max="4" width="8.5703125" style="2" customWidth="1"/>
    <col min="5" max="5" width="9.42578125" style="2" bestFit="1" customWidth="1"/>
    <col min="6" max="9" width="8.5703125" style="2" customWidth="1"/>
    <col min="10" max="10" width="9.42578125" style="2" bestFit="1" customWidth="1"/>
    <col min="11" max="13" width="8.5703125" style="2" customWidth="1"/>
    <col min="14" max="15" width="9.85546875" style="2" bestFit="1" customWidth="1"/>
    <col min="16" max="16" width="10.5703125" style="2" customWidth="1"/>
    <col min="17" max="17" width="9.5703125" style="2" bestFit="1" customWidth="1"/>
    <col min="18" max="18" width="11.5703125" style="2" customWidth="1"/>
    <col min="19" max="19" width="15.5703125" style="2" customWidth="1"/>
    <col min="20" max="20" width="15.140625" style="2" customWidth="1"/>
    <col min="21" max="21" width="16.42578125" style="2" customWidth="1"/>
    <col min="22" max="22" width="13.85546875" style="2" customWidth="1"/>
    <col min="23" max="23" width="16.5703125" style="2" customWidth="1"/>
    <col min="24" max="24" width="11.5703125" style="2" bestFit="1" customWidth="1"/>
    <col min="25" max="25" width="17.5703125" style="2" customWidth="1"/>
    <col min="26" max="16384" width="12.5703125" style="2"/>
  </cols>
  <sheetData>
    <row r="3" spans="1:25">
      <c r="O3" s="6"/>
      <c r="P3" s="6"/>
      <c r="R3" s="461" t="str">
        <f>CONCATENATE("EXHIBIT ",Dashboard!D16,"-3")</f>
        <v>EXHIBIT TLT-3</v>
      </c>
      <c r="T3" s="3"/>
    </row>
    <row r="4" spans="1:25">
      <c r="A4" s="7"/>
      <c r="B4" s="14"/>
      <c r="C4" s="14"/>
      <c r="D4" s="14"/>
      <c r="E4" s="14"/>
      <c r="F4" s="14"/>
      <c r="G4" s="14"/>
      <c r="H4" s="14"/>
      <c r="I4" s="4" t="s">
        <v>677</v>
      </c>
      <c r="J4" s="14"/>
      <c r="K4" s="14"/>
      <c r="L4" s="14"/>
      <c r="M4" s="14"/>
      <c r="N4" s="14"/>
      <c r="O4" s="38"/>
      <c r="P4" s="38"/>
      <c r="Q4" s="15"/>
      <c r="R4" s="39"/>
    </row>
    <row r="5" spans="1:25">
      <c r="A5" s="7"/>
      <c r="B5" s="14"/>
      <c r="C5" s="14"/>
      <c r="D5" s="14"/>
      <c r="E5" s="14"/>
      <c r="F5" s="14"/>
      <c r="G5" s="14"/>
      <c r="H5" s="14"/>
      <c r="I5" s="4" t="s">
        <v>186</v>
      </c>
      <c r="J5" s="14"/>
      <c r="K5" s="14"/>
      <c r="L5" s="14"/>
      <c r="M5" s="14"/>
      <c r="N5" s="14"/>
      <c r="O5" s="14"/>
      <c r="P5" s="14"/>
      <c r="Q5" s="15"/>
      <c r="R5" s="14"/>
      <c r="W5" s="3"/>
    </row>
    <row r="6" spans="1:25">
      <c r="A6" s="7"/>
      <c r="B6" s="14"/>
      <c r="C6" s="14"/>
      <c r="D6" s="14"/>
      <c r="E6" s="14"/>
      <c r="F6" s="14"/>
      <c r="G6" s="14"/>
      <c r="H6" s="14"/>
      <c r="I6" s="4" t="str">
        <f>UPPER('WNA Summary'!A6)</f>
        <v>REFERENCE PERIOD - TWELVE MONTHS ENDING 06/30/2024</v>
      </c>
      <c r="J6" s="14"/>
      <c r="K6" s="14"/>
      <c r="L6" s="14"/>
      <c r="M6" s="14"/>
      <c r="N6" s="14"/>
      <c r="O6" s="14"/>
      <c r="P6" s="14"/>
      <c r="Q6" s="40"/>
      <c r="R6" s="14"/>
      <c r="W6" s="6"/>
      <c r="Y6" s="6"/>
    </row>
    <row r="8" spans="1:25">
      <c r="A8" s="7" t="s">
        <v>11</v>
      </c>
      <c r="O8" s="4" t="s">
        <v>17</v>
      </c>
      <c r="R8" s="4" t="s">
        <v>18</v>
      </c>
      <c r="S8" s="4"/>
      <c r="U8" s="4"/>
      <c r="V8" s="4"/>
      <c r="W8" s="4"/>
      <c r="X8" s="4"/>
      <c r="Y8" s="4"/>
    </row>
    <row r="9" spans="1:25">
      <c r="A9" s="8" t="s">
        <v>16</v>
      </c>
      <c r="B9" s="9" t="s">
        <v>26</v>
      </c>
      <c r="C9" s="35">
        <f>WNA!C10</f>
        <v>45108</v>
      </c>
      <c r="D9" s="35">
        <f>WNA!D10</f>
        <v>45169</v>
      </c>
      <c r="E9" s="35">
        <f>WNA!E10</f>
        <v>45199</v>
      </c>
      <c r="F9" s="35">
        <f>WNA!F10</f>
        <v>45230</v>
      </c>
      <c r="G9" s="35">
        <f>WNA!G10</f>
        <v>45260</v>
      </c>
      <c r="H9" s="35">
        <f>WNA!H10</f>
        <v>45291</v>
      </c>
      <c r="I9" s="35">
        <f>WNA!I10</f>
        <v>45322</v>
      </c>
      <c r="J9" s="35">
        <f>WNA!J10</f>
        <v>45351</v>
      </c>
      <c r="K9" s="35">
        <f>WNA!K10</f>
        <v>45382</v>
      </c>
      <c r="L9" s="35">
        <f>WNA!L10</f>
        <v>45412</v>
      </c>
      <c r="M9" s="35">
        <f>WNA!M10</f>
        <v>45443</v>
      </c>
      <c r="N9" s="35">
        <f>WNA!N10</f>
        <v>45473</v>
      </c>
      <c r="O9" s="10" t="s">
        <v>19</v>
      </c>
      <c r="P9" s="10" t="s">
        <v>20</v>
      </c>
      <c r="Q9" s="10" t="s">
        <v>5</v>
      </c>
      <c r="R9" s="10" t="s">
        <v>21</v>
      </c>
      <c r="S9" s="4"/>
      <c r="V9" s="34"/>
    </row>
    <row r="10" spans="1:25">
      <c r="C10" s="42" t="s">
        <v>12</v>
      </c>
      <c r="D10" s="42" t="s">
        <v>13</v>
      </c>
      <c r="E10" s="4" t="s">
        <v>14</v>
      </c>
      <c r="F10" s="48" t="s">
        <v>15</v>
      </c>
      <c r="G10" s="49" t="s">
        <v>80</v>
      </c>
      <c r="H10" s="49" t="s">
        <v>81</v>
      </c>
      <c r="I10" s="49" t="s">
        <v>82</v>
      </c>
      <c r="J10" s="49" t="s">
        <v>83</v>
      </c>
      <c r="K10" s="49" t="s">
        <v>84</v>
      </c>
      <c r="L10" s="49" t="s">
        <v>85</v>
      </c>
      <c r="M10" s="49" t="s">
        <v>86</v>
      </c>
      <c r="N10" s="49" t="s">
        <v>87</v>
      </c>
      <c r="O10" s="49" t="s">
        <v>88</v>
      </c>
      <c r="P10" s="49" t="s">
        <v>204</v>
      </c>
      <c r="Q10" s="49" t="s">
        <v>205</v>
      </c>
      <c r="R10" s="42" t="s">
        <v>206</v>
      </c>
      <c r="V10" s="4"/>
      <c r="Y10" s="4"/>
    </row>
    <row r="11" spans="1:25">
      <c r="S11" s="4"/>
      <c r="U11" s="4"/>
      <c r="V11" s="4"/>
      <c r="W11" s="4"/>
      <c r="X11" s="4"/>
      <c r="Y11" s="4"/>
    </row>
    <row r="12" spans="1:25">
      <c r="A12" s="4">
        <v>1</v>
      </c>
      <c r="B12" s="23" t="s">
        <v>29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4"/>
      <c r="P12" s="4"/>
      <c r="Q12" s="4"/>
      <c r="R12" s="4"/>
      <c r="W12" s="4"/>
      <c r="X12" s="4"/>
      <c r="Y12" s="4"/>
    </row>
    <row r="13" spans="1:25">
      <c r="A13" s="4">
        <v>2</v>
      </c>
      <c r="B13" s="2" t="s">
        <v>22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>
        <f>SUM(C13:N13)</f>
        <v>0</v>
      </c>
      <c r="P13" s="6"/>
      <c r="Q13" s="11">
        <f>'WNA Summary'!Q13</f>
        <v>19.3</v>
      </c>
      <c r="R13" s="3">
        <f>O13*Q13</f>
        <v>0</v>
      </c>
      <c r="U13" s="30"/>
      <c r="V13" s="3"/>
    </row>
    <row r="14" spans="1:25">
      <c r="A14" s="4">
        <v>3</v>
      </c>
      <c r="B14" s="2" t="s">
        <v>23</v>
      </c>
      <c r="C14" s="6">
        <f>'Bill Frequency'!C15</f>
        <v>0</v>
      </c>
      <c r="D14" s="6">
        <f>'Bill Frequency'!D15</f>
        <v>0</v>
      </c>
      <c r="E14" s="6">
        <f>'Bill Frequency'!E15</f>
        <v>0</v>
      </c>
      <c r="F14" s="6">
        <f>'Bill Frequency'!F15</f>
        <v>308.75</v>
      </c>
      <c r="G14" s="6">
        <f>'Bill Frequency'!G15</f>
        <v>0</v>
      </c>
      <c r="H14" s="6">
        <f>-H15-H16</f>
        <v>0</v>
      </c>
      <c r="I14" s="6">
        <f>'Bill Frequency'!I15</f>
        <v>0</v>
      </c>
      <c r="J14" s="6">
        <f>'Bill Frequency'!J15</f>
        <v>0</v>
      </c>
      <c r="K14" s="6">
        <f>'Bill Frequency'!K15</f>
        <v>0</v>
      </c>
      <c r="L14" s="6">
        <f>'Bill Frequency'!L15</f>
        <v>0</v>
      </c>
      <c r="M14" s="6">
        <f>'Bill Frequency'!M15</f>
        <v>0</v>
      </c>
      <c r="N14" s="6">
        <f>'Bill Frequency'!N15</f>
        <v>0</v>
      </c>
      <c r="O14" s="6"/>
      <c r="P14" s="6">
        <f>SUM(C14:N14)</f>
        <v>308.75</v>
      </c>
      <c r="Q14" s="13">
        <f>'WNA Summary'!Q14</f>
        <v>1.5483</v>
      </c>
      <c r="R14" s="6">
        <f>P14*Q14</f>
        <v>478.03762499999999</v>
      </c>
      <c r="S14" s="30"/>
      <c r="T14" s="27"/>
      <c r="U14" s="30"/>
      <c r="V14" s="3"/>
    </row>
    <row r="15" spans="1:25">
      <c r="A15" s="4">
        <v>4</v>
      </c>
      <c r="B15" s="2" t="s">
        <v>24</v>
      </c>
      <c r="C15" s="6">
        <f>-C14</f>
        <v>0</v>
      </c>
      <c r="D15" s="6">
        <f>-D14</f>
        <v>0</v>
      </c>
      <c r="E15" s="6">
        <f>-E14</f>
        <v>0</v>
      </c>
      <c r="F15" s="6">
        <f>-F14</f>
        <v>-308.75</v>
      </c>
      <c r="G15" s="6">
        <f>-G14</f>
        <v>0</v>
      </c>
      <c r="H15" s="6">
        <f>-'Bill Frequency'!H15</f>
        <v>0</v>
      </c>
      <c r="I15" s="6">
        <f t="shared" ref="I15:N15" si="0">-I14</f>
        <v>0</v>
      </c>
      <c r="J15" s="6">
        <f t="shared" si="0"/>
        <v>0</v>
      </c>
      <c r="K15" s="6">
        <f t="shared" si="0"/>
        <v>0</v>
      </c>
      <c r="L15" s="6">
        <f t="shared" si="0"/>
        <v>0</v>
      </c>
      <c r="M15" s="6">
        <f t="shared" si="0"/>
        <v>0</v>
      </c>
      <c r="N15" s="6">
        <f t="shared" si="0"/>
        <v>0</v>
      </c>
      <c r="O15" s="6"/>
      <c r="P15" s="6">
        <f>SUM(C15:N15)</f>
        <v>-308.75</v>
      </c>
      <c r="Q15" s="13">
        <f>'WNA Summary'!Q15</f>
        <v>1.0762</v>
      </c>
      <c r="R15" s="6">
        <f>P15*Q15</f>
        <v>-332.27674999999999</v>
      </c>
      <c r="S15" s="30"/>
      <c r="T15" s="27"/>
      <c r="U15" s="30"/>
      <c r="V15" s="3"/>
    </row>
    <row r="16" spans="1:25">
      <c r="A16" s="4">
        <v>5</v>
      </c>
      <c r="B16" s="2" t="s">
        <v>55</v>
      </c>
      <c r="C16" s="6"/>
      <c r="D16" s="6"/>
      <c r="E16" s="6"/>
      <c r="F16" s="6"/>
      <c r="G16" s="6"/>
      <c r="H16" s="6">
        <f>-'Bill Frequency'!H16</f>
        <v>0</v>
      </c>
      <c r="I16" s="6"/>
      <c r="J16" s="6"/>
      <c r="K16" s="6"/>
      <c r="L16" s="6"/>
      <c r="M16" s="6"/>
      <c r="N16" s="6"/>
      <c r="O16" s="6"/>
      <c r="P16" s="6">
        <f>SUM(C16:N16)</f>
        <v>0</v>
      </c>
      <c r="Q16" s="13">
        <f>'WNA Summary'!Q16</f>
        <v>0.88880000000000003</v>
      </c>
      <c r="R16" s="6">
        <f>P16*Q16</f>
        <v>0</v>
      </c>
      <c r="S16" s="30"/>
    </row>
    <row r="17" spans="1:18">
      <c r="A17" s="4">
        <v>6</v>
      </c>
      <c r="B17" s="21" t="s">
        <v>53</v>
      </c>
      <c r="C17" s="20">
        <f t="shared" ref="C17:N17" si="1">C14+C15+C16</f>
        <v>0</v>
      </c>
      <c r="D17" s="20">
        <f t="shared" si="1"/>
        <v>0</v>
      </c>
      <c r="E17" s="20">
        <f t="shared" si="1"/>
        <v>0</v>
      </c>
      <c r="F17" s="20">
        <f t="shared" si="1"/>
        <v>0</v>
      </c>
      <c r="G17" s="20">
        <f t="shared" si="1"/>
        <v>0</v>
      </c>
      <c r="H17" s="20">
        <f t="shared" si="1"/>
        <v>0</v>
      </c>
      <c r="I17" s="20">
        <f t="shared" si="1"/>
        <v>0</v>
      </c>
      <c r="J17" s="20">
        <f t="shared" si="1"/>
        <v>0</v>
      </c>
      <c r="K17" s="20">
        <f t="shared" si="1"/>
        <v>0</v>
      </c>
      <c r="L17" s="20">
        <f t="shared" si="1"/>
        <v>0</v>
      </c>
      <c r="M17" s="20">
        <f t="shared" si="1"/>
        <v>0</v>
      </c>
      <c r="N17" s="20">
        <f t="shared" si="1"/>
        <v>0</v>
      </c>
      <c r="O17" s="20">
        <f>O13</f>
        <v>0</v>
      </c>
      <c r="P17" s="20">
        <f>SUM(P14:P16)</f>
        <v>0</v>
      </c>
      <c r="Q17" s="21"/>
      <c r="R17" s="467">
        <f>SUM(R13:R16)</f>
        <v>145.760875</v>
      </c>
    </row>
    <row r="18" spans="1:18">
      <c r="A18" s="4">
        <v>7</v>
      </c>
      <c r="E18" s="3"/>
      <c r="F18" s="3"/>
      <c r="G18" s="3"/>
      <c r="H18" s="3"/>
      <c r="I18" s="3"/>
      <c r="J18" s="3"/>
      <c r="R18" s="3"/>
    </row>
    <row r="19" spans="1:18">
      <c r="A19" s="4">
        <v>8</v>
      </c>
      <c r="B19" s="23" t="s">
        <v>30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8">
      <c r="A20" s="4">
        <v>9</v>
      </c>
      <c r="B20" s="2" t="s">
        <v>22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4"/>
      <c r="Q20" s="44">
        <f>'WNA Summary'!Q20</f>
        <v>66</v>
      </c>
      <c r="R20" s="3">
        <f>O20*Q20</f>
        <v>0</v>
      </c>
    </row>
    <row r="21" spans="1:18">
      <c r="A21" s="4">
        <v>10</v>
      </c>
      <c r="B21" s="2" t="s">
        <v>23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287"/>
      <c r="P21" s="6"/>
      <c r="Q21" s="13">
        <f>'WNA Summary'!Q21</f>
        <v>1.5483</v>
      </c>
      <c r="R21" s="6">
        <f>P21*Q21</f>
        <v>0</v>
      </c>
    </row>
    <row r="22" spans="1:18">
      <c r="A22" s="4">
        <v>11</v>
      </c>
      <c r="B22" s="2" t="s">
        <v>24</v>
      </c>
      <c r="C22" s="6">
        <f>-C23</f>
        <v>0</v>
      </c>
      <c r="D22" s="6">
        <f t="shared" ref="D22:N22" si="2">-D23</f>
        <v>0</v>
      </c>
      <c r="E22" s="6">
        <f t="shared" si="2"/>
        <v>0</v>
      </c>
      <c r="F22" s="6">
        <f t="shared" si="2"/>
        <v>0</v>
      </c>
      <c r="G22" s="6">
        <f t="shared" si="2"/>
        <v>0</v>
      </c>
      <c r="H22" s="6">
        <f t="shared" si="2"/>
        <v>0</v>
      </c>
      <c r="I22" s="6">
        <f t="shared" si="2"/>
        <v>0</v>
      </c>
      <c r="J22" s="6">
        <f t="shared" si="2"/>
        <v>0</v>
      </c>
      <c r="K22" s="6">
        <f t="shared" si="2"/>
        <v>0</v>
      </c>
      <c r="L22" s="6">
        <f t="shared" si="2"/>
        <v>0</v>
      </c>
      <c r="M22" s="6">
        <f t="shared" si="2"/>
        <v>0</v>
      </c>
      <c r="N22" s="6">
        <f t="shared" si="2"/>
        <v>0</v>
      </c>
      <c r="O22" s="287"/>
      <c r="P22" s="287"/>
      <c r="Q22" s="13">
        <f>'WNA Summary'!Q22</f>
        <v>1.0762</v>
      </c>
      <c r="R22" s="6">
        <f>P22*Q22</f>
        <v>0</v>
      </c>
    </row>
    <row r="23" spans="1:18">
      <c r="A23" s="4">
        <v>12</v>
      </c>
      <c r="B23" s="2" t="s">
        <v>55</v>
      </c>
      <c r="C23" s="6">
        <f>-'Bill Frequency'!C23</f>
        <v>0</v>
      </c>
      <c r="D23" s="6">
        <f>-'Bill Frequency'!D23</f>
        <v>0</v>
      </c>
      <c r="E23" s="6">
        <f>-'Bill Frequency'!E23</f>
        <v>0</v>
      </c>
      <c r="F23" s="6">
        <f>-'Bill Frequency'!F23</f>
        <v>0</v>
      </c>
      <c r="G23" s="6">
        <f>-'Bill Frequency'!G23</f>
        <v>0</v>
      </c>
      <c r="H23" s="6">
        <f>-'Bill Frequency'!H23</f>
        <v>0</v>
      </c>
      <c r="I23" s="6">
        <f>-'Bill Frequency'!I23</f>
        <v>0</v>
      </c>
      <c r="J23" s="6">
        <f>-'Bill Frequency'!J23</f>
        <v>0</v>
      </c>
      <c r="K23" s="6">
        <f>-'Bill Frequency'!K23</f>
        <v>0</v>
      </c>
      <c r="L23" s="6">
        <f>-'Bill Frequency'!L23</f>
        <v>0</v>
      </c>
      <c r="M23" s="6">
        <f>-'Bill Frequency'!M23</f>
        <v>0</v>
      </c>
      <c r="N23" s="6">
        <f>-'Bill Frequency'!N23</f>
        <v>0</v>
      </c>
      <c r="O23" s="290"/>
      <c r="P23" s="290"/>
      <c r="Q23" s="13">
        <f>'WNA Summary'!Q23</f>
        <v>0.88880000000000003</v>
      </c>
      <c r="R23" s="6">
        <f>P23*Q23</f>
        <v>0</v>
      </c>
    </row>
    <row r="24" spans="1:18">
      <c r="A24" s="4">
        <v>13</v>
      </c>
      <c r="B24" s="21" t="s">
        <v>53</v>
      </c>
      <c r="C24" s="20">
        <f t="shared" ref="C24:N24" si="3">C21+C22+C23</f>
        <v>0</v>
      </c>
      <c r="D24" s="20">
        <f t="shared" si="3"/>
        <v>0</v>
      </c>
      <c r="E24" s="20">
        <f t="shared" si="3"/>
        <v>0</v>
      </c>
      <c r="F24" s="20">
        <f t="shared" si="3"/>
        <v>0</v>
      </c>
      <c r="G24" s="20">
        <f t="shared" si="3"/>
        <v>0</v>
      </c>
      <c r="H24" s="20">
        <f t="shared" si="3"/>
        <v>0</v>
      </c>
      <c r="I24" s="20">
        <f t="shared" si="3"/>
        <v>0</v>
      </c>
      <c r="J24" s="20">
        <f t="shared" si="3"/>
        <v>0</v>
      </c>
      <c r="K24" s="20">
        <f t="shared" si="3"/>
        <v>0</v>
      </c>
      <c r="L24" s="20">
        <f t="shared" si="3"/>
        <v>0</v>
      </c>
      <c r="M24" s="20">
        <f t="shared" si="3"/>
        <v>0</v>
      </c>
      <c r="N24" s="20">
        <f t="shared" si="3"/>
        <v>0</v>
      </c>
      <c r="O24" s="20">
        <f>O20</f>
        <v>0</v>
      </c>
      <c r="P24" s="20">
        <f>SUM(P21:P23)</f>
        <v>0</v>
      </c>
      <c r="Q24" s="21"/>
      <c r="R24" s="467">
        <f>SUM(R20:R23)</f>
        <v>0</v>
      </c>
    </row>
    <row r="25" spans="1:18">
      <c r="A25" s="4">
        <v>14</v>
      </c>
    </row>
    <row r="26" spans="1:18">
      <c r="A26" s="4">
        <v>15</v>
      </c>
      <c r="B26" s="23" t="s">
        <v>54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6"/>
      <c r="P26" s="6"/>
      <c r="Q26" s="13"/>
      <c r="R26" s="6"/>
    </row>
    <row r="27" spans="1:18">
      <c r="A27" s="4">
        <v>16</v>
      </c>
      <c r="B27" s="2" t="s">
        <v>22</v>
      </c>
      <c r="C27" s="6">
        <f>'TBS Adjustments'!F132</f>
        <v>1</v>
      </c>
      <c r="D27" s="6">
        <f>'TBS Adjustments'!G132</f>
        <v>1</v>
      </c>
      <c r="E27" s="6">
        <f>'TBS Adjustments'!H132</f>
        <v>0</v>
      </c>
      <c r="F27" s="6">
        <f>'TBS Adjustments'!I132</f>
        <v>0</v>
      </c>
      <c r="G27" s="6">
        <f>'TBS Adjustments'!J132</f>
        <v>0</v>
      </c>
      <c r="H27" s="6">
        <f>'TBS Adjustments'!K132</f>
        <v>0</v>
      </c>
      <c r="I27" s="6">
        <f>'TBS Adjustments'!L132</f>
        <v>0</v>
      </c>
      <c r="J27" s="6">
        <f>'TBS Adjustments'!M132</f>
        <v>0</v>
      </c>
      <c r="K27" s="6">
        <f>'TBS Adjustments'!N132</f>
        <v>0</v>
      </c>
      <c r="L27" s="6">
        <f>'TBS Adjustments'!O132</f>
        <v>0</v>
      </c>
      <c r="M27" s="6">
        <f>'TBS Adjustments'!P132</f>
        <v>0</v>
      </c>
      <c r="N27" s="6">
        <f>'TBS Adjustments'!Q132</f>
        <v>0</v>
      </c>
      <c r="O27" s="6">
        <f>SUM(C27:N27)</f>
        <v>2</v>
      </c>
      <c r="P27" s="54"/>
      <c r="Q27" s="440">
        <f>Q20</f>
        <v>66</v>
      </c>
      <c r="R27" s="3">
        <f>O27*Q27</f>
        <v>132</v>
      </c>
    </row>
    <row r="28" spans="1:18">
      <c r="A28" s="4">
        <v>17</v>
      </c>
      <c r="B28" s="2" t="s">
        <v>23</v>
      </c>
      <c r="C28" s="6">
        <f>'TBS Adjustments'!F133</f>
        <v>2.4710000000000001</v>
      </c>
      <c r="D28" s="6">
        <f>'TBS Adjustments'!G133</f>
        <v>20.571000000000002</v>
      </c>
      <c r="E28" s="6">
        <f>'TBS Adjustments'!H133</f>
        <v>31.306999999999999</v>
      </c>
      <c r="F28" s="6">
        <f>'TBS Adjustments'!I133</f>
        <v>52.031999999999996</v>
      </c>
      <c r="G28" s="6">
        <f>'TBS Adjustments'!J133</f>
        <v>-208.976</v>
      </c>
      <c r="H28" s="6">
        <f>'TBS Adjustments'!K133</f>
        <v>300</v>
      </c>
      <c r="I28" s="6">
        <f>'TBS Adjustments'!L133</f>
        <v>0</v>
      </c>
      <c r="J28" s="6">
        <f>'TBS Adjustments'!M133</f>
        <v>0</v>
      </c>
      <c r="K28" s="6">
        <f>'TBS Adjustments'!N133</f>
        <v>0</v>
      </c>
      <c r="L28" s="6">
        <f>'TBS Adjustments'!O133</f>
        <v>0</v>
      </c>
      <c r="M28" s="6">
        <f>'TBS Adjustments'!P133</f>
        <v>0</v>
      </c>
      <c r="N28" s="6">
        <f>'TBS Adjustments'!Q133</f>
        <v>0</v>
      </c>
      <c r="O28" s="6"/>
      <c r="P28" s="6">
        <f>SUM(C28:N28)</f>
        <v>197.405</v>
      </c>
      <c r="Q28" s="12">
        <f t="shared" ref="Q28:Q30" si="4">Q21</f>
        <v>1.5483</v>
      </c>
      <c r="R28" s="6">
        <f>P28*Q28</f>
        <v>305.64216149999999</v>
      </c>
    </row>
    <row r="29" spans="1:18">
      <c r="A29" s="4">
        <v>18</v>
      </c>
      <c r="B29" s="2" t="s">
        <v>24</v>
      </c>
      <c r="C29" s="6">
        <f>'TBS Adjustments'!F134</f>
        <v>0</v>
      </c>
      <c r="D29" s="6">
        <f>'TBS Adjustments'!G134</f>
        <v>0</v>
      </c>
      <c r="E29" s="6">
        <f>'TBS Adjustments'!H134</f>
        <v>0</v>
      </c>
      <c r="F29" s="6">
        <f>'TBS Adjustments'!I134</f>
        <v>0</v>
      </c>
      <c r="G29" s="6">
        <f>'TBS Adjustments'!J134</f>
        <v>-836.25400000000002</v>
      </c>
      <c r="H29" s="6">
        <f>'TBS Adjustments'!K134</f>
        <v>35.769999999999982</v>
      </c>
      <c r="I29" s="6">
        <f>'TBS Adjustments'!L134</f>
        <v>0</v>
      </c>
      <c r="J29" s="6">
        <f>'TBS Adjustments'!M134</f>
        <v>0</v>
      </c>
      <c r="K29" s="6">
        <f>'TBS Adjustments'!N134</f>
        <v>0</v>
      </c>
      <c r="L29" s="6">
        <f>'TBS Adjustments'!O134</f>
        <v>0</v>
      </c>
      <c r="M29" s="6">
        <f>'TBS Adjustments'!P134</f>
        <v>0</v>
      </c>
      <c r="N29" s="6">
        <f>'TBS Adjustments'!Q134</f>
        <v>0</v>
      </c>
      <c r="O29" s="6"/>
      <c r="P29" s="6">
        <f>SUM(C29:N29)</f>
        <v>-800.48400000000004</v>
      </c>
      <c r="Q29" s="12">
        <f t="shared" si="4"/>
        <v>1.0762</v>
      </c>
      <c r="R29" s="6">
        <f>P29*Q29</f>
        <v>-861.48088080000002</v>
      </c>
    </row>
    <row r="30" spans="1:18">
      <c r="A30" s="4">
        <v>19</v>
      </c>
      <c r="B30" s="2" t="s">
        <v>55</v>
      </c>
      <c r="C30" s="6">
        <f>'TBS Adjustments'!F135</f>
        <v>0</v>
      </c>
      <c r="D30" s="6">
        <f>'TBS Adjustments'!G135</f>
        <v>0</v>
      </c>
      <c r="E30" s="6">
        <f>'TBS Adjustments'!H135</f>
        <v>0</v>
      </c>
      <c r="F30" s="6">
        <f>'TBS Adjustments'!I135</f>
        <v>0</v>
      </c>
      <c r="G30" s="6">
        <f>'TBS Adjustments'!J135</f>
        <v>0</v>
      </c>
      <c r="H30" s="6">
        <f>'TBS Adjustments'!K135</f>
        <v>0</v>
      </c>
      <c r="I30" s="6">
        <f>'TBS Adjustments'!L135</f>
        <v>0</v>
      </c>
      <c r="J30" s="6">
        <f>'TBS Adjustments'!M135</f>
        <v>0</v>
      </c>
      <c r="K30" s="6">
        <f>'TBS Adjustments'!N135</f>
        <v>0</v>
      </c>
      <c r="L30" s="6">
        <f>'TBS Adjustments'!O135</f>
        <v>0</v>
      </c>
      <c r="M30" s="6">
        <f>'TBS Adjustments'!P135</f>
        <v>0</v>
      </c>
      <c r="N30" s="6">
        <f>'TBS Adjustments'!Q135</f>
        <v>0</v>
      </c>
      <c r="O30" s="6"/>
      <c r="P30" s="6">
        <f>SUM(C30:N30)</f>
        <v>0</v>
      </c>
      <c r="Q30" s="12">
        <f t="shared" si="4"/>
        <v>0.88880000000000003</v>
      </c>
      <c r="R30" s="6">
        <f>P30*Q30</f>
        <v>0</v>
      </c>
    </row>
    <row r="31" spans="1:18">
      <c r="A31" s="4">
        <v>20</v>
      </c>
      <c r="B31" s="21" t="s">
        <v>53</v>
      </c>
      <c r="C31" s="20">
        <f t="shared" ref="C31:N31" si="5">C28+C29+C30</f>
        <v>2.4710000000000001</v>
      </c>
      <c r="D31" s="20">
        <f t="shared" si="5"/>
        <v>20.571000000000002</v>
      </c>
      <c r="E31" s="20">
        <f t="shared" si="5"/>
        <v>31.306999999999999</v>
      </c>
      <c r="F31" s="20">
        <f t="shared" si="5"/>
        <v>52.031999999999996</v>
      </c>
      <c r="G31" s="20">
        <f t="shared" si="5"/>
        <v>-1045.23</v>
      </c>
      <c r="H31" s="20">
        <f t="shared" si="5"/>
        <v>335.77</v>
      </c>
      <c r="I31" s="20">
        <f t="shared" si="5"/>
        <v>0</v>
      </c>
      <c r="J31" s="20">
        <f t="shared" si="5"/>
        <v>0</v>
      </c>
      <c r="K31" s="20">
        <f t="shared" si="5"/>
        <v>0</v>
      </c>
      <c r="L31" s="20">
        <f t="shared" si="5"/>
        <v>0</v>
      </c>
      <c r="M31" s="20">
        <f t="shared" si="5"/>
        <v>0</v>
      </c>
      <c r="N31" s="20">
        <f t="shared" si="5"/>
        <v>0</v>
      </c>
      <c r="O31" s="20">
        <f>O27</f>
        <v>2</v>
      </c>
      <c r="P31" s="20">
        <f>SUM(P28:P30)</f>
        <v>-603.07900000000006</v>
      </c>
      <c r="Q31" s="73"/>
      <c r="R31" s="467">
        <f>SUM(R27:R30)</f>
        <v>-423.83871930000004</v>
      </c>
    </row>
    <row r="32" spans="1:18">
      <c r="A32" s="4">
        <v>21</v>
      </c>
      <c r="Q32" s="72"/>
    </row>
    <row r="33" spans="1:18">
      <c r="A33" s="4">
        <v>22</v>
      </c>
      <c r="B33" s="23" t="s">
        <v>56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Q33" s="72"/>
      <c r="R33" s="3"/>
    </row>
    <row r="34" spans="1:18">
      <c r="A34" s="4">
        <v>23</v>
      </c>
      <c r="B34" s="2" t="s">
        <v>22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>
        <f>SUM(C34:N34)</f>
        <v>0</v>
      </c>
      <c r="P34" s="54"/>
      <c r="Q34" s="440">
        <f>Q27</f>
        <v>66</v>
      </c>
      <c r="R34" s="3">
        <f>O34*Q34</f>
        <v>0</v>
      </c>
    </row>
    <row r="35" spans="1:18">
      <c r="A35" s="4">
        <v>24</v>
      </c>
      <c r="B35" s="2" t="s">
        <v>23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>
        <f>SUM(C35:N35)</f>
        <v>0</v>
      </c>
      <c r="Q35" s="13">
        <f>Q28</f>
        <v>1.5483</v>
      </c>
      <c r="R35" s="6">
        <f>P35*Q35</f>
        <v>0</v>
      </c>
    </row>
    <row r="36" spans="1:18">
      <c r="A36" s="4">
        <v>25</v>
      </c>
      <c r="B36" s="2" t="s">
        <v>24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>
        <f>SUM(C36:N36)</f>
        <v>0</v>
      </c>
      <c r="Q36" s="13">
        <f>Q29</f>
        <v>1.0762</v>
      </c>
      <c r="R36" s="6">
        <f>P36*Q36</f>
        <v>0</v>
      </c>
    </row>
    <row r="37" spans="1:18">
      <c r="A37" s="4">
        <v>26</v>
      </c>
      <c r="B37" s="2" t="s">
        <v>55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>
        <f>SUM(C37:N37)</f>
        <v>0</v>
      </c>
      <c r="Q37" s="13">
        <f>Q30</f>
        <v>0.88880000000000003</v>
      </c>
      <c r="R37" s="6">
        <f>P37*Q37</f>
        <v>0</v>
      </c>
    </row>
    <row r="38" spans="1:18">
      <c r="A38" s="4">
        <v>27</v>
      </c>
      <c r="B38" s="21" t="s">
        <v>53</v>
      </c>
      <c r="C38" s="20">
        <f t="shared" ref="C38:N38" si="6">C35+C36+C37</f>
        <v>0</v>
      </c>
      <c r="D38" s="20">
        <f t="shared" si="6"/>
        <v>0</v>
      </c>
      <c r="E38" s="20">
        <f t="shared" si="6"/>
        <v>0</v>
      </c>
      <c r="F38" s="20">
        <f t="shared" si="6"/>
        <v>0</v>
      </c>
      <c r="G38" s="20">
        <f t="shared" si="6"/>
        <v>0</v>
      </c>
      <c r="H38" s="20">
        <f t="shared" si="6"/>
        <v>0</v>
      </c>
      <c r="I38" s="20">
        <f t="shared" si="6"/>
        <v>0</v>
      </c>
      <c r="J38" s="20">
        <f t="shared" si="6"/>
        <v>0</v>
      </c>
      <c r="K38" s="20">
        <f t="shared" si="6"/>
        <v>0</v>
      </c>
      <c r="L38" s="20">
        <f t="shared" si="6"/>
        <v>0</v>
      </c>
      <c r="M38" s="20">
        <f t="shared" si="6"/>
        <v>0</v>
      </c>
      <c r="N38" s="20">
        <f t="shared" si="6"/>
        <v>0</v>
      </c>
      <c r="O38" s="20">
        <f>O34</f>
        <v>0</v>
      </c>
      <c r="P38" s="20">
        <f>SUM(P35:P37)</f>
        <v>0</v>
      </c>
      <c r="Q38" s="21"/>
      <c r="R38" s="467">
        <f>SUM(R34:R37)</f>
        <v>0</v>
      </c>
    </row>
    <row r="39" spans="1:18">
      <c r="A39" s="4">
        <v>28</v>
      </c>
      <c r="E39" s="3"/>
      <c r="F39" s="3"/>
      <c r="G39" s="3"/>
      <c r="H39" s="3"/>
      <c r="I39" s="3"/>
      <c r="J39" s="3"/>
      <c r="R39" s="3"/>
    </row>
    <row r="40" spans="1:18">
      <c r="A40" s="4">
        <v>29</v>
      </c>
      <c r="B40" s="23" t="s">
        <v>57</v>
      </c>
    </row>
    <row r="41" spans="1:18">
      <c r="A41" s="4">
        <v>30</v>
      </c>
      <c r="B41" s="2" t="s">
        <v>58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>
        <f>SUM(C41:N41)</f>
        <v>0</v>
      </c>
      <c r="P41" s="54"/>
      <c r="Q41" s="44">
        <f>'Bill Frequency'!Q41</f>
        <v>520</v>
      </c>
      <c r="R41" s="3">
        <f>O41*Q41</f>
        <v>0</v>
      </c>
    </row>
    <row r="42" spans="1:18">
      <c r="A42" s="4">
        <v>31</v>
      </c>
      <c r="B42" s="2" t="s">
        <v>59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>
        <f>SUM(C42:N42)</f>
        <v>0</v>
      </c>
      <c r="Q42" s="13">
        <f>'Bill Frequency'!Q42</f>
        <v>0.95569999999999999</v>
      </c>
      <c r="R42" s="6">
        <f>P42*Q42</f>
        <v>0</v>
      </c>
    </row>
    <row r="43" spans="1:18">
      <c r="A43" s="4">
        <v>32</v>
      </c>
      <c r="B43" s="2" t="s">
        <v>55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>
        <f>SUM(C43:N43)</f>
        <v>0</v>
      </c>
      <c r="Q43" s="13">
        <f>'Bill Frequency'!Q43</f>
        <v>0.78369999999999995</v>
      </c>
      <c r="R43" s="6">
        <f>P43*Q43</f>
        <v>0</v>
      </c>
    </row>
    <row r="44" spans="1:18">
      <c r="A44" s="4">
        <v>33</v>
      </c>
      <c r="B44" s="21" t="s">
        <v>53</v>
      </c>
      <c r="C44" s="20">
        <f t="shared" ref="C44:N44" si="7">C42+C43</f>
        <v>0</v>
      </c>
      <c r="D44" s="20">
        <f t="shared" si="7"/>
        <v>0</v>
      </c>
      <c r="E44" s="20">
        <f t="shared" si="7"/>
        <v>0</v>
      </c>
      <c r="F44" s="20">
        <f t="shared" si="7"/>
        <v>0</v>
      </c>
      <c r="G44" s="20">
        <f t="shared" si="7"/>
        <v>0</v>
      </c>
      <c r="H44" s="20">
        <f t="shared" si="7"/>
        <v>0</v>
      </c>
      <c r="I44" s="20">
        <f t="shared" si="7"/>
        <v>0</v>
      </c>
      <c r="J44" s="20">
        <f t="shared" si="7"/>
        <v>0</v>
      </c>
      <c r="K44" s="20">
        <f t="shared" si="7"/>
        <v>0</v>
      </c>
      <c r="L44" s="20">
        <f t="shared" si="7"/>
        <v>0</v>
      </c>
      <c r="M44" s="20">
        <f t="shared" si="7"/>
        <v>0</v>
      </c>
      <c r="N44" s="20">
        <f t="shared" si="7"/>
        <v>0</v>
      </c>
      <c r="O44" s="20">
        <f>O41</f>
        <v>0</v>
      </c>
      <c r="P44" s="20">
        <f>SUM(P42:P43)</f>
        <v>0</v>
      </c>
      <c r="Q44" s="21"/>
      <c r="R44" s="467">
        <f>SUM(R41:R43)</f>
        <v>0</v>
      </c>
    </row>
    <row r="45" spans="1:18">
      <c r="A45" s="4">
        <v>34</v>
      </c>
    </row>
    <row r="46" spans="1:18">
      <c r="A46" s="4">
        <v>35</v>
      </c>
      <c r="B46" s="23" t="s">
        <v>60</v>
      </c>
    </row>
    <row r="47" spans="1:18">
      <c r="A47" s="4">
        <v>36</v>
      </c>
      <c r="B47" s="2" t="s">
        <v>58</v>
      </c>
      <c r="C47" s="6">
        <f>'TBS Adjustments'!F137</f>
        <v>0</v>
      </c>
      <c r="D47" s="6">
        <f>'TBS Adjustments'!G137</f>
        <v>0</v>
      </c>
      <c r="E47" s="6">
        <f>'TBS Adjustments'!H137</f>
        <v>0</v>
      </c>
      <c r="F47" s="6">
        <f>'TBS Adjustments'!I137</f>
        <v>0</v>
      </c>
      <c r="G47" s="6">
        <f>'TBS Adjustments'!J137</f>
        <v>0</v>
      </c>
      <c r="H47" s="6">
        <f>'TBS Adjustments'!K137</f>
        <v>0</v>
      </c>
      <c r="I47" s="6">
        <f>'TBS Adjustments'!L137</f>
        <v>0</v>
      </c>
      <c r="J47" s="6">
        <f>'TBS Adjustments'!M137</f>
        <v>0</v>
      </c>
      <c r="K47" s="6">
        <f>'TBS Adjustments'!N137</f>
        <v>0</v>
      </c>
      <c r="L47" s="6">
        <f>'TBS Adjustments'!O137</f>
        <v>0</v>
      </c>
      <c r="M47" s="6">
        <f>'TBS Adjustments'!P137</f>
        <v>0</v>
      </c>
      <c r="N47" s="6">
        <f>'TBS Adjustments'!Q137</f>
        <v>0</v>
      </c>
      <c r="O47" s="6">
        <f>SUM(C47:N47)</f>
        <v>0</v>
      </c>
      <c r="P47" s="54"/>
      <c r="Q47" s="44">
        <f>Q41</f>
        <v>520</v>
      </c>
      <c r="R47" s="3">
        <f>O47*Q47</f>
        <v>0</v>
      </c>
    </row>
    <row r="48" spans="1:18">
      <c r="A48" s="4">
        <v>37</v>
      </c>
      <c r="B48" s="2" t="s">
        <v>59</v>
      </c>
      <c r="C48" s="6">
        <f>'TBS Adjustments'!F138</f>
        <v>0</v>
      </c>
      <c r="D48" s="6">
        <f>'TBS Adjustments'!G138</f>
        <v>0</v>
      </c>
      <c r="E48" s="6">
        <f>'TBS Adjustments'!H138</f>
        <v>0</v>
      </c>
      <c r="F48" s="6">
        <f>'TBS Adjustments'!I138</f>
        <v>0</v>
      </c>
      <c r="G48" s="6">
        <f>'TBS Adjustments'!J138</f>
        <v>0</v>
      </c>
      <c r="H48" s="6">
        <f>'TBS Adjustments'!K138</f>
        <v>0</v>
      </c>
      <c r="I48" s="6">
        <f>'TBS Adjustments'!L138</f>
        <v>0</v>
      </c>
      <c r="J48" s="6">
        <f>'TBS Adjustments'!M138</f>
        <v>0</v>
      </c>
      <c r="K48" s="6">
        <f>'TBS Adjustments'!N138</f>
        <v>0</v>
      </c>
      <c r="L48" s="6">
        <f>'TBS Adjustments'!O138</f>
        <v>0</v>
      </c>
      <c r="M48" s="6">
        <f>'TBS Adjustments'!P138</f>
        <v>0</v>
      </c>
      <c r="N48" s="6">
        <f>'TBS Adjustments'!Q138</f>
        <v>0</v>
      </c>
      <c r="O48" s="6"/>
      <c r="P48" s="6">
        <f>SUM(C48:N48)</f>
        <v>0</v>
      </c>
      <c r="Q48" s="13">
        <f>Q42</f>
        <v>0.95569999999999999</v>
      </c>
      <c r="R48" s="6">
        <f>P48*Q48</f>
        <v>0</v>
      </c>
    </row>
    <row r="49" spans="1:18">
      <c r="A49" s="4">
        <v>38</v>
      </c>
      <c r="B49" s="2" t="s">
        <v>55</v>
      </c>
      <c r="C49" s="6">
        <f>'TBS Adjustments'!F139</f>
        <v>0</v>
      </c>
      <c r="D49" s="6">
        <f>'TBS Adjustments'!G139</f>
        <v>0</v>
      </c>
      <c r="E49" s="6">
        <f>'TBS Adjustments'!H139</f>
        <v>0</v>
      </c>
      <c r="F49" s="6">
        <f>'TBS Adjustments'!I139</f>
        <v>0</v>
      </c>
      <c r="G49" s="6">
        <f>'TBS Adjustments'!J139</f>
        <v>0</v>
      </c>
      <c r="H49" s="6">
        <f>'TBS Adjustments'!K139</f>
        <v>0</v>
      </c>
      <c r="I49" s="6">
        <f>'TBS Adjustments'!L139</f>
        <v>0</v>
      </c>
      <c r="J49" s="6">
        <f>'TBS Adjustments'!M139</f>
        <v>0</v>
      </c>
      <c r="K49" s="6">
        <f>'TBS Adjustments'!N139</f>
        <v>0</v>
      </c>
      <c r="L49" s="6">
        <f>'TBS Adjustments'!O139</f>
        <v>0</v>
      </c>
      <c r="M49" s="6">
        <f>'TBS Adjustments'!P139</f>
        <v>0</v>
      </c>
      <c r="N49" s="6">
        <f>'TBS Adjustments'!Q139</f>
        <v>0</v>
      </c>
      <c r="O49" s="6"/>
      <c r="P49" s="6">
        <f>SUM(C49:N49)</f>
        <v>0</v>
      </c>
      <c r="Q49" s="13">
        <f>Q43</f>
        <v>0.78369999999999995</v>
      </c>
      <c r="R49" s="6">
        <f>P49*Q49</f>
        <v>0</v>
      </c>
    </row>
    <row r="50" spans="1:18">
      <c r="A50" s="4">
        <v>39</v>
      </c>
      <c r="B50" s="21" t="s">
        <v>53</v>
      </c>
      <c r="C50" s="20">
        <f t="shared" ref="C50:N50" si="8">C48+C49</f>
        <v>0</v>
      </c>
      <c r="D50" s="20">
        <f t="shared" si="8"/>
        <v>0</v>
      </c>
      <c r="E50" s="20">
        <f t="shared" si="8"/>
        <v>0</v>
      </c>
      <c r="F50" s="20">
        <f t="shared" si="8"/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>
        <f t="shared" si="8"/>
        <v>0</v>
      </c>
      <c r="L50" s="20">
        <f t="shared" si="8"/>
        <v>0</v>
      </c>
      <c r="M50" s="20">
        <f t="shared" si="8"/>
        <v>0</v>
      </c>
      <c r="N50" s="20">
        <f t="shared" si="8"/>
        <v>0</v>
      </c>
      <c r="O50" s="20">
        <f>O47</f>
        <v>0</v>
      </c>
      <c r="P50" s="20">
        <f>SUM(P48:P49)</f>
        <v>0</v>
      </c>
      <c r="Q50" s="21"/>
      <c r="R50" s="467">
        <f>SUM(R47:R49)</f>
        <v>0</v>
      </c>
    </row>
    <row r="51" spans="1:18">
      <c r="A51" s="4">
        <v>40</v>
      </c>
    </row>
    <row r="52" spans="1:18">
      <c r="A52" s="4">
        <v>41</v>
      </c>
      <c r="B52" s="23" t="s">
        <v>62</v>
      </c>
    </row>
    <row r="53" spans="1:18">
      <c r="A53" s="4">
        <v>42</v>
      </c>
      <c r="B53" s="2" t="s">
        <v>61</v>
      </c>
      <c r="C53" s="6">
        <f>'TBS Adjustments'!F145</f>
        <v>-2</v>
      </c>
      <c r="D53" s="6">
        <f>'TBS Adjustments'!G145</f>
        <v>-2</v>
      </c>
      <c r="E53" s="6">
        <f>'TBS Adjustments'!H145</f>
        <v>-2</v>
      </c>
      <c r="F53" s="6">
        <f>'TBS Adjustments'!I145</f>
        <v>-2</v>
      </c>
      <c r="G53" s="6">
        <f>'TBS Adjustments'!J145</f>
        <v>-2</v>
      </c>
      <c r="H53" s="6">
        <f>'TBS Adjustments'!K145</f>
        <v>-3</v>
      </c>
      <c r="I53" s="6">
        <f>'TBS Adjustments'!L145</f>
        <v>-1</v>
      </c>
      <c r="J53" s="6">
        <f>'TBS Adjustments'!M145</f>
        <v>0</v>
      </c>
      <c r="K53" s="6">
        <f>'TBS Adjustments'!N145</f>
        <v>-1</v>
      </c>
      <c r="L53" s="6">
        <f>'TBS Adjustments'!O145</f>
        <v>-1</v>
      </c>
      <c r="M53" s="6">
        <f>'TBS Adjustments'!P145</f>
        <v>-2</v>
      </c>
      <c r="N53" s="6">
        <f>'TBS Adjustments'!Q145</f>
        <v>-1</v>
      </c>
      <c r="O53" s="6">
        <f>SUM(C53:N53)</f>
        <v>-19</v>
      </c>
      <c r="Q53" s="440">
        <f>'Bill Frequency'!Q53</f>
        <v>520</v>
      </c>
      <c r="R53" s="3">
        <f>O53*Q53</f>
        <v>-9880</v>
      </c>
    </row>
    <row r="54" spans="1:18">
      <c r="A54" s="4">
        <v>43</v>
      </c>
      <c r="B54" s="2" t="s">
        <v>1</v>
      </c>
      <c r="C54" s="3">
        <f>C53*'Rate Design'!$E$37</f>
        <v>-100</v>
      </c>
      <c r="D54" s="3">
        <f>D53*'Rate Design'!$E$37</f>
        <v>-100</v>
      </c>
      <c r="E54" s="3">
        <f>E53*'Rate Design'!$E$37</f>
        <v>-100</v>
      </c>
      <c r="F54" s="3">
        <f>F53*'Rate Design'!$E$37</f>
        <v>-100</v>
      </c>
      <c r="G54" s="3">
        <f>G53*'Rate Design'!$E$37</f>
        <v>-100</v>
      </c>
      <c r="H54" s="3">
        <f>H53*'Rate Design'!$E$37</f>
        <v>-150</v>
      </c>
      <c r="I54" s="3">
        <f>I53*'Rate Design'!$E$37</f>
        <v>-50</v>
      </c>
      <c r="J54" s="3">
        <f>J53*'Rate Design'!$E$37</f>
        <v>0</v>
      </c>
      <c r="K54" s="3">
        <f>K53*'Rate Design'!$E$37</f>
        <v>-50</v>
      </c>
      <c r="L54" s="3">
        <f>L53*'Rate Design'!$E$37</f>
        <v>-50</v>
      </c>
      <c r="M54" s="3">
        <f>M53*'Rate Design'!$E$37</f>
        <v>-100</v>
      </c>
      <c r="N54" s="3">
        <f>N53*'Rate Design'!$E$37</f>
        <v>-50</v>
      </c>
      <c r="R54" s="6">
        <f>SUM(C54:N54)</f>
        <v>-950</v>
      </c>
    </row>
    <row r="55" spans="1:18">
      <c r="A55" s="4">
        <v>44</v>
      </c>
      <c r="B55" s="2" t="s">
        <v>48</v>
      </c>
      <c r="C55" s="3">
        <f>C53*'Rate Design'!$N$22</f>
        <v>-150</v>
      </c>
      <c r="D55" s="3">
        <f>D53*'Rate Design'!$N$22</f>
        <v>-150</v>
      </c>
      <c r="E55" s="3">
        <f>E53*'Rate Design'!$N$22</f>
        <v>-150</v>
      </c>
      <c r="F55" s="3">
        <f>F53*'Rate Design'!$N$22</f>
        <v>-150</v>
      </c>
      <c r="G55" s="3">
        <f>G53*'Rate Design'!$N$22</f>
        <v>-150</v>
      </c>
      <c r="H55" s="3">
        <f>H53*'Rate Design'!$N$22</f>
        <v>-225</v>
      </c>
      <c r="I55" s="3">
        <f>I53*'Rate Design'!$N$22</f>
        <v>-75</v>
      </c>
      <c r="J55" s="3">
        <f>J53*'Rate Design'!$N$22</f>
        <v>0</v>
      </c>
      <c r="K55" s="3">
        <f>K53*'Rate Design'!$N$22</f>
        <v>-75</v>
      </c>
      <c r="L55" s="3">
        <f>L53*'Rate Design'!$N$22</f>
        <v>-75</v>
      </c>
      <c r="M55" s="3">
        <f>M53*'Rate Design'!$N$22</f>
        <v>-150</v>
      </c>
      <c r="N55" s="3">
        <f>N53*'Rate Design'!$N$22</f>
        <v>-75</v>
      </c>
      <c r="R55" s="6">
        <f>SUM(C55:N55)</f>
        <v>-1425</v>
      </c>
    </row>
    <row r="56" spans="1:18">
      <c r="A56" s="4">
        <v>45</v>
      </c>
      <c r="B56" s="2" t="s">
        <v>2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96"/>
      <c r="R56" s="6">
        <f>SUM(C56:N56)</f>
        <v>0</v>
      </c>
    </row>
    <row r="57" spans="1:18">
      <c r="A57" s="4">
        <v>46</v>
      </c>
      <c r="B57" s="2" t="s">
        <v>31</v>
      </c>
      <c r="C57" s="6">
        <f>'TBS Adjustments'!F146</f>
        <v>319.98099999999999</v>
      </c>
      <c r="D57" s="6">
        <f>'TBS Adjustments'!G146</f>
        <v>411.23699999999997</v>
      </c>
      <c r="E57" s="6">
        <f>'TBS Adjustments'!H146</f>
        <v>422.82900000000001</v>
      </c>
      <c r="F57" s="6">
        <f>'TBS Adjustments'!I146</f>
        <v>346.52900000000005</v>
      </c>
      <c r="G57" s="6">
        <f>'TBS Adjustments'!J146</f>
        <v>197.12700000000001</v>
      </c>
      <c r="H57" s="6">
        <f>'TBS Adjustments'!K146</f>
        <v>-389.56799999999998</v>
      </c>
      <c r="I57" s="6">
        <f>'TBS Adjustments'!L146</f>
        <v>0</v>
      </c>
      <c r="J57" s="6">
        <f>'TBS Adjustments'!M146</f>
        <v>300</v>
      </c>
      <c r="K57" s="6">
        <f>'TBS Adjustments'!N146</f>
        <v>150.137</v>
      </c>
      <c r="L57" s="6">
        <f>'TBS Adjustments'!O146</f>
        <v>305.94600000000003</v>
      </c>
      <c r="M57" s="6">
        <f>'TBS Adjustments'!P146</f>
        <v>502.64499999999998</v>
      </c>
      <c r="N57" s="6">
        <f>'TBS Adjustments'!Q146</f>
        <v>300</v>
      </c>
      <c r="O57" s="6"/>
      <c r="P57" s="6">
        <f>SUM(C57:N57)</f>
        <v>2866.8629999999998</v>
      </c>
      <c r="Q57" s="13">
        <f>'Bill Frequency'!Q57</f>
        <v>1.5483</v>
      </c>
      <c r="R57" s="6">
        <f>P57*Q57</f>
        <v>4438.7639829</v>
      </c>
    </row>
    <row r="58" spans="1:18">
      <c r="A58" s="4">
        <v>47</v>
      </c>
      <c r="B58" s="2" t="s">
        <v>32</v>
      </c>
      <c r="C58" s="6">
        <f>'TBS Adjustments'!F147</f>
        <v>-2000.0172797619061</v>
      </c>
      <c r="D58" s="6">
        <f>'TBS Adjustments'!G147</f>
        <v>-140.23827976190387</v>
      </c>
      <c r="E58" s="6">
        <f>'TBS Adjustments'!H147</f>
        <v>-353.41127976190546</v>
      </c>
      <c r="F58" s="6">
        <f>'TBS Adjustments'!I147</f>
        <v>3547.8057202380951</v>
      </c>
      <c r="G58" s="6">
        <f>'TBS Adjustments'!J147</f>
        <v>3372.0887202380954</v>
      </c>
      <c r="H58" s="6">
        <f>'TBS Adjustments'!K147</f>
        <v>-766.30427976190458</v>
      </c>
      <c r="I58" s="6">
        <f>'TBS Adjustments'!L147</f>
        <v>-1155.2292797619039</v>
      </c>
      <c r="J58" s="6">
        <f>'TBS Adjustments'!M147</f>
        <v>-1787.3480833333338</v>
      </c>
      <c r="K58" s="6">
        <f>'TBS Adjustments'!N147</f>
        <v>321.65583333333279</v>
      </c>
      <c r="L58" s="6">
        <f>'TBS Adjustments'!O147</f>
        <v>7536.4816666666666</v>
      </c>
      <c r="M58" s="6">
        <f>'TBS Adjustments'!P147</f>
        <v>9738.3149523809534</v>
      </c>
      <c r="N58" s="6">
        <f>'TBS Adjustments'!Q147</f>
        <v>2782.1122916666668</v>
      </c>
      <c r="O58" s="6"/>
      <c r="P58" s="6">
        <f>SUM(C58:N58)</f>
        <v>21095.910702380952</v>
      </c>
      <c r="Q58" s="13">
        <f>'Bill Frequency'!Q58</f>
        <v>1.0762</v>
      </c>
      <c r="R58" s="6">
        <f>P58*Q58</f>
        <v>22703.419097902381</v>
      </c>
    </row>
    <row r="59" spans="1:18">
      <c r="A59" s="4">
        <v>48</v>
      </c>
      <c r="B59" s="2" t="s">
        <v>572</v>
      </c>
      <c r="C59" s="6">
        <f>'TBS Adjustments'!F148</f>
        <v>0</v>
      </c>
      <c r="D59" s="6">
        <f>'TBS Adjustments'!G148</f>
        <v>0</v>
      </c>
      <c r="E59" s="6">
        <f>'TBS Adjustments'!H148</f>
        <v>0</v>
      </c>
      <c r="F59" s="6">
        <f>'TBS Adjustments'!I148</f>
        <v>0</v>
      </c>
      <c r="G59" s="6">
        <f>'TBS Adjustments'!J148</f>
        <v>0</v>
      </c>
      <c r="H59" s="6">
        <f>'TBS Adjustments'!K148</f>
        <v>0</v>
      </c>
      <c r="I59" s="6">
        <f>'TBS Adjustments'!L148</f>
        <v>0</v>
      </c>
      <c r="J59" s="6">
        <f>'TBS Adjustments'!M148</f>
        <v>-4252.2380000000012</v>
      </c>
      <c r="K59" s="6">
        <f>'TBS Adjustments'!N148</f>
        <v>0</v>
      </c>
      <c r="L59" s="6">
        <f>'TBS Adjustments'!O148</f>
        <v>0</v>
      </c>
      <c r="M59" s="6">
        <f>'TBS Adjustments'!P148</f>
        <v>0</v>
      </c>
      <c r="N59" s="6">
        <f>'TBS Adjustments'!Q148</f>
        <v>0</v>
      </c>
      <c r="O59" s="6"/>
      <c r="P59" s="6">
        <f>SUM(C59:N59)</f>
        <v>-4252.2380000000012</v>
      </c>
      <c r="Q59" s="13">
        <f>'Bill Frequency'!Q59</f>
        <v>0.88880000000000003</v>
      </c>
      <c r="R59" s="6">
        <f>P59*Q59</f>
        <v>-3779.3891344000012</v>
      </c>
    </row>
    <row r="60" spans="1:18">
      <c r="A60" s="4">
        <v>49</v>
      </c>
      <c r="B60" s="21" t="s">
        <v>53</v>
      </c>
      <c r="C60" s="20">
        <f>C57+C58+C59</f>
        <v>-1680.0362797619061</v>
      </c>
      <c r="D60" s="20">
        <f t="shared" ref="D60:N60" si="9">D57+D58+D59</f>
        <v>270.9987202380961</v>
      </c>
      <c r="E60" s="20">
        <f t="shared" si="9"/>
        <v>69.417720238094546</v>
      </c>
      <c r="F60" s="20">
        <f t="shared" si="9"/>
        <v>3894.3347202380951</v>
      </c>
      <c r="G60" s="20">
        <f t="shared" si="9"/>
        <v>3569.2157202380954</v>
      </c>
      <c r="H60" s="20">
        <f t="shared" si="9"/>
        <v>-1155.8722797619046</v>
      </c>
      <c r="I60" s="20">
        <f t="shared" si="9"/>
        <v>-1155.2292797619039</v>
      </c>
      <c r="J60" s="20">
        <f t="shared" si="9"/>
        <v>-5739.5860833333354</v>
      </c>
      <c r="K60" s="20">
        <f t="shared" si="9"/>
        <v>471.79283333333279</v>
      </c>
      <c r="L60" s="20">
        <f t="shared" si="9"/>
        <v>7842.4276666666665</v>
      </c>
      <c r="M60" s="20">
        <f t="shared" si="9"/>
        <v>10240.959952380954</v>
      </c>
      <c r="N60" s="20">
        <f t="shared" si="9"/>
        <v>3082.1122916666668</v>
      </c>
      <c r="O60" s="20">
        <f>SUM(O53:O59)</f>
        <v>-19</v>
      </c>
      <c r="P60" s="20">
        <f>SUM(P57:P59)</f>
        <v>19710.535702380952</v>
      </c>
      <c r="Q60" s="21"/>
      <c r="R60" s="467">
        <f>SUM(R53:R59)</f>
        <v>11107.79394640238</v>
      </c>
    </row>
    <row r="61" spans="1:18">
      <c r="A61" s="4">
        <v>50</v>
      </c>
    </row>
    <row r="62" spans="1:18">
      <c r="A62" s="4">
        <v>51</v>
      </c>
      <c r="B62" s="23" t="s">
        <v>574</v>
      </c>
    </row>
    <row r="63" spans="1:18">
      <c r="A63" s="4">
        <v>52</v>
      </c>
      <c r="B63" s="2" t="s">
        <v>31</v>
      </c>
      <c r="C63" s="6">
        <f>'TBS Adjustments'!F151</f>
        <v>0</v>
      </c>
      <c r="D63" s="6">
        <f>'TBS Adjustments'!G151</f>
        <v>0</v>
      </c>
      <c r="E63" s="6">
        <f>'TBS Adjustments'!H151</f>
        <v>0</v>
      </c>
      <c r="F63" s="6">
        <f>'TBS Adjustments'!I151</f>
        <v>0</v>
      </c>
      <c r="G63" s="6">
        <f>'TBS Adjustments'!J151</f>
        <v>0</v>
      </c>
      <c r="H63" s="6">
        <f>'TBS Adjustments'!K151</f>
        <v>0</v>
      </c>
      <c r="I63" s="6">
        <f>'TBS Adjustments'!L151</f>
        <v>0</v>
      </c>
      <c r="J63" s="6">
        <f>'TBS Adjustments'!M151</f>
        <v>0</v>
      </c>
      <c r="K63" s="6">
        <f>'TBS Adjustments'!N151</f>
        <v>0</v>
      </c>
      <c r="L63" s="6">
        <f>'TBS Adjustments'!O151</f>
        <v>0</v>
      </c>
      <c r="M63" s="6">
        <f>'TBS Adjustments'!P151</f>
        <v>0</v>
      </c>
      <c r="N63" s="6">
        <f>'TBS Adjustments'!Q151</f>
        <v>0</v>
      </c>
      <c r="O63" s="6"/>
      <c r="P63" s="6">
        <f>SUM(C63:O63)</f>
        <v>0</v>
      </c>
      <c r="Q63" s="468">
        <f>'Rate Design'!T27</f>
        <v>1.161225</v>
      </c>
      <c r="R63" s="3">
        <f>O63*Q63</f>
        <v>0</v>
      </c>
    </row>
    <row r="64" spans="1:18">
      <c r="A64" s="4">
        <v>53</v>
      </c>
      <c r="B64" s="2" t="s">
        <v>32</v>
      </c>
      <c r="C64" s="6">
        <f>'TBS Adjustments'!F152</f>
        <v>0</v>
      </c>
      <c r="D64" s="6">
        <f>'TBS Adjustments'!G152</f>
        <v>0</v>
      </c>
      <c r="E64" s="6">
        <f>'TBS Adjustments'!H152</f>
        <v>0</v>
      </c>
      <c r="F64" s="6">
        <f>'TBS Adjustments'!I152</f>
        <v>0</v>
      </c>
      <c r="G64" s="6">
        <f>'TBS Adjustments'!J152</f>
        <v>0</v>
      </c>
      <c r="H64" s="6">
        <f>'TBS Adjustments'!K152</f>
        <v>0</v>
      </c>
      <c r="I64" s="6">
        <f>'TBS Adjustments'!L152</f>
        <v>0</v>
      </c>
      <c r="J64" s="6">
        <f>'TBS Adjustments'!M152</f>
        <v>0</v>
      </c>
      <c r="K64" s="6">
        <f>'TBS Adjustments'!N152</f>
        <v>0</v>
      </c>
      <c r="L64" s="6">
        <f>'TBS Adjustments'!O152</f>
        <v>0</v>
      </c>
      <c r="M64" s="6">
        <f>'TBS Adjustments'!P152</f>
        <v>0</v>
      </c>
      <c r="N64" s="6">
        <f>'TBS Adjustments'!Q152</f>
        <v>0</v>
      </c>
      <c r="O64" s="6"/>
      <c r="P64" s="6">
        <f t="shared" ref="P64:P66" si="10">SUM(C64:O64)</f>
        <v>0</v>
      </c>
      <c r="Q64" s="468">
        <f>'Rate Design'!T28</f>
        <v>0.80715000000000003</v>
      </c>
      <c r="R64" s="6">
        <f t="shared" ref="R64:R65" si="11">P64*Q64</f>
        <v>0</v>
      </c>
    </row>
    <row r="65" spans="1:18">
      <c r="A65" s="4">
        <v>54</v>
      </c>
      <c r="B65" s="2" t="s">
        <v>572</v>
      </c>
      <c r="C65" s="6">
        <f>'TBS Adjustments'!F153</f>
        <v>0</v>
      </c>
      <c r="D65" s="6">
        <f>'TBS Adjustments'!G153</f>
        <v>0</v>
      </c>
      <c r="E65" s="6">
        <f>'TBS Adjustments'!H153</f>
        <v>0</v>
      </c>
      <c r="F65" s="6">
        <f>'TBS Adjustments'!I153</f>
        <v>0</v>
      </c>
      <c r="G65" s="6">
        <f>'TBS Adjustments'!J153</f>
        <v>0</v>
      </c>
      <c r="H65" s="6">
        <f>'TBS Adjustments'!K153</f>
        <v>0</v>
      </c>
      <c r="I65" s="6">
        <f>'TBS Adjustments'!L153</f>
        <v>0</v>
      </c>
      <c r="J65" s="6">
        <f>'TBS Adjustments'!M153</f>
        <v>0</v>
      </c>
      <c r="K65" s="6">
        <f>'TBS Adjustments'!N153</f>
        <v>0</v>
      </c>
      <c r="L65" s="6">
        <f>'TBS Adjustments'!O153</f>
        <v>0</v>
      </c>
      <c r="M65" s="6">
        <f>'TBS Adjustments'!P153</f>
        <v>0</v>
      </c>
      <c r="N65" s="6">
        <f>'TBS Adjustments'!Q153</f>
        <v>0</v>
      </c>
      <c r="O65" s="6"/>
      <c r="P65" s="6">
        <f t="shared" si="10"/>
        <v>0</v>
      </c>
      <c r="Q65" s="468">
        <f>'Rate Design'!T29</f>
        <v>0.66660000000000008</v>
      </c>
      <c r="R65" s="6">
        <f t="shared" si="11"/>
        <v>0</v>
      </c>
    </row>
    <row r="66" spans="1:18">
      <c r="A66" s="4">
        <v>55</v>
      </c>
      <c r="B66" s="21" t="s">
        <v>53</v>
      </c>
      <c r="C66" s="20">
        <f>C63+C64+C65</f>
        <v>0</v>
      </c>
      <c r="D66" s="20">
        <f t="shared" ref="D66:N66" si="12">D63+D64+D65</f>
        <v>0</v>
      </c>
      <c r="E66" s="20">
        <f t="shared" si="12"/>
        <v>0</v>
      </c>
      <c r="F66" s="20">
        <f t="shared" si="12"/>
        <v>0</v>
      </c>
      <c r="G66" s="20">
        <f t="shared" si="12"/>
        <v>0</v>
      </c>
      <c r="H66" s="20">
        <f t="shared" si="12"/>
        <v>0</v>
      </c>
      <c r="I66" s="20">
        <f t="shared" si="12"/>
        <v>0</v>
      </c>
      <c r="J66" s="20">
        <f t="shared" si="12"/>
        <v>0</v>
      </c>
      <c r="K66" s="20">
        <f t="shared" si="12"/>
        <v>0</v>
      </c>
      <c r="L66" s="20">
        <f t="shared" si="12"/>
        <v>0</v>
      </c>
      <c r="M66" s="20">
        <f t="shared" si="12"/>
        <v>0</v>
      </c>
      <c r="N66" s="20">
        <f t="shared" si="12"/>
        <v>0</v>
      </c>
      <c r="O66" s="288"/>
      <c r="P66" s="20">
        <f t="shared" si="10"/>
        <v>0</v>
      </c>
      <c r="Q66" s="21"/>
      <c r="R66" s="467">
        <f>SUM(R63:R65)</f>
        <v>0</v>
      </c>
    </row>
    <row r="67" spans="1:18">
      <c r="A67" s="4">
        <v>56</v>
      </c>
    </row>
    <row r="68" spans="1:18">
      <c r="A68" s="4">
        <v>57</v>
      </c>
      <c r="B68" s="23" t="s">
        <v>63</v>
      </c>
    </row>
    <row r="69" spans="1:18">
      <c r="A69" s="4">
        <v>58</v>
      </c>
      <c r="B69" s="2" t="s">
        <v>61</v>
      </c>
      <c r="C69" s="6">
        <f>'TBS Adjustments'!F141</f>
        <v>1</v>
      </c>
      <c r="D69" s="6">
        <f>'TBS Adjustments'!G141</f>
        <v>1</v>
      </c>
      <c r="E69" s="6">
        <f>'TBS Adjustments'!H141</f>
        <v>1</v>
      </c>
      <c r="F69" s="6">
        <f>'TBS Adjustments'!I141</f>
        <v>1</v>
      </c>
      <c r="G69" s="6">
        <f>'TBS Adjustments'!J141</f>
        <v>1</v>
      </c>
      <c r="H69" s="6">
        <f>'TBS Adjustments'!K141</f>
        <v>1</v>
      </c>
      <c r="I69" s="6">
        <f>'TBS Adjustments'!L141</f>
        <v>1</v>
      </c>
      <c r="J69" s="6">
        <f>'TBS Adjustments'!M141</f>
        <v>1</v>
      </c>
      <c r="K69" s="6">
        <f>'TBS Adjustments'!N141</f>
        <v>0</v>
      </c>
      <c r="L69" s="6">
        <f>'TBS Adjustments'!O141</f>
        <v>0</v>
      </c>
      <c r="M69" s="6">
        <f>'TBS Adjustments'!P141</f>
        <v>0</v>
      </c>
      <c r="N69" s="6">
        <f>'TBS Adjustments'!Q141</f>
        <v>0</v>
      </c>
      <c r="O69" s="6">
        <f>SUM(C69:N69)</f>
        <v>8</v>
      </c>
      <c r="P69" s="341"/>
      <c r="Q69" s="440">
        <f>'Bill Frequency'!Q69</f>
        <v>520</v>
      </c>
      <c r="R69" s="3">
        <f>O69*Q69</f>
        <v>4160</v>
      </c>
    </row>
    <row r="70" spans="1:18">
      <c r="A70" s="4">
        <v>59</v>
      </c>
      <c r="B70" s="2" t="s">
        <v>1</v>
      </c>
      <c r="C70" s="3">
        <f>C69*50</f>
        <v>50</v>
      </c>
      <c r="D70" s="3">
        <f t="shared" ref="D70:N70" si="13">D69*50</f>
        <v>50</v>
      </c>
      <c r="E70" s="3">
        <f t="shared" si="13"/>
        <v>50</v>
      </c>
      <c r="F70" s="3">
        <f t="shared" si="13"/>
        <v>50</v>
      </c>
      <c r="G70" s="3">
        <f t="shared" si="13"/>
        <v>50</v>
      </c>
      <c r="H70" s="3">
        <f t="shared" si="13"/>
        <v>50</v>
      </c>
      <c r="I70" s="3">
        <f t="shared" si="13"/>
        <v>50</v>
      </c>
      <c r="J70" s="3">
        <f t="shared" si="13"/>
        <v>50</v>
      </c>
      <c r="K70" s="3">
        <f t="shared" si="13"/>
        <v>0</v>
      </c>
      <c r="L70" s="3">
        <f t="shared" si="13"/>
        <v>0</v>
      </c>
      <c r="M70" s="3">
        <f t="shared" si="13"/>
        <v>0</v>
      </c>
      <c r="N70" s="3">
        <f t="shared" si="13"/>
        <v>0</v>
      </c>
      <c r="R70" s="6">
        <f>SUM(C70:N70)</f>
        <v>400</v>
      </c>
    </row>
    <row r="71" spans="1:18">
      <c r="A71" s="4">
        <v>60</v>
      </c>
      <c r="B71" s="2" t="s">
        <v>48</v>
      </c>
      <c r="C71" s="3">
        <f>C69*75</f>
        <v>75</v>
      </c>
      <c r="D71" s="3">
        <f t="shared" ref="D71:N71" si="14">D69*75</f>
        <v>75</v>
      </c>
      <c r="E71" s="3">
        <f t="shared" si="14"/>
        <v>75</v>
      </c>
      <c r="F71" s="3">
        <f t="shared" si="14"/>
        <v>75</v>
      </c>
      <c r="G71" s="3">
        <f t="shared" si="14"/>
        <v>75</v>
      </c>
      <c r="H71" s="3">
        <f t="shared" si="14"/>
        <v>75</v>
      </c>
      <c r="I71" s="3">
        <f t="shared" si="14"/>
        <v>75</v>
      </c>
      <c r="J71" s="3">
        <f t="shared" si="14"/>
        <v>75</v>
      </c>
      <c r="K71" s="3">
        <f t="shared" si="14"/>
        <v>0</v>
      </c>
      <c r="L71" s="3">
        <f t="shared" si="14"/>
        <v>0</v>
      </c>
      <c r="M71" s="3">
        <f t="shared" si="14"/>
        <v>0</v>
      </c>
      <c r="N71" s="3">
        <f t="shared" si="14"/>
        <v>0</v>
      </c>
      <c r="R71" s="6">
        <f>SUM(C71:N71)</f>
        <v>600</v>
      </c>
    </row>
    <row r="72" spans="1:18">
      <c r="A72" s="4">
        <v>61</v>
      </c>
      <c r="B72" s="2" t="s">
        <v>2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96"/>
      <c r="R72" s="6">
        <f>SUM(C72:N72)</f>
        <v>0</v>
      </c>
    </row>
    <row r="73" spans="1:18">
      <c r="A73" s="4">
        <v>62</v>
      </c>
      <c r="B73" s="2" t="s">
        <v>39</v>
      </c>
      <c r="C73" s="6">
        <f>'TBS Adjustments'!F142</f>
        <v>2000</v>
      </c>
      <c r="D73" s="6">
        <f>'TBS Adjustments'!G142</f>
        <v>2000</v>
      </c>
      <c r="E73" s="6">
        <f>'TBS Adjustments'!H142</f>
        <v>2000</v>
      </c>
      <c r="F73" s="6">
        <f>'TBS Adjustments'!I142</f>
        <v>2000</v>
      </c>
      <c r="G73" s="6">
        <f>'TBS Adjustments'!J142</f>
        <v>2000</v>
      </c>
      <c r="H73" s="6">
        <f>'TBS Adjustments'!K142</f>
        <v>2000</v>
      </c>
      <c r="I73" s="6">
        <f>'TBS Adjustments'!L142</f>
        <v>2000</v>
      </c>
      <c r="J73" s="6">
        <f>'TBS Adjustments'!M142</f>
        <v>2000</v>
      </c>
      <c r="K73" s="6">
        <f>'TBS Adjustments'!N142</f>
        <v>1975.0120000000002</v>
      </c>
      <c r="L73" s="6">
        <f>'TBS Adjustments'!O142</f>
        <v>982.16200000000015</v>
      </c>
      <c r="M73" s="6">
        <f>'TBS Adjustments'!P142</f>
        <v>0</v>
      </c>
      <c r="N73" s="6">
        <f>'TBS Adjustments'!Q142</f>
        <v>0</v>
      </c>
      <c r="O73" s="6"/>
      <c r="P73" s="6">
        <f>SUM(C73:N73)</f>
        <v>18957.173999999999</v>
      </c>
      <c r="Q73" s="13">
        <f>'Bill Frequency'!Q73</f>
        <v>0.95569999999999999</v>
      </c>
      <c r="R73" s="6">
        <f>P73*Q73</f>
        <v>18117.371191799997</v>
      </c>
    </row>
    <row r="74" spans="1:18">
      <c r="A74" s="4">
        <v>63</v>
      </c>
      <c r="B74" s="2" t="s">
        <v>40</v>
      </c>
      <c r="C74" s="6">
        <f>'TBS Adjustments'!F143</f>
        <v>0</v>
      </c>
      <c r="D74" s="6">
        <f>'TBS Adjustments'!G143</f>
        <v>0</v>
      </c>
      <c r="E74" s="6">
        <f>'TBS Adjustments'!H143</f>
        <v>0</v>
      </c>
      <c r="F74" s="6">
        <f>'TBS Adjustments'!I143</f>
        <v>0</v>
      </c>
      <c r="G74" s="6">
        <f>'TBS Adjustments'!J143</f>
        <v>0</v>
      </c>
      <c r="H74" s="6">
        <f>'TBS Adjustments'!K143</f>
        <v>0</v>
      </c>
      <c r="I74" s="6">
        <f>'TBS Adjustments'!L143</f>
        <v>0</v>
      </c>
      <c r="J74" s="6">
        <f>'TBS Adjustments'!M143</f>
        <v>0</v>
      </c>
      <c r="K74" s="6">
        <f>'TBS Adjustments'!N143</f>
        <v>0</v>
      </c>
      <c r="L74" s="6">
        <f>'TBS Adjustments'!O143</f>
        <v>0</v>
      </c>
      <c r="M74" s="6">
        <f>'TBS Adjustments'!P143</f>
        <v>0</v>
      </c>
      <c r="N74" s="6">
        <f>'TBS Adjustments'!Q143</f>
        <v>0</v>
      </c>
      <c r="O74" s="6"/>
      <c r="P74" s="6">
        <f>SUM(C74:N74)</f>
        <v>0</v>
      </c>
      <c r="Q74" s="13">
        <f>'Bill Frequency'!Q74</f>
        <v>0.78369999999999995</v>
      </c>
      <c r="R74" s="6">
        <f>P74*Q74</f>
        <v>0</v>
      </c>
    </row>
    <row r="75" spans="1:18">
      <c r="A75" s="4">
        <v>64</v>
      </c>
      <c r="B75" s="21" t="s">
        <v>53</v>
      </c>
      <c r="C75" s="20">
        <f t="shared" ref="C75:N75" si="15">C73+C74</f>
        <v>2000</v>
      </c>
      <c r="D75" s="20">
        <f t="shared" si="15"/>
        <v>2000</v>
      </c>
      <c r="E75" s="20">
        <f t="shared" si="15"/>
        <v>2000</v>
      </c>
      <c r="F75" s="20">
        <f t="shared" si="15"/>
        <v>2000</v>
      </c>
      <c r="G75" s="20">
        <f t="shared" si="15"/>
        <v>2000</v>
      </c>
      <c r="H75" s="20">
        <f t="shared" si="15"/>
        <v>2000</v>
      </c>
      <c r="I75" s="20">
        <f t="shared" si="15"/>
        <v>2000</v>
      </c>
      <c r="J75" s="20">
        <f t="shared" si="15"/>
        <v>2000</v>
      </c>
      <c r="K75" s="20">
        <f t="shared" si="15"/>
        <v>1975.0120000000002</v>
      </c>
      <c r="L75" s="20">
        <f t="shared" si="15"/>
        <v>982.16200000000015</v>
      </c>
      <c r="M75" s="20">
        <f t="shared" si="15"/>
        <v>0</v>
      </c>
      <c r="N75" s="20">
        <f t="shared" si="15"/>
        <v>0</v>
      </c>
      <c r="O75" s="20">
        <f>O69</f>
        <v>8</v>
      </c>
      <c r="P75" s="20">
        <f>SUM(P73:P74)</f>
        <v>18957.173999999999</v>
      </c>
      <c r="Q75" s="21"/>
      <c r="R75" s="467">
        <f>SUM(R69:R74)</f>
        <v>23277.371191799997</v>
      </c>
    </row>
    <row r="76" spans="1:18">
      <c r="A76" s="4">
        <v>65</v>
      </c>
    </row>
    <row r="77" spans="1:18">
      <c r="A77" s="4">
        <v>66</v>
      </c>
      <c r="B77" s="23" t="s">
        <v>64</v>
      </c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R77" s="77"/>
    </row>
    <row r="78" spans="1:18">
      <c r="A78" s="4">
        <v>67</v>
      </c>
      <c r="B78" s="2" t="s">
        <v>61</v>
      </c>
      <c r="C78" s="6">
        <f>'TBS Adjustments'!F155</f>
        <v>-1</v>
      </c>
      <c r="D78" s="6">
        <f>'TBS Adjustments'!G155</f>
        <v>-1</v>
      </c>
      <c r="E78" s="6">
        <f>'TBS Adjustments'!H155</f>
        <v>-1</v>
      </c>
      <c r="F78" s="6">
        <f>'TBS Adjustments'!I155</f>
        <v>-1</v>
      </c>
      <c r="G78" s="6">
        <f>'TBS Adjustments'!J155</f>
        <v>-1</v>
      </c>
      <c r="H78" s="6">
        <f>'TBS Adjustments'!K155</f>
        <v>-1</v>
      </c>
      <c r="I78" s="6">
        <f>'TBS Adjustments'!L155</f>
        <v>-1</v>
      </c>
      <c r="J78" s="6">
        <f>'TBS Adjustments'!M155</f>
        <v>-1</v>
      </c>
      <c r="K78" s="6">
        <f>'TBS Adjustments'!N155</f>
        <v>-1</v>
      </c>
      <c r="L78" s="6">
        <f>'TBS Adjustments'!O155</f>
        <v>-1</v>
      </c>
      <c r="M78" s="6">
        <f>'TBS Adjustments'!P155</f>
        <v>0</v>
      </c>
      <c r="N78" s="6">
        <f>'TBS Adjustments'!Q155</f>
        <v>0</v>
      </c>
      <c r="O78" s="6">
        <f>SUM(C78:N78)</f>
        <v>-10</v>
      </c>
      <c r="P78" s="54"/>
      <c r="Q78" s="44">
        <f>'Bill Frequency'!Q78</f>
        <v>520</v>
      </c>
      <c r="R78" s="3">
        <f>O78*Q78</f>
        <v>-5200</v>
      </c>
    </row>
    <row r="79" spans="1:18">
      <c r="A79" s="4">
        <v>68</v>
      </c>
      <c r="B79" s="2" t="s">
        <v>1</v>
      </c>
      <c r="C79" s="3">
        <f>C78*50</f>
        <v>-50</v>
      </c>
      <c r="D79" s="3">
        <f t="shared" ref="D79:N79" si="16">D78*50</f>
        <v>-50</v>
      </c>
      <c r="E79" s="3">
        <f t="shared" si="16"/>
        <v>-50</v>
      </c>
      <c r="F79" s="3">
        <f t="shared" si="16"/>
        <v>-50</v>
      </c>
      <c r="G79" s="3">
        <f t="shared" si="16"/>
        <v>-50</v>
      </c>
      <c r="H79" s="3">
        <f t="shared" si="16"/>
        <v>-50</v>
      </c>
      <c r="I79" s="3">
        <f t="shared" si="16"/>
        <v>-50</v>
      </c>
      <c r="J79" s="3">
        <f t="shared" si="16"/>
        <v>-50</v>
      </c>
      <c r="K79" s="3">
        <f t="shared" si="16"/>
        <v>-50</v>
      </c>
      <c r="L79" s="3">
        <f t="shared" si="16"/>
        <v>-50</v>
      </c>
      <c r="M79" s="3">
        <f t="shared" si="16"/>
        <v>0</v>
      </c>
      <c r="N79" s="3">
        <f t="shared" si="16"/>
        <v>0</v>
      </c>
      <c r="R79" s="6">
        <f>SUM(C79:N79)</f>
        <v>-500</v>
      </c>
    </row>
    <row r="80" spans="1:18">
      <c r="A80" s="4">
        <v>69</v>
      </c>
      <c r="B80" s="2" t="s">
        <v>48</v>
      </c>
      <c r="C80" s="3">
        <f>75*C78</f>
        <v>-75</v>
      </c>
      <c r="D80" s="3">
        <f t="shared" ref="D80:N80" si="17">75*D78</f>
        <v>-75</v>
      </c>
      <c r="E80" s="3">
        <f t="shared" si="17"/>
        <v>-75</v>
      </c>
      <c r="F80" s="3">
        <f t="shared" si="17"/>
        <v>-75</v>
      </c>
      <c r="G80" s="3">
        <f t="shared" si="17"/>
        <v>-75</v>
      </c>
      <c r="H80" s="3">
        <f t="shared" si="17"/>
        <v>-75</v>
      </c>
      <c r="I80" s="3">
        <f t="shared" si="17"/>
        <v>-75</v>
      </c>
      <c r="J80" s="3">
        <f t="shared" si="17"/>
        <v>-75</v>
      </c>
      <c r="K80" s="3">
        <f t="shared" si="17"/>
        <v>-75</v>
      </c>
      <c r="L80" s="3">
        <f t="shared" si="17"/>
        <v>-75</v>
      </c>
      <c r="M80" s="3">
        <f t="shared" si="17"/>
        <v>0</v>
      </c>
      <c r="N80" s="3">
        <f t="shared" si="17"/>
        <v>0</v>
      </c>
      <c r="R80" s="6">
        <f>SUM(C80:N80)</f>
        <v>-750</v>
      </c>
    </row>
    <row r="81" spans="1:18">
      <c r="A81" s="4">
        <v>70</v>
      </c>
      <c r="B81" s="2" t="s">
        <v>2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96"/>
      <c r="R81" s="6">
        <f>SUM(C81:N81)</f>
        <v>0</v>
      </c>
    </row>
    <row r="82" spans="1:18">
      <c r="A82" s="4">
        <v>71</v>
      </c>
      <c r="B82" s="2" t="s">
        <v>65</v>
      </c>
      <c r="C82" s="6">
        <f>'TBS Adjustments'!F156</f>
        <v>24804.967000000001</v>
      </c>
      <c r="D82" s="6">
        <f>'TBS Adjustments'!G156</f>
        <v>25430.249</v>
      </c>
      <c r="E82" s="6">
        <f>'TBS Adjustments'!H156</f>
        <v>26000.560000000001</v>
      </c>
      <c r="F82" s="6">
        <f>'TBS Adjustments'!I156</f>
        <v>29745.329000000002</v>
      </c>
      <c r="G82" s="6">
        <f>'TBS Adjustments'!J156</f>
        <v>29202.804</v>
      </c>
      <c r="H82" s="6">
        <f>'TBS Adjustments'!K156</f>
        <v>27561.468000000001</v>
      </c>
      <c r="I82" s="6">
        <f>'TBS Adjustments'!L156</f>
        <v>26205.491999999998</v>
      </c>
      <c r="J82" s="6">
        <f>'TBS Adjustments'!M156</f>
        <v>24559.752</v>
      </c>
      <c r="K82" s="6">
        <f>'TBS Adjustments'!N156</f>
        <v>27443.621999999999</v>
      </c>
      <c r="L82" s="6">
        <f>'TBS Adjustments'!O156</f>
        <v>29153.915000000001</v>
      </c>
      <c r="M82" s="6">
        <f>'TBS Adjustments'!P156</f>
        <v>30000</v>
      </c>
      <c r="N82" s="6">
        <f>'TBS Adjustments'!Q156</f>
        <v>30000</v>
      </c>
      <c r="O82" s="36"/>
      <c r="P82" s="36">
        <f>SUM(C82:N82)</f>
        <v>330108.158</v>
      </c>
      <c r="Q82" s="37" t="s">
        <v>47</v>
      </c>
      <c r="R82" s="6"/>
    </row>
    <row r="83" spans="1:18">
      <c r="A83" s="4">
        <v>72</v>
      </c>
      <c r="B83" s="2" t="s">
        <v>66</v>
      </c>
      <c r="C83" s="188">
        <f>'TBS Adjustments'!F158</f>
        <v>18627.902500000004</v>
      </c>
      <c r="D83" s="188">
        <f>'TBS Adjustments'!G158</f>
        <v>19059.342500000002</v>
      </c>
      <c r="E83" s="188">
        <f>'TBS Adjustments'!H158</f>
        <v>19452.862500000003</v>
      </c>
      <c r="F83" s="188">
        <f>'TBS Adjustments'!I158</f>
        <v>22036.812500000004</v>
      </c>
      <c r="G83" s="188">
        <f>'TBS Adjustments'!J158</f>
        <v>21662.402500000004</v>
      </c>
      <c r="H83" s="188">
        <f>'TBS Adjustments'!K158</f>
        <v>20529.882500000003</v>
      </c>
      <c r="I83" s="188">
        <f>'TBS Adjustments'!L158</f>
        <v>19594.262500000004</v>
      </c>
      <c r="J83" s="188">
        <f>'TBS Adjustments'!M158</f>
        <v>18475.152500000004</v>
      </c>
      <c r="K83" s="188">
        <f>'TBS Adjustments'!N158</f>
        <v>20449.922500000004</v>
      </c>
      <c r="L83" s="188">
        <f>'TBS Adjustments'!O158</f>
        <v>21628.672500000004</v>
      </c>
      <c r="M83" s="188">
        <f>'TBS Adjustments'!P158</f>
        <v>22212.472500000003</v>
      </c>
      <c r="N83" s="188">
        <f>'TBS Adjustments'!Q158</f>
        <v>22212.472500000003</v>
      </c>
      <c r="O83" s="36"/>
      <c r="P83" s="36"/>
      <c r="Q83" s="37"/>
      <c r="R83" s="6">
        <f>SUM(C83:N83)</f>
        <v>245942.16000000006</v>
      </c>
    </row>
    <row r="84" spans="1:18">
      <c r="A84" s="4">
        <v>73</v>
      </c>
      <c r="B84" s="21" t="s">
        <v>53</v>
      </c>
      <c r="C84" s="20">
        <f t="shared" ref="C84:N84" si="18">C82</f>
        <v>24804.967000000001</v>
      </c>
      <c r="D84" s="20">
        <f t="shared" si="18"/>
        <v>25430.249</v>
      </c>
      <c r="E84" s="20">
        <f t="shared" si="18"/>
        <v>26000.560000000001</v>
      </c>
      <c r="F84" s="20">
        <f t="shared" si="18"/>
        <v>29745.329000000002</v>
      </c>
      <c r="G84" s="20">
        <f t="shared" si="18"/>
        <v>29202.804</v>
      </c>
      <c r="H84" s="20">
        <f t="shared" si="18"/>
        <v>27561.468000000001</v>
      </c>
      <c r="I84" s="20">
        <f t="shared" si="18"/>
        <v>26205.491999999998</v>
      </c>
      <c r="J84" s="20">
        <f t="shared" si="18"/>
        <v>24559.752</v>
      </c>
      <c r="K84" s="20">
        <f t="shared" si="18"/>
        <v>27443.621999999999</v>
      </c>
      <c r="L84" s="20">
        <f t="shared" si="18"/>
        <v>29153.915000000001</v>
      </c>
      <c r="M84" s="20">
        <f t="shared" si="18"/>
        <v>30000</v>
      </c>
      <c r="N84" s="20">
        <f t="shared" si="18"/>
        <v>30000</v>
      </c>
      <c r="O84" s="20">
        <f>O78</f>
        <v>-10</v>
      </c>
      <c r="P84" s="20">
        <f>P82</f>
        <v>330108.158</v>
      </c>
      <c r="Q84" s="21"/>
      <c r="R84" s="467">
        <f>SUM(R78:R83)</f>
        <v>239492.16000000006</v>
      </c>
    </row>
    <row r="87" spans="1:18">
      <c r="N87" s="158"/>
    </row>
  </sheetData>
  <phoneticPr fontId="7" type="noConversion"/>
  <printOptions horizontalCentered="1"/>
  <pageMargins left="0.25" right="0.25" top="0.75" bottom="0.75" header="0.3" footer="0.3"/>
  <pageSetup scale="74" fitToHeight="0" orientation="landscape" r:id="rId1"/>
  <headerFooter alignWithMargins="0">
    <oddFooter>&amp;C&amp;A&amp;RPage &amp;P</oddFooter>
  </headerFooter>
  <rowBreaks count="1" manualBreakCount="1">
    <brk id="50" max="17" man="1"/>
  </row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transitionEntry="1" codeName="Sheet22">
    <pageSetUpPr fitToPage="1"/>
  </sheetPr>
  <dimension ref="A1:T32"/>
  <sheetViews>
    <sheetView zoomScaleNormal="100" workbookViewId="0">
      <selection activeCell="D50" sqref="D50"/>
    </sheetView>
  </sheetViews>
  <sheetFormatPr defaultColWidth="12.5703125" defaultRowHeight="12.75"/>
  <cols>
    <col min="1" max="1" width="5.5703125" style="2" bestFit="1" customWidth="1"/>
    <col min="2" max="2" width="29.5703125" style="2" customWidth="1"/>
    <col min="3" max="4" width="8.5703125" style="2" customWidth="1"/>
    <col min="5" max="5" width="9.85546875" style="2" bestFit="1" customWidth="1"/>
    <col min="6" max="6" width="8.5703125" style="2" customWidth="1"/>
    <col min="7" max="7" width="9.42578125" style="2" bestFit="1" customWidth="1"/>
    <col min="8" max="8" width="10.5703125" style="2" customWidth="1"/>
    <col min="9" max="10" width="9" style="2" bestFit="1" customWidth="1"/>
    <col min="11" max="11" width="10.140625" style="2" bestFit="1" customWidth="1"/>
    <col min="12" max="14" width="8.5703125" style="2" customWidth="1"/>
    <col min="15" max="15" width="9.85546875" style="2" bestFit="1" customWidth="1"/>
    <col min="16" max="16" width="10.5703125" style="2" customWidth="1"/>
    <col min="17" max="17" width="10.5703125" style="2" bestFit="1" customWidth="1"/>
    <col min="18" max="18" width="11.5703125" style="2" customWidth="1"/>
    <col min="19" max="19" width="15.5703125" style="2" customWidth="1"/>
    <col min="20" max="20" width="15.140625" style="2" customWidth="1"/>
    <col min="21" max="21" width="16.42578125" style="2" customWidth="1"/>
    <col min="22" max="22" width="13.85546875" style="2" customWidth="1"/>
    <col min="23" max="23" width="16.5703125" style="2" customWidth="1"/>
    <col min="24" max="24" width="11.5703125" style="2" bestFit="1" customWidth="1"/>
    <col min="25" max="25" width="17.5703125" style="2" customWidth="1"/>
    <col min="26" max="16384" width="12.5703125" style="2"/>
  </cols>
  <sheetData>
    <row r="1" spans="1:20">
      <c r="O1" s="6"/>
      <c r="P1" s="6"/>
    </row>
    <row r="2" spans="1:20">
      <c r="H2"/>
      <c r="L2"/>
      <c r="M2"/>
      <c r="N2"/>
      <c r="O2"/>
      <c r="P2" s="6"/>
      <c r="R2" s="39"/>
    </row>
    <row r="3" spans="1:20">
      <c r="O3" s="6"/>
      <c r="P3" s="6"/>
      <c r="Q3" s="671" t="str">
        <f>CONCATENATE("EXHIBIT ",Dashboard!D16,"-4 (A)")</f>
        <v>EXHIBIT TLT-4 (A)</v>
      </c>
      <c r="R3" s="671"/>
    </row>
    <row r="4" spans="1:20">
      <c r="A4" s="666" t="s">
        <v>677</v>
      </c>
      <c r="B4" s="666"/>
      <c r="C4" s="666"/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  <c r="P4" s="666"/>
      <c r="Q4" s="666"/>
      <c r="R4" s="666"/>
    </row>
    <row r="5" spans="1:20">
      <c r="A5" s="666" t="s">
        <v>751</v>
      </c>
      <c r="B5" s="666"/>
      <c r="C5" s="666"/>
      <c r="D5" s="666"/>
      <c r="E5" s="666"/>
      <c r="F5" s="666"/>
      <c r="G5" s="666"/>
      <c r="H5" s="666"/>
      <c r="I5" s="666"/>
      <c r="J5" s="666"/>
      <c r="K5" s="666"/>
      <c r="L5" s="666"/>
      <c r="M5" s="666"/>
      <c r="N5" s="666"/>
      <c r="O5" s="666"/>
      <c r="P5" s="666"/>
      <c r="Q5" s="666"/>
      <c r="R5" s="666"/>
    </row>
    <row r="6" spans="1:20">
      <c r="A6" s="666" t="str">
        <f>UPPER('Test Year Revenue Present'!D9)</f>
        <v>REFERENCE PERIOD - TWELVE MONTHS ENDING 06/30/2024</v>
      </c>
      <c r="B6" s="666"/>
      <c r="C6" s="666"/>
      <c r="D6" s="666"/>
      <c r="E6" s="666"/>
      <c r="F6" s="666"/>
      <c r="G6" s="666"/>
      <c r="H6" s="666"/>
      <c r="I6" s="666"/>
      <c r="J6" s="666"/>
      <c r="K6" s="666"/>
      <c r="L6" s="666"/>
      <c r="M6" s="666"/>
      <c r="N6" s="666"/>
      <c r="O6" s="666"/>
      <c r="P6" s="666"/>
      <c r="Q6" s="666"/>
      <c r="R6" s="666"/>
    </row>
    <row r="8" spans="1:20">
      <c r="A8" s="7" t="s">
        <v>11</v>
      </c>
      <c r="O8" s="4" t="s">
        <v>17</v>
      </c>
      <c r="R8" s="4" t="s">
        <v>18</v>
      </c>
    </row>
    <row r="9" spans="1:20">
      <c r="A9" s="8" t="s">
        <v>16</v>
      </c>
      <c r="B9" s="9" t="s">
        <v>26</v>
      </c>
      <c r="C9" s="35">
        <f>WNA!C10</f>
        <v>45108</v>
      </c>
      <c r="D9" s="35">
        <f>WNA!D10</f>
        <v>45169</v>
      </c>
      <c r="E9" s="35">
        <f>WNA!E10</f>
        <v>45199</v>
      </c>
      <c r="F9" s="35">
        <f>WNA!F10</f>
        <v>45230</v>
      </c>
      <c r="G9" s="35">
        <f>WNA!G10</f>
        <v>45260</v>
      </c>
      <c r="H9" s="35">
        <f>WNA!H10</f>
        <v>45291</v>
      </c>
      <c r="I9" s="35">
        <f>WNA!I10</f>
        <v>45322</v>
      </c>
      <c r="J9" s="35">
        <f>WNA!J10</f>
        <v>45351</v>
      </c>
      <c r="K9" s="35">
        <f>WNA!K10</f>
        <v>45382</v>
      </c>
      <c r="L9" s="35">
        <f>WNA!L10</f>
        <v>45412</v>
      </c>
      <c r="M9" s="35">
        <f>WNA!M10</f>
        <v>45443</v>
      </c>
      <c r="N9" s="35">
        <f>WNA!N10</f>
        <v>45473</v>
      </c>
      <c r="O9" s="10" t="s">
        <v>19</v>
      </c>
      <c r="P9" s="10" t="s">
        <v>20</v>
      </c>
      <c r="Q9" s="10" t="s">
        <v>5</v>
      </c>
      <c r="R9" s="10" t="s">
        <v>21</v>
      </c>
    </row>
    <row r="10" spans="1:20">
      <c r="C10" s="42" t="s">
        <v>12</v>
      </c>
      <c r="D10" s="42" t="s">
        <v>13</v>
      </c>
      <c r="E10" s="4" t="s">
        <v>14</v>
      </c>
      <c r="F10" s="48" t="s">
        <v>15</v>
      </c>
      <c r="G10" s="49" t="s">
        <v>80</v>
      </c>
      <c r="H10" s="49" t="s">
        <v>81</v>
      </c>
      <c r="I10" s="49" t="s">
        <v>82</v>
      </c>
      <c r="J10" s="49" t="s">
        <v>83</v>
      </c>
      <c r="K10" s="49" t="s">
        <v>84</v>
      </c>
      <c r="L10" s="49" t="s">
        <v>85</v>
      </c>
      <c r="M10" s="49" t="s">
        <v>86</v>
      </c>
      <c r="N10" s="49" t="s">
        <v>87</v>
      </c>
      <c r="O10" s="49" t="s">
        <v>88</v>
      </c>
      <c r="P10" s="49" t="s">
        <v>204</v>
      </c>
      <c r="Q10" s="49" t="s">
        <v>205</v>
      </c>
      <c r="R10" s="42" t="s">
        <v>206</v>
      </c>
    </row>
    <row r="12" spans="1:20">
      <c r="A12" s="4">
        <v>1</v>
      </c>
      <c r="B12" s="23" t="s">
        <v>29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4"/>
      <c r="P12" s="54"/>
      <c r="Q12" s="4"/>
      <c r="R12" s="4"/>
    </row>
    <row r="13" spans="1:20">
      <c r="A13" s="4">
        <v>2</v>
      </c>
      <c r="B13" s="2" t="s">
        <v>22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>
        <f>SUM(C13:N13)</f>
        <v>0</v>
      </c>
      <c r="P13" s="6"/>
      <c r="Q13" s="11">
        <f>'Bill Frequency'!Q13</f>
        <v>19.3</v>
      </c>
      <c r="R13" s="3">
        <f>O13*Q13</f>
        <v>0</v>
      </c>
      <c r="S13"/>
      <c r="T13" s="372"/>
    </row>
    <row r="14" spans="1:20">
      <c r="A14" s="4">
        <v>3</v>
      </c>
      <c r="B14" s="2" t="s">
        <v>23</v>
      </c>
      <c r="C14" s="6">
        <f>WNA!C38</f>
        <v>-10077</v>
      </c>
      <c r="D14" s="6">
        <f>WNA!D38</f>
        <v>10077</v>
      </c>
      <c r="E14" s="6">
        <f>WNA!E38</f>
        <v>-5865</v>
      </c>
      <c r="F14" s="6">
        <f>WNA!F38</f>
        <v>89216</v>
      </c>
      <c r="G14" s="6">
        <f>WNA!G38</f>
        <v>307383</v>
      </c>
      <c r="H14" s="6">
        <f>WNA!H38</f>
        <v>310242</v>
      </c>
      <c r="I14" s="6">
        <f>WNA!I38</f>
        <v>-146379</v>
      </c>
      <c r="J14" s="6">
        <f>WNA!J38</f>
        <v>200289</v>
      </c>
      <c r="K14" s="6">
        <f>WNA!K38</f>
        <v>335687</v>
      </c>
      <c r="L14" s="6">
        <f>WNA!L38</f>
        <v>114960</v>
      </c>
      <c r="M14" s="6">
        <f>WNA!M38</f>
        <v>122514</v>
      </c>
      <c r="N14" s="6">
        <f>WNA!N38</f>
        <v>-1202</v>
      </c>
      <c r="O14" s="6"/>
      <c r="P14" s="6">
        <f>SUM(C14:N14)</f>
        <v>1326845</v>
      </c>
      <c r="Q14" s="13">
        <f>'Bill Frequency'!Q14</f>
        <v>1.5483</v>
      </c>
      <c r="R14" s="6">
        <f>P14*Q14</f>
        <v>2054354.1135</v>
      </c>
    </row>
    <row r="15" spans="1:20">
      <c r="A15" s="4">
        <v>4</v>
      </c>
      <c r="B15" s="2" t="s">
        <v>24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>
        <f>SUM(C15:N15)</f>
        <v>0</v>
      </c>
      <c r="Q15" s="13">
        <f>'Bill Frequency'!Q15</f>
        <v>1.0762</v>
      </c>
      <c r="R15" s="6">
        <f>P15*Q15</f>
        <v>0</v>
      </c>
    </row>
    <row r="16" spans="1:20">
      <c r="A16" s="4">
        <v>5</v>
      </c>
      <c r="B16" s="2" t="s">
        <v>55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>
        <v>0</v>
      </c>
      <c r="Q16" s="13">
        <f>'Bill Frequency'!Q16</f>
        <v>0.88880000000000003</v>
      </c>
      <c r="R16" s="6">
        <f>P16*Q16</f>
        <v>0</v>
      </c>
    </row>
    <row r="17" spans="1:20">
      <c r="A17" s="4">
        <v>6</v>
      </c>
      <c r="B17" s="21" t="s">
        <v>53</v>
      </c>
      <c r="C17" s="20">
        <f t="shared" ref="C17:N17" si="0">C14+C15+C16</f>
        <v>-10077</v>
      </c>
      <c r="D17" s="20">
        <f t="shared" si="0"/>
        <v>10077</v>
      </c>
      <c r="E17" s="20">
        <f t="shared" si="0"/>
        <v>-5865</v>
      </c>
      <c r="F17" s="20">
        <f t="shared" si="0"/>
        <v>89216</v>
      </c>
      <c r="G17" s="20">
        <f t="shared" si="0"/>
        <v>307383</v>
      </c>
      <c r="H17" s="20">
        <f t="shared" si="0"/>
        <v>310242</v>
      </c>
      <c r="I17" s="20">
        <f t="shared" si="0"/>
        <v>-146379</v>
      </c>
      <c r="J17" s="20">
        <f t="shared" si="0"/>
        <v>200289</v>
      </c>
      <c r="K17" s="20">
        <f t="shared" si="0"/>
        <v>335687</v>
      </c>
      <c r="L17" s="20">
        <f t="shared" si="0"/>
        <v>114960</v>
      </c>
      <c r="M17" s="20">
        <f t="shared" si="0"/>
        <v>122514</v>
      </c>
      <c r="N17" s="20">
        <f t="shared" si="0"/>
        <v>-1202</v>
      </c>
      <c r="O17" s="20">
        <f>O13</f>
        <v>0</v>
      </c>
      <c r="P17" s="20">
        <f>SUM(P14:P16)</f>
        <v>1326845</v>
      </c>
      <c r="Q17" s="21"/>
      <c r="R17" s="467">
        <f>SUM(R13:R16)</f>
        <v>2054354.1135</v>
      </c>
    </row>
    <row r="18" spans="1:20">
      <c r="A18" s="4">
        <v>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R18" s="3"/>
    </row>
    <row r="19" spans="1:20">
      <c r="A19" s="4">
        <v>8</v>
      </c>
      <c r="B19" s="23" t="s">
        <v>30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6"/>
      <c r="P19" s="6"/>
    </row>
    <row r="20" spans="1:20">
      <c r="A20" s="4">
        <v>9</v>
      </c>
      <c r="B20" s="2" t="s">
        <v>22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f>SUM(C20:N20)</f>
        <v>0</v>
      </c>
      <c r="P20" s="54"/>
      <c r="Q20" s="44">
        <f>'Bill Frequency'!Q20</f>
        <v>66</v>
      </c>
      <c r="R20" s="3">
        <f>O20*Q20</f>
        <v>0</v>
      </c>
      <c r="S20"/>
      <c r="T20" s="372"/>
    </row>
    <row r="21" spans="1:20">
      <c r="A21" s="4">
        <v>10</v>
      </c>
      <c r="B21" s="2" t="s">
        <v>23</v>
      </c>
      <c r="C21" s="6">
        <f>WNA!C65</f>
        <v>-10049.025914248683</v>
      </c>
      <c r="D21" s="6">
        <f>WNA!D65</f>
        <v>10400.983102803653</v>
      </c>
      <c r="E21" s="6">
        <f>WNA!E65</f>
        <v>-37548.351977047874</v>
      </c>
      <c r="F21" s="6">
        <f>WNA!F65</f>
        <v>-25238.381806073929</v>
      </c>
      <c r="G21" s="6">
        <f>WNA!G65</f>
        <v>134687.21587466649</v>
      </c>
      <c r="H21" s="6">
        <f>WNA!H65</f>
        <v>153993.11041907253</v>
      </c>
      <c r="I21" s="6">
        <f>WNA!I65</f>
        <v>-65079.048579439135</v>
      </c>
      <c r="J21" s="6">
        <f>WNA!J65</f>
        <v>89830.361073386433</v>
      </c>
      <c r="K21" s="6">
        <f>WNA!K65</f>
        <v>171063.58164981776</v>
      </c>
      <c r="L21" s="6">
        <f>WNA!L65</f>
        <v>82830.71021492935</v>
      </c>
      <c r="M21" s="6">
        <f>WNA!M65</f>
        <v>62760.486928873252</v>
      </c>
      <c r="N21" s="6">
        <f>WNA!N65</f>
        <v>-2677.2242341878391</v>
      </c>
      <c r="O21" s="6"/>
      <c r="P21" s="6">
        <f>SUM(C21:N21)</f>
        <v>564974.41675255203</v>
      </c>
      <c r="Q21" s="13">
        <f>'Bill Frequency'!Q21</f>
        <v>1.5483</v>
      </c>
      <c r="R21" s="6">
        <f>P21*Q21</f>
        <v>874749.88945797633</v>
      </c>
      <c r="S21"/>
      <c r="T21"/>
    </row>
    <row r="22" spans="1:20">
      <c r="A22" s="4">
        <v>11</v>
      </c>
      <c r="B22" s="2" t="s">
        <v>24</v>
      </c>
      <c r="C22" s="6">
        <f>WNA!C66</f>
        <v>-1540.9740857513157</v>
      </c>
      <c r="D22" s="6">
        <f>WNA!D66</f>
        <v>1189.0168971963462</v>
      </c>
      <c r="E22" s="6">
        <f>WNA!E66</f>
        <v>-12501.648022952129</v>
      </c>
      <c r="F22" s="6">
        <f>WNA!F66</f>
        <v>-11446.61819392607</v>
      </c>
      <c r="G22" s="6">
        <f>WNA!G66</f>
        <v>19021.784125333503</v>
      </c>
      <c r="H22" s="6">
        <f>WNA!H66</f>
        <v>20727.889580927476</v>
      </c>
      <c r="I22" s="6">
        <f>WNA!I66</f>
        <v>-11835.951420560868</v>
      </c>
      <c r="J22" s="6">
        <f>WNA!J66</f>
        <v>14167.638926613576</v>
      </c>
      <c r="K22" s="6">
        <f>WNA!K66</f>
        <v>19064.418350182252</v>
      </c>
      <c r="L22" s="6">
        <f>WNA!L66</f>
        <v>8449.2897850706595</v>
      </c>
      <c r="M22" s="6">
        <f>WNA!M66</f>
        <v>6763.5130711267484</v>
      </c>
      <c r="N22" s="6">
        <f>WNA!N66</f>
        <v>-352.77576581216073</v>
      </c>
      <c r="O22" s="6"/>
      <c r="P22" s="6">
        <f>SUM(C22:N22)</f>
        <v>51705.583247448005</v>
      </c>
      <c r="Q22" s="13">
        <f>'Bill Frequency'!Q22</f>
        <v>1.0762</v>
      </c>
      <c r="R22" s="6">
        <f>P22*Q22</f>
        <v>55645.548690903546</v>
      </c>
      <c r="S22"/>
      <c r="T22"/>
    </row>
    <row r="23" spans="1:20">
      <c r="A23" s="4">
        <v>12</v>
      </c>
      <c r="B23" s="2" t="s">
        <v>55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>
        <f>SUM(C23:N23)</f>
        <v>0</v>
      </c>
      <c r="Q23" s="13">
        <f>'Bill Frequency'!Q23</f>
        <v>0.88880000000000003</v>
      </c>
      <c r="R23" s="6">
        <f>P23*Q23</f>
        <v>0</v>
      </c>
      <c r="S23"/>
      <c r="T23"/>
    </row>
    <row r="24" spans="1:20">
      <c r="A24" s="4">
        <v>13</v>
      </c>
      <c r="B24" s="21" t="s">
        <v>53</v>
      </c>
      <c r="C24" s="20">
        <f>SUM(C21:C23)</f>
        <v>-11589.999999999998</v>
      </c>
      <c r="D24" s="20">
        <f t="shared" ref="D24:N24" si="1">SUM(D21:D23)</f>
        <v>11590</v>
      </c>
      <c r="E24" s="20">
        <f t="shared" si="1"/>
        <v>-50050</v>
      </c>
      <c r="F24" s="20">
        <f t="shared" si="1"/>
        <v>-36685</v>
      </c>
      <c r="G24" s="20">
        <f t="shared" si="1"/>
        <v>153709</v>
      </c>
      <c r="H24" s="20">
        <f t="shared" si="1"/>
        <v>174721</v>
      </c>
      <c r="I24" s="20">
        <f t="shared" si="1"/>
        <v>-76915</v>
      </c>
      <c r="J24" s="20">
        <f t="shared" si="1"/>
        <v>103998.00000000001</v>
      </c>
      <c r="K24" s="20">
        <f t="shared" si="1"/>
        <v>190128</v>
      </c>
      <c r="L24" s="20">
        <f t="shared" si="1"/>
        <v>91280.000000000015</v>
      </c>
      <c r="M24" s="20">
        <f t="shared" si="1"/>
        <v>69524</v>
      </c>
      <c r="N24" s="20">
        <f t="shared" si="1"/>
        <v>-3030</v>
      </c>
      <c r="O24" s="20">
        <f>O20</f>
        <v>0</v>
      </c>
      <c r="P24" s="20">
        <f>SUM(P21:P23)</f>
        <v>616680</v>
      </c>
      <c r="Q24" s="21"/>
      <c r="R24" s="467">
        <f>SUM(R20:R23)</f>
        <v>930395.43814887991</v>
      </c>
      <c r="S24"/>
      <c r="T24"/>
    </row>
    <row r="25" spans="1:20">
      <c r="A25" s="4">
        <v>14</v>
      </c>
      <c r="S25"/>
      <c r="T25"/>
    </row>
    <row r="26" spans="1:20">
      <c r="A26" s="4">
        <v>15</v>
      </c>
      <c r="B26" s="23" t="s">
        <v>56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6"/>
      <c r="P26" s="6"/>
      <c r="Q26" s="13"/>
      <c r="R26" s="3"/>
      <c r="S26"/>
      <c r="T26"/>
    </row>
    <row r="27" spans="1:20">
      <c r="A27" s="4">
        <v>16</v>
      </c>
      <c r="B27" s="2" t="s">
        <v>22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>
        <f>SUM(C27:N27)</f>
        <v>0</v>
      </c>
      <c r="P27" s="54"/>
      <c r="Q27" s="11">
        <f>'Bill Frequency'!Q34</f>
        <v>66</v>
      </c>
      <c r="R27" s="3">
        <f>O27*Q27</f>
        <v>0</v>
      </c>
      <c r="S27"/>
      <c r="T27" s="372"/>
    </row>
    <row r="28" spans="1:20">
      <c r="A28" s="4">
        <v>17</v>
      </c>
      <c r="B28" s="2" t="s">
        <v>23</v>
      </c>
      <c r="C28" s="6">
        <f>WNA!C92</f>
        <v>-974.5547544904839</v>
      </c>
      <c r="D28" s="6">
        <f>WNA!D92</f>
        <v>976.92419579936245</v>
      </c>
      <c r="E28" s="6">
        <f>WNA!E92</f>
        <v>-450.17800008349474</v>
      </c>
      <c r="F28" s="6">
        <f>WNA!F92</f>
        <v>262.31466389846361</v>
      </c>
      <c r="G28" s="6">
        <f>WNA!G92</f>
        <v>19645.738312576683</v>
      </c>
      <c r="H28" s="6">
        <f>WNA!H92</f>
        <v>26561.146521675149</v>
      </c>
      <c r="I28" s="6">
        <f>WNA!I92</f>
        <v>-4150.3933788686709</v>
      </c>
      <c r="J28" s="6">
        <f>WNA!J92</f>
        <v>13247.544815776935</v>
      </c>
      <c r="K28" s="6">
        <f>WNA!K92</f>
        <v>25291.135069688724</v>
      </c>
      <c r="L28" s="6">
        <f>WNA!L92</f>
        <v>10777.702350856429</v>
      </c>
      <c r="M28" s="6">
        <f>WNA!M92</f>
        <v>706.02436035414689</v>
      </c>
      <c r="N28" s="6">
        <f>WNA!N92</f>
        <v>-1687.6073853236103</v>
      </c>
      <c r="O28" s="6"/>
      <c r="P28" s="6">
        <f>SUM(C28:N28)</f>
        <v>90205.796771859619</v>
      </c>
      <c r="Q28" s="13">
        <f>Q21</f>
        <v>1.5483</v>
      </c>
      <c r="R28" s="6">
        <f>P28*Q28</f>
        <v>139665.63514187024</v>
      </c>
    </row>
    <row r="29" spans="1:20">
      <c r="A29" s="4">
        <v>18</v>
      </c>
      <c r="B29" s="2" t="s">
        <v>24</v>
      </c>
      <c r="C29" s="6">
        <f>WNA!C93</f>
        <v>-125.44524550951611</v>
      </c>
      <c r="D29" s="6">
        <f>WNA!D93</f>
        <v>123.07580420063763</v>
      </c>
      <c r="E29" s="6">
        <f>WNA!E93</f>
        <v>-16.821999916505256</v>
      </c>
      <c r="F29" s="6">
        <f>WNA!F93</f>
        <v>34.685336101536372</v>
      </c>
      <c r="G29" s="6">
        <f>WNA!G93</f>
        <v>2471.2616874233154</v>
      </c>
      <c r="H29" s="6">
        <f>WNA!H93</f>
        <v>3692.8534783248538</v>
      </c>
      <c r="I29" s="6">
        <f>WNA!I93</f>
        <v>-1018.6066211313283</v>
      </c>
      <c r="J29" s="6">
        <f>WNA!J93</f>
        <v>3123.4551842230649</v>
      </c>
      <c r="K29" s="6">
        <f>WNA!K93</f>
        <v>3284.864930311277</v>
      </c>
      <c r="L29" s="6">
        <f>WNA!L93</f>
        <v>1105.2976491435727</v>
      </c>
      <c r="M29" s="6">
        <f>WNA!M93</f>
        <v>121.97563964585316</v>
      </c>
      <c r="N29" s="6">
        <f>WNA!N93</f>
        <v>-281.39261467638977</v>
      </c>
      <c r="O29" s="6"/>
      <c r="P29" s="6">
        <f>SUM(C29:N29)</f>
        <v>12515.20322814037</v>
      </c>
      <c r="Q29" s="13">
        <f t="shared" ref="Q29:Q30" si="2">Q22</f>
        <v>1.0762</v>
      </c>
      <c r="R29" s="6">
        <f>P29*Q29</f>
        <v>13468.861714124667</v>
      </c>
    </row>
    <row r="30" spans="1:20">
      <c r="A30" s="4">
        <v>19</v>
      </c>
      <c r="B30" s="2" t="s">
        <v>55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>
        <f>SUM(C30:N30)</f>
        <v>0</v>
      </c>
      <c r="Q30" s="13">
        <f t="shared" si="2"/>
        <v>0.88880000000000003</v>
      </c>
      <c r="R30" s="6">
        <f>P30*Q30</f>
        <v>0</v>
      </c>
    </row>
    <row r="31" spans="1:20">
      <c r="A31" s="4">
        <v>20</v>
      </c>
      <c r="B31" s="21" t="s">
        <v>53</v>
      </c>
      <c r="C31" s="20">
        <f>SUM(C28:C30)</f>
        <v>-1100</v>
      </c>
      <c r="D31" s="20">
        <f t="shared" ref="D31:N31" si="3">SUM(D28:D30)</f>
        <v>1100</v>
      </c>
      <c r="E31" s="20">
        <f t="shared" si="3"/>
        <v>-467</v>
      </c>
      <c r="F31" s="20">
        <f t="shared" si="3"/>
        <v>297</v>
      </c>
      <c r="G31" s="20">
        <f t="shared" si="3"/>
        <v>22117</v>
      </c>
      <c r="H31" s="20">
        <f t="shared" si="3"/>
        <v>30254.000000000004</v>
      </c>
      <c r="I31" s="20">
        <f t="shared" si="3"/>
        <v>-5168.9999999999991</v>
      </c>
      <c r="J31" s="20">
        <f t="shared" si="3"/>
        <v>16371</v>
      </c>
      <c r="K31" s="20">
        <f t="shared" si="3"/>
        <v>28576</v>
      </c>
      <c r="L31" s="20">
        <f t="shared" si="3"/>
        <v>11883.000000000002</v>
      </c>
      <c r="M31" s="20">
        <f t="shared" si="3"/>
        <v>828</v>
      </c>
      <c r="N31" s="20">
        <f t="shared" si="3"/>
        <v>-1969</v>
      </c>
      <c r="O31" s="20">
        <f>O27</f>
        <v>0</v>
      </c>
      <c r="P31" s="20">
        <f>SUM(P28:P30)</f>
        <v>102720.99999999999</v>
      </c>
      <c r="Q31" s="21"/>
      <c r="R31" s="467">
        <f>SUM(R27:R30)</f>
        <v>153134.49685599492</v>
      </c>
    </row>
    <row r="32" spans="1:20">
      <c r="A32" s="4"/>
    </row>
  </sheetData>
  <mergeCells count="4">
    <mergeCell ref="A4:R4"/>
    <mergeCell ref="A5:R5"/>
    <mergeCell ref="A6:R6"/>
    <mergeCell ref="Q3:R3"/>
  </mergeCells>
  <phoneticPr fontId="7" type="noConversion"/>
  <printOptions horizontalCentered="1"/>
  <pageMargins left="0.25" right="0.25" top="0.75" bottom="0.75" header="0.3" footer="0.3"/>
  <pageSetup scale="73" fitToHeight="0" orientation="landscape" r:id="rId1"/>
  <headerFooter alignWithMargins="0">
    <oddFooter>&amp;C&amp;A&amp;RPage &amp;P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CH108"/>
  <sheetViews>
    <sheetView topLeftCell="BQ1" zoomScaleNormal="100" workbookViewId="0">
      <selection activeCell="D50" sqref="D50"/>
    </sheetView>
  </sheetViews>
  <sheetFormatPr defaultColWidth="9.140625" defaultRowHeight="12.75"/>
  <cols>
    <col min="1" max="1" width="9.140625" style="26"/>
    <col min="2" max="2" width="34.42578125" style="26" bestFit="1" customWidth="1"/>
    <col min="3" max="86" width="11.5703125" style="26" customWidth="1"/>
    <col min="87" max="16384" width="9.140625" style="26"/>
  </cols>
  <sheetData>
    <row r="3" spans="1:86">
      <c r="M3" s="674" t="str">
        <f>CONCATENATE("EXHIBIT ",Dashboard!D16,"-4 (B)")</f>
        <v>EXHIBIT TLT-4 (B)</v>
      </c>
      <c r="N3" s="674"/>
    </row>
    <row r="4" spans="1:86" ht="15.75">
      <c r="A4" s="675" t="s">
        <v>677</v>
      </c>
      <c r="B4" s="675"/>
      <c r="C4" s="675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229"/>
      <c r="P4" s="229"/>
      <c r="Q4" s="229"/>
      <c r="R4" s="229"/>
      <c r="S4" s="229"/>
      <c r="T4" s="229"/>
      <c r="U4" s="229"/>
      <c r="V4" s="229"/>
      <c r="W4" s="229"/>
      <c r="X4" s="229"/>
    </row>
    <row r="5" spans="1:86" ht="15.75">
      <c r="A5" s="675" t="s">
        <v>674</v>
      </c>
      <c r="B5" s="675"/>
      <c r="C5" s="675"/>
      <c r="D5" s="675"/>
      <c r="E5" s="675"/>
      <c r="F5" s="675"/>
      <c r="G5" s="675"/>
      <c r="H5" s="675"/>
      <c r="I5" s="675"/>
      <c r="J5" s="675"/>
      <c r="K5" s="675"/>
      <c r="L5" s="675"/>
      <c r="M5" s="675"/>
      <c r="N5" s="675"/>
      <c r="O5" s="229"/>
      <c r="P5" s="229"/>
      <c r="Q5" s="229"/>
      <c r="R5" s="229"/>
      <c r="S5" s="229"/>
      <c r="T5" s="229"/>
      <c r="U5" s="229"/>
      <c r="V5" s="229"/>
      <c r="W5" s="229"/>
      <c r="X5" s="229"/>
    </row>
    <row r="6" spans="1:86" ht="15.75">
      <c r="A6" s="675" t="str">
        <f>'WNA Summary'!A6</f>
        <v>REFERENCE PERIOD - TWELVE MONTHS ENDING 06/30/2024</v>
      </c>
      <c r="B6" s="675"/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229"/>
      <c r="P6" s="229"/>
      <c r="Q6" s="229"/>
      <c r="R6" s="229"/>
      <c r="S6" s="229"/>
      <c r="T6" s="229"/>
      <c r="U6" s="229"/>
      <c r="V6" s="229"/>
      <c r="W6" s="229"/>
      <c r="X6" s="229"/>
    </row>
    <row r="7" spans="1:86" ht="15.75">
      <c r="A7" s="675" t="s">
        <v>752</v>
      </c>
      <c r="B7" s="675"/>
      <c r="C7" s="675"/>
      <c r="D7" s="675"/>
      <c r="E7" s="675"/>
      <c r="F7" s="675"/>
      <c r="G7" s="675"/>
      <c r="H7" s="675"/>
      <c r="I7" s="675"/>
      <c r="J7" s="675"/>
      <c r="K7" s="675"/>
      <c r="L7" s="675"/>
      <c r="M7" s="675"/>
      <c r="N7" s="675"/>
      <c r="O7"/>
      <c r="P7"/>
      <c r="Q7" s="229"/>
      <c r="R7" s="229"/>
      <c r="S7" s="229"/>
      <c r="T7" s="229"/>
      <c r="U7" s="229"/>
      <c r="V7" s="229"/>
      <c r="W7" s="229"/>
      <c r="X7" s="229"/>
    </row>
    <row r="8" spans="1:86" ht="15.75">
      <c r="A8" s="229"/>
      <c r="B8" s="229"/>
      <c r="C8" s="229"/>
      <c r="D8" s="229"/>
      <c r="E8" s="229"/>
      <c r="F8" s="229"/>
      <c r="G8" s="229"/>
      <c r="H8" s="229"/>
      <c r="I8" s="229"/>
      <c r="J8" s="229"/>
      <c r="K8" s="230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</row>
    <row r="9" spans="1:86">
      <c r="C9" s="663" t="str">
        <f>"Base Period – 12 Months Ending " &amp; TEXT(EOMONTH(Dashboard!$D$8,0),"MMMM YYYY")</f>
        <v>Base Period – 12 Months Ending June 2024</v>
      </c>
      <c r="D9" s="663"/>
      <c r="E9" s="663"/>
      <c r="F9" s="663"/>
      <c r="G9" s="663"/>
      <c r="H9" s="663"/>
      <c r="I9" s="663"/>
      <c r="J9" s="663"/>
      <c r="K9" s="663"/>
      <c r="L9" s="663"/>
      <c r="M9" s="663"/>
      <c r="N9" s="663"/>
      <c r="X9" s="663" t="str">
        <f>"Test Period – 12 Months Ending " &amp; TEXT(Dashboard!$D$11,"MMMM YYYY")</f>
        <v>Test Period – 12 Months Ending March 2026</v>
      </c>
      <c r="Y9" s="663"/>
      <c r="Z9" s="663"/>
      <c r="AA9" s="663"/>
      <c r="AB9" s="663"/>
      <c r="AC9" s="663"/>
      <c r="AD9" s="663"/>
      <c r="AE9" s="663"/>
      <c r="AF9" s="663"/>
      <c r="AG9" s="663"/>
      <c r="AH9" s="663"/>
      <c r="AI9" s="663"/>
    </row>
    <row r="10" spans="1:86">
      <c r="A10" s="231" t="s">
        <v>11</v>
      </c>
      <c r="B10" s="231" t="s">
        <v>4</v>
      </c>
      <c r="C10" s="478">
        <f>Dashboard!D7</f>
        <v>45108</v>
      </c>
      <c r="D10" s="479">
        <f>EOMONTH(C10,1)</f>
        <v>45169</v>
      </c>
      <c r="E10" s="479">
        <f t="shared" ref="E10:BP10" si="0">EOMONTH(D10,1)</f>
        <v>45199</v>
      </c>
      <c r="F10" s="479">
        <f t="shared" si="0"/>
        <v>45230</v>
      </c>
      <c r="G10" s="479">
        <f t="shared" si="0"/>
        <v>45260</v>
      </c>
      <c r="H10" s="479">
        <f t="shared" si="0"/>
        <v>45291</v>
      </c>
      <c r="I10" s="479">
        <f t="shared" si="0"/>
        <v>45322</v>
      </c>
      <c r="J10" s="479">
        <f t="shared" si="0"/>
        <v>45351</v>
      </c>
      <c r="K10" s="479">
        <f t="shared" si="0"/>
        <v>45382</v>
      </c>
      <c r="L10" s="479">
        <f t="shared" si="0"/>
        <v>45412</v>
      </c>
      <c r="M10" s="479">
        <f t="shared" si="0"/>
        <v>45443</v>
      </c>
      <c r="N10" s="479">
        <f t="shared" si="0"/>
        <v>45473</v>
      </c>
      <c r="O10" s="479">
        <f t="shared" si="0"/>
        <v>45504</v>
      </c>
      <c r="P10" s="479">
        <f t="shared" si="0"/>
        <v>45535</v>
      </c>
      <c r="Q10" s="479">
        <f t="shared" si="0"/>
        <v>45565</v>
      </c>
      <c r="R10" s="479">
        <f t="shared" si="0"/>
        <v>45596</v>
      </c>
      <c r="S10" s="479">
        <f t="shared" si="0"/>
        <v>45626</v>
      </c>
      <c r="T10" s="479">
        <f t="shared" si="0"/>
        <v>45657</v>
      </c>
      <c r="U10" s="479">
        <f t="shared" si="0"/>
        <v>45688</v>
      </c>
      <c r="V10" s="479">
        <f t="shared" si="0"/>
        <v>45716</v>
      </c>
      <c r="W10" s="479">
        <f t="shared" si="0"/>
        <v>45747</v>
      </c>
      <c r="X10" s="479">
        <f t="shared" si="0"/>
        <v>45777</v>
      </c>
      <c r="Y10" s="479">
        <f t="shared" si="0"/>
        <v>45808</v>
      </c>
      <c r="Z10" s="479">
        <f t="shared" si="0"/>
        <v>45838</v>
      </c>
      <c r="AA10" s="479">
        <f t="shared" si="0"/>
        <v>45869</v>
      </c>
      <c r="AB10" s="479">
        <f t="shared" si="0"/>
        <v>45900</v>
      </c>
      <c r="AC10" s="479">
        <f t="shared" si="0"/>
        <v>45930</v>
      </c>
      <c r="AD10" s="479">
        <f t="shared" si="0"/>
        <v>45961</v>
      </c>
      <c r="AE10" s="479">
        <f t="shared" si="0"/>
        <v>45991</v>
      </c>
      <c r="AF10" s="479">
        <f t="shared" si="0"/>
        <v>46022</v>
      </c>
      <c r="AG10" s="479">
        <f t="shared" si="0"/>
        <v>46053</v>
      </c>
      <c r="AH10" s="479">
        <f t="shared" si="0"/>
        <v>46081</v>
      </c>
      <c r="AI10" s="479">
        <f t="shared" si="0"/>
        <v>46112</v>
      </c>
      <c r="AJ10" s="479">
        <f t="shared" si="0"/>
        <v>46142</v>
      </c>
      <c r="AK10" s="479">
        <f t="shared" si="0"/>
        <v>46173</v>
      </c>
      <c r="AL10" s="479">
        <f t="shared" si="0"/>
        <v>46203</v>
      </c>
      <c r="AM10" s="479">
        <f t="shared" si="0"/>
        <v>46234</v>
      </c>
      <c r="AN10" s="479">
        <f t="shared" si="0"/>
        <v>46265</v>
      </c>
      <c r="AO10" s="479">
        <f t="shared" si="0"/>
        <v>46295</v>
      </c>
      <c r="AP10" s="479">
        <f t="shared" si="0"/>
        <v>46326</v>
      </c>
      <c r="AQ10" s="479">
        <f t="shared" si="0"/>
        <v>46356</v>
      </c>
      <c r="AR10" s="479">
        <f t="shared" si="0"/>
        <v>46387</v>
      </c>
      <c r="AS10" s="479">
        <f t="shared" si="0"/>
        <v>46418</v>
      </c>
      <c r="AT10" s="479">
        <f t="shared" si="0"/>
        <v>46446</v>
      </c>
      <c r="AU10" s="479">
        <f t="shared" si="0"/>
        <v>46477</v>
      </c>
      <c r="AV10" s="479">
        <f t="shared" si="0"/>
        <v>46507</v>
      </c>
      <c r="AW10" s="479">
        <f t="shared" si="0"/>
        <v>46538</v>
      </c>
      <c r="AX10" s="479">
        <f t="shared" si="0"/>
        <v>46568</v>
      </c>
      <c r="AY10" s="479">
        <f t="shared" si="0"/>
        <v>46599</v>
      </c>
      <c r="AZ10" s="479">
        <f t="shared" si="0"/>
        <v>46630</v>
      </c>
      <c r="BA10" s="479">
        <f t="shared" si="0"/>
        <v>46660</v>
      </c>
      <c r="BB10" s="479">
        <f t="shared" si="0"/>
        <v>46691</v>
      </c>
      <c r="BC10" s="479">
        <f t="shared" si="0"/>
        <v>46721</v>
      </c>
      <c r="BD10" s="479">
        <f t="shared" si="0"/>
        <v>46752</v>
      </c>
      <c r="BE10" s="479">
        <f t="shared" si="0"/>
        <v>46783</v>
      </c>
      <c r="BF10" s="479">
        <f t="shared" si="0"/>
        <v>46812</v>
      </c>
      <c r="BG10" s="479">
        <f t="shared" si="0"/>
        <v>46843</v>
      </c>
      <c r="BH10" s="479">
        <f t="shared" si="0"/>
        <v>46873</v>
      </c>
      <c r="BI10" s="479">
        <f t="shared" si="0"/>
        <v>46904</v>
      </c>
      <c r="BJ10" s="479">
        <f t="shared" si="0"/>
        <v>46934</v>
      </c>
      <c r="BK10" s="479">
        <f t="shared" si="0"/>
        <v>46965</v>
      </c>
      <c r="BL10" s="479">
        <f t="shared" si="0"/>
        <v>46996</v>
      </c>
      <c r="BM10" s="479">
        <f t="shared" si="0"/>
        <v>47026</v>
      </c>
      <c r="BN10" s="479">
        <f t="shared" si="0"/>
        <v>47057</v>
      </c>
      <c r="BO10" s="479">
        <f t="shared" si="0"/>
        <v>47087</v>
      </c>
      <c r="BP10" s="479">
        <f t="shared" si="0"/>
        <v>47118</v>
      </c>
      <c r="BQ10" s="479">
        <f t="shared" ref="BQ10:CH10" si="1">EOMONTH(BP10,1)</f>
        <v>47149</v>
      </c>
      <c r="BR10" s="479">
        <f t="shared" si="1"/>
        <v>47177</v>
      </c>
      <c r="BS10" s="479">
        <f t="shared" si="1"/>
        <v>47208</v>
      </c>
      <c r="BT10" s="479">
        <f t="shared" si="1"/>
        <v>47238</v>
      </c>
      <c r="BU10" s="479">
        <f t="shared" si="1"/>
        <v>47269</v>
      </c>
      <c r="BV10" s="479">
        <f t="shared" si="1"/>
        <v>47299</v>
      </c>
      <c r="BW10" s="479">
        <f t="shared" si="1"/>
        <v>47330</v>
      </c>
      <c r="BX10" s="479">
        <f t="shared" si="1"/>
        <v>47361</v>
      </c>
      <c r="BY10" s="479">
        <f t="shared" si="1"/>
        <v>47391</v>
      </c>
      <c r="BZ10" s="479">
        <f t="shared" si="1"/>
        <v>47422</v>
      </c>
      <c r="CA10" s="479">
        <f t="shared" si="1"/>
        <v>47452</v>
      </c>
      <c r="CB10" s="479">
        <f t="shared" si="1"/>
        <v>47483</v>
      </c>
      <c r="CC10" s="479">
        <f t="shared" si="1"/>
        <v>47514</v>
      </c>
      <c r="CD10" s="479">
        <f t="shared" si="1"/>
        <v>47542</v>
      </c>
      <c r="CE10" s="479">
        <f t="shared" si="1"/>
        <v>47573</v>
      </c>
      <c r="CF10" s="479">
        <f t="shared" si="1"/>
        <v>47603</v>
      </c>
      <c r="CG10" s="479">
        <f t="shared" si="1"/>
        <v>47634</v>
      </c>
      <c r="CH10" s="479">
        <f t="shared" si="1"/>
        <v>47664</v>
      </c>
    </row>
    <row r="11" spans="1:86">
      <c r="B11" s="233"/>
      <c r="C11" s="233" t="s">
        <v>12</v>
      </c>
      <c r="D11" s="102" t="s">
        <v>13</v>
      </c>
      <c r="E11" s="234" t="s">
        <v>14</v>
      </c>
      <c r="F11" s="234" t="s">
        <v>15</v>
      </c>
      <c r="G11" s="234" t="s">
        <v>80</v>
      </c>
      <c r="H11" s="234" t="s">
        <v>81</v>
      </c>
      <c r="I11" s="234" t="s">
        <v>82</v>
      </c>
      <c r="J11" s="234" t="s">
        <v>83</v>
      </c>
      <c r="K11" s="234" t="s">
        <v>84</v>
      </c>
      <c r="L11" s="234" t="s">
        <v>85</v>
      </c>
      <c r="M11" s="234" t="s">
        <v>86</v>
      </c>
      <c r="N11" s="234" t="s">
        <v>87</v>
      </c>
      <c r="O11" s="234" t="s">
        <v>88</v>
      </c>
      <c r="P11" s="234" t="s">
        <v>204</v>
      </c>
      <c r="Q11" s="234" t="s">
        <v>205</v>
      </c>
      <c r="R11" s="234" t="s">
        <v>206</v>
      </c>
      <c r="S11" s="234" t="s">
        <v>207</v>
      </c>
      <c r="T11" s="234" t="s">
        <v>208</v>
      </c>
      <c r="U11" s="234" t="s">
        <v>209</v>
      </c>
      <c r="V11" s="234" t="s">
        <v>210</v>
      </c>
      <c r="W11" s="234" t="s">
        <v>211</v>
      </c>
      <c r="X11" s="234" t="s">
        <v>212</v>
      </c>
      <c r="Y11" s="234" t="s">
        <v>213</v>
      </c>
      <c r="Z11" s="234" t="s">
        <v>214</v>
      </c>
      <c r="AA11" s="234" t="s">
        <v>215</v>
      </c>
      <c r="AB11" s="234" t="s">
        <v>216</v>
      </c>
      <c r="AC11" s="234" t="s">
        <v>217</v>
      </c>
      <c r="AD11" s="234" t="s">
        <v>218</v>
      </c>
      <c r="AE11" s="234" t="s">
        <v>219</v>
      </c>
      <c r="AF11" s="234" t="s">
        <v>220</v>
      </c>
      <c r="AG11" s="234" t="s">
        <v>221</v>
      </c>
      <c r="AH11" s="234" t="s">
        <v>222</v>
      </c>
      <c r="AI11" s="234" t="s">
        <v>223</v>
      </c>
      <c r="AJ11" s="234" t="s">
        <v>224</v>
      </c>
      <c r="AK11" s="234" t="s">
        <v>225</v>
      </c>
      <c r="AL11" s="234" t="s">
        <v>226</v>
      </c>
      <c r="AM11" s="234" t="s">
        <v>227</v>
      </c>
      <c r="AN11" s="234" t="s">
        <v>228</v>
      </c>
      <c r="AO11" s="234" t="s">
        <v>229</v>
      </c>
      <c r="AP11" s="234" t="s">
        <v>230</v>
      </c>
      <c r="AQ11" s="234" t="s">
        <v>231</v>
      </c>
      <c r="AR11" s="234" t="s">
        <v>232</v>
      </c>
      <c r="AS11" s="234" t="s">
        <v>233</v>
      </c>
      <c r="AT11" s="234" t="s">
        <v>234</v>
      </c>
      <c r="AU11" s="234" t="s">
        <v>235</v>
      </c>
      <c r="AV11" s="234" t="s">
        <v>236</v>
      </c>
      <c r="AW11" s="234" t="s">
        <v>237</v>
      </c>
      <c r="AX11" s="234" t="s">
        <v>238</v>
      </c>
      <c r="AY11" s="234" t="s">
        <v>239</v>
      </c>
      <c r="AZ11" s="234" t="s">
        <v>240</v>
      </c>
      <c r="BA11" s="234" t="s">
        <v>241</v>
      </c>
      <c r="BB11" s="234" t="s">
        <v>242</v>
      </c>
      <c r="BC11" s="234" t="s">
        <v>243</v>
      </c>
      <c r="BD11" s="234" t="s">
        <v>244</v>
      </c>
      <c r="BE11" s="234" t="s">
        <v>245</v>
      </c>
      <c r="BF11" s="234" t="s">
        <v>246</v>
      </c>
      <c r="BG11" s="234" t="s">
        <v>247</v>
      </c>
      <c r="BH11" s="234" t="s">
        <v>248</v>
      </c>
      <c r="BI11" s="234" t="s">
        <v>249</v>
      </c>
      <c r="BJ11" s="234" t="s">
        <v>250</v>
      </c>
      <c r="BK11" s="234" t="s">
        <v>251</v>
      </c>
      <c r="BL11" s="234" t="s">
        <v>252</v>
      </c>
      <c r="BM11" s="234" t="s">
        <v>267</v>
      </c>
      <c r="BN11" s="234" t="s">
        <v>268</v>
      </c>
      <c r="BO11" s="234" t="s">
        <v>269</v>
      </c>
      <c r="BP11" s="234" t="s">
        <v>270</v>
      </c>
      <c r="BQ11" s="234" t="s">
        <v>271</v>
      </c>
      <c r="BR11" s="234" t="s">
        <v>272</v>
      </c>
      <c r="BS11" s="234" t="s">
        <v>273</v>
      </c>
      <c r="BT11" s="234" t="s">
        <v>274</v>
      </c>
      <c r="BU11" s="234" t="s">
        <v>275</v>
      </c>
      <c r="BV11" s="234" t="s">
        <v>276</v>
      </c>
      <c r="BW11" s="234" t="s">
        <v>277</v>
      </c>
      <c r="BX11" s="234" t="s">
        <v>278</v>
      </c>
      <c r="BY11" s="234" t="s">
        <v>297</v>
      </c>
      <c r="BZ11" s="234" t="s">
        <v>298</v>
      </c>
      <c r="CA11" s="234" t="s">
        <v>299</v>
      </c>
      <c r="CB11" s="234" t="s">
        <v>300</v>
      </c>
      <c r="CC11" s="234" t="s">
        <v>301</v>
      </c>
      <c r="CD11" s="234" t="s">
        <v>302</v>
      </c>
      <c r="CE11" s="234" t="s">
        <v>303</v>
      </c>
      <c r="CF11" s="234" t="s">
        <v>304</v>
      </c>
      <c r="CG11" s="234" t="s">
        <v>305</v>
      </c>
      <c r="CH11" s="234" t="s">
        <v>306</v>
      </c>
    </row>
    <row r="12" spans="1:86">
      <c r="C12" s="101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</row>
    <row r="13" spans="1:86">
      <c r="A13" s="233">
        <v>1</v>
      </c>
      <c r="B13" s="26" t="s">
        <v>525</v>
      </c>
      <c r="C13" s="98">
        <f>HDDs!$E$12</f>
        <v>0</v>
      </c>
      <c r="D13" s="98">
        <f>HDDs!$E$13</f>
        <v>0</v>
      </c>
      <c r="E13" s="98">
        <f>HDDs!$E$14</f>
        <v>0</v>
      </c>
      <c r="F13" s="98">
        <f>HDDs!$E$15</f>
        <v>56</v>
      </c>
      <c r="G13" s="98">
        <f>HDDs!$E$16</f>
        <v>274</v>
      </c>
      <c r="H13" s="98">
        <f>HDDs!$E$17</f>
        <v>583</v>
      </c>
      <c r="I13" s="98">
        <f>HDDs!$E$18</f>
        <v>799</v>
      </c>
      <c r="J13" s="98">
        <f>HDDs!$E$19</f>
        <v>729</v>
      </c>
      <c r="K13" s="98">
        <f>HDDs!$E$20</f>
        <v>411</v>
      </c>
      <c r="L13" s="98">
        <f>HDDs!$E$21</f>
        <v>304</v>
      </c>
      <c r="M13" s="98">
        <f>HDDs!$E$22</f>
        <v>65</v>
      </c>
      <c r="N13" s="98">
        <f>HDDs!$E$23</f>
        <v>0</v>
      </c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</row>
    <row r="14" spans="1:86">
      <c r="A14" s="233">
        <v>2</v>
      </c>
      <c r="B14" s="26" t="s">
        <v>526</v>
      </c>
      <c r="C14" s="98">
        <f>HDDs!$F$12</f>
        <v>0</v>
      </c>
      <c r="D14" s="98">
        <f>HDDs!$F$13</f>
        <v>0</v>
      </c>
      <c r="E14" s="98">
        <f>HDDs!$F$14</f>
        <v>2</v>
      </c>
      <c r="F14" s="98">
        <f>HDDs!$F$15</f>
        <v>71</v>
      </c>
      <c r="G14" s="98">
        <f>HDDs!$F$16</f>
        <v>362</v>
      </c>
      <c r="H14" s="98">
        <f>HDDs!$F$17</f>
        <v>657</v>
      </c>
      <c r="I14" s="98">
        <f>HDDs!$F$18</f>
        <v>806</v>
      </c>
      <c r="J14" s="98">
        <f>HDDs!$F$19</f>
        <v>879</v>
      </c>
      <c r="K14" s="98">
        <f>HDDs!$F$20</f>
        <v>588</v>
      </c>
      <c r="L14" s="98">
        <f>HDDs!$F$21</f>
        <v>345</v>
      </c>
      <c r="M14" s="98">
        <f>HDDs!$F$22</f>
        <v>133</v>
      </c>
      <c r="N14" s="98">
        <f>HDDs!$F$23</f>
        <v>14</v>
      </c>
      <c r="O14" s="98">
        <f>C14</f>
        <v>0</v>
      </c>
      <c r="P14" s="98">
        <f t="shared" ref="P14:CA15" si="2">D14</f>
        <v>0</v>
      </c>
      <c r="Q14" s="98">
        <f t="shared" si="2"/>
        <v>2</v>
      </c>
      <c r="R14" s="98">
        <f t="shared" si="2"/>
        <v>71</v>
      </c>
      <c r="S14" s="98">
        <f t="shared" si="2"/>
        <v>362</v>
      </c>
      <c r="T14" s="98">
        <f t="shared" si="2"/>
        <v>657</v>
      </c>
      <c r="U14" s="98">
        <f t="shared" si="2"/>
        <v>806</v>
      </c>
      <c r="V14" s="98">
        <f t="shared" si="2"/>
        <v>879</v>
      </c>
      <c r="W14" s="98">
        <f t="shared" si="2"/>
        <v>588</v>
      </c>
      <c r="X14" s="98">
        <f t="shared" si="2"/>
        <v>345</v>
      </c>
      <c r="Y14" s="98">
        <f t="shared" si="2"/>
        <v>133</v>
      </c>
      <c r="Z14" s="98">
        <f t="shared" si="2"/>
        <v>14</v>
      </c>
      <c r="AA14" s="98">
        <f t="shared" si="2"/>
        <v>0</v>
      </c>
      <c r="AB14" s="98">
        <f t="shared" si="2"/>
        <v>0</v>
      </c>
      <c r="AC14" s="98">
        <f t="shared" si="2"/>
        <v>2</v>
      </c>
      <c r="AD14" s="98">
        <f t="shared" si="2"/>
        <v>71</v>
      </c>
      <c r="AE14" s="98">
        <f t="shared" si="2"/>
        <v>362</v>
      </c>
      <c r="AF14" s="98">
        <f t="shared" si="2"/>
        <v>657</v>
      </c>
      <c r="AG14" s="98">
        <f t="shared" si="2"/>
        <v>806</v>
      </c>
      <c r="AH14" s="98">
        <f t="shared" si="2"/>
        <v>879</v>
      </c>
      <c r="AI14" s="98">
        <f t="shared" si="2"/>
        <v>588</v>
      </c>
      <c r="AJ14" s="98">
        <f t="shared" si="2"/>
        <v>345</v>
      </c>
      <c r="AK14" s="98">
        <f t="shared" si="2"/>
        <v>133</v>
      </c>
      <c r="AL14" s="98">
        <f t="shared" si="2"/>
        <v>14</v>
      </c>
      <c r="AM14" s="98">
        <f t="shared" si="2"/>
        <v>0</v>
      </c>
      <c r="AN14" s="98">
        <f t="shared" si="2"/>
        <v>0</v>
      </c>
      <c r="AO14" s="98">
        <f t="shared" si="2"/>
        <v>2</v>
      </c>
      <c r="AP14" s="98">
        <f t="shared" si="2"/>
        <v>71</v>
      </c>
      <c r="AQ14" s="98">
        <f t="shared" si="2"/>
        <v>362</v>
      </c>
      <c r="AR14" s="98">
        <f t="shared" si="2"/>
        <v>657</v>
      </c>
      <c r="AS14" s="98">
        <f t="shared" si="2"/>
        <v>806</v>
      </c>
      <c r="AT14" s="98">
        <f t="shared" si="2"/>
        <v>879</v>
      </c>
      <c r="AU14" s="98">
        <f t="shared" si="2"/>
        <v>588</v>
      </c>
      <c r="AV14" s="98">
        <f t="shared" si="2"/>
        <v>345</v>
      </c>
      <c r="AW14" s="98">
        <f t="shared" si="2"/>
        <v>133</v>
      </c>
      <c r="AX14" s="98">
        <f t="shared" si="2"/>
        <v>14</v>
      </c>
      <c r="AY14" s="98">
        <f t="shared" si="2"/>
        <v>0</v>
      </c>
      <c r="AZ14" s="98">
        <f t="shared" si="2"/>
        <v>0</v>
      </c>
      <c r="BA14" s="98">
        <f t="shared" si="2"/>
        <v>2</v>
      </c>
      <c r="BB14" s="98">
        <f t="shared" si="2"/>
        <v>71</v>
      </c>
      <c r="BC14" s="98">
        <f t="shared" si="2"/>
        <v>362</v>
      </c>
      <c r="BD14" s="98">
        <f t="shared" si="2"/>
        <v>657</v>
      </c>
      <c r="BE14" s="98">
        <f t="shared" si="2"/>
        <v>806</v>
      </c>
      <c r="BF14" s="98">
        <f t="shared" si="2"/>
        <v>879</v>
      </c>
      <c r="BG14" s="98">
        <f t="shared" si="2"/>
        <v>588</v>
      </c>
      <c r="BH14" s="98">
        <f t="shared" si="2"/>
        <v>345</v>
      </c>
      <c r="BI14" s="98">
        <f t="shared" si="2"/>
        <v>133</v>
      </c>
      <c r="BJ14" s="98">
        <f t="shared" si="2"/>
        <v>14</v>
      </c>
      <c r="BK14" s="98">
        <f t="shared" si="2"/>
        <v>0</v>
      </c>
      <c r="BL14" s="98">
        <f t="shared" si="2"/>
        <v>0</v>
      </c>
      <c r="BM14" s="98">
        <f t="shared" si="2"/>
        <v>2</v>
      </c>
      <c r="BN14" s="98">
        <f t="shared" si="2"/>
        <v>71</v>
      </c>
      <c r="BO14" s="98">
        <f t="shared" si="2"/>
        <v>362</v>
      </c>
      <c r="BP14" s="98">
        <f t="shared" si="2"/>
        <v>657</v>
      </c>
      <c r="BQ14" s="98">
        <f t="shared" si="2"/>
        <v>806</v>
      </c>
      <c r="BR14" s="98">
        <f t="shared" si="2"/>
        <v>879</v>
      </c>
      <c r="BS14" s="98">
        <f t="shared" si="2"/>
        <v>588</v>
      </c>
      <c r="BT14" s="98">
        <f t="shared" si="2"/>
        <v>345</v>
      </c>
      <c r="BU14" s="98">
        <f t="shared" si="2"/>
        <v>133</v>
      </c>
      <c r="BV14" s="98">
        <f t="shared" si="2"/>
        <v>14</v>
      </c>
      <c r="BW14" s="98">
        <f t="shared" si="2"/>
        <v>0</v>
      </c>
      <c r="BX14" s="98">
        <f t="shared" si="2"/>
        <v>0</v>
      </c>
      <c r="BY14" s="98">
        <f t="shared" si="2"/>
        <v>2</v>
      </c>
      <c r="BZ14" s="98">
        <f t="shared" si="2"/>
        <v>71</v>
      </c>
      <c r="CA14" s="98">
        <f t="shared" si="2"/>
        <v>362</v>
      </c>
      <c r="CB14" s="98">
        <f t="shared" ref="CB14:CH15" si="3">BP14</f>
        <v>657</v>
      </c>
      <c r="CC14" s="98">
        <f t="shared" si="3"/>
        <v>806</v>
      </c>
      <c r="CD14" s="98">
        <f t="shared" si="3"/>
        <v>879</v>
      </c>
      <c r="CE14" s="98">
        <f t="shared" si="3"/>
        <v>588</v>
      </c>
      <c r="CF14" s="98">
        <f t="shared" si="3"/>
        <v>345</v>
      </c>
      <c r="CG14" s="98">
        <f t="shared" si="3"/>
        <v>133</v>
      </c>
      <c r="CH14" s="98">
        <f t="shared" si="3"/>
        <v>14</v>
      </c>
    </row>
    <row r="15" spans="1:86">
      <c r="A15" s="233">
        <v>3</v>
      </c>
      <c r="B15" s="26" t="s">
        <v>543</v>
      </c>
      <c r="C15" s="98">
        <f>HDDs!$D$12</f>
        <v>0</v>
      </c>
      <c r="D15" s="98">
        <f>HDDs!$D$13</f>
        <v>0</v>
      </c>
      <c r="E15" s="98">
        <f>HDDs!$D$14</f>
        <v>16</v>
      </c>
      <c r="F15" s="98">
        <f>HDDs!$D$15</f>
        <v>205</v>
      </c>
      <c r="G15" s="98">
        <f>HDDs!$D$16</f>
        <v>511</v>
      </c>
      <c r="H15" s="98">
        <f>HDDs!$D$17</f>
        <v>798</v>
      </c>
      <c r="I15" s="98">
        <f>HDDs!$D$18</f>
        <v>838</v>
      </c>
      <c r="J15" s="98">
        <f>HDDs!$D$19</f>
        <v>728</v>
      </c>
      <c r="K15" s="98">
        <f>HDDs!$D$20</f>
        <v>482</v>
      </c>
      <c r="L15" s="98">
        <f>HDDs!$D$21</f>
        <v>220</v>
      </c>
      <c r="M15" s="98">
        <f>HDDs!$D$22</f>
        <v>59</v>
      </c>
      <c r="N15" s="98">
        <f>HDDs!$D$23</f>
        <v>0</v>
      </c>
      <c r="O15" s="98">
        <f>C15</f>
        <v>0</v>
      </c>
      <c r="P15" s="98">
        <f t="shared" si="2"/>
        <v>0</v>
      </c>
      <c r="Q15" s="98">
        <f t="shared" si="2"/>
        <v>16</v>
      </c>
      <c r="R15" s="98">
        <f t="shared" si="2"/>
        <v>205</v>
      </c>
      <c r="S15" s="98">
        <f t="shared" si="2"/>
        <v>511</v>
      </c>
      <c r="T15" s="98">
        <f t="shared" si="2"/>
        <v>798</v>
      </c>
      <c r="U15" s="98">
        <f t="shared" si="2"/>
        <v>838</v>
      </c>
      <c r="V15" s="98">
        <f t="shared" si="2"/>
        <v>728</v>
      </c>
      <c r="W15" s="98">
        <f t="shared" si="2"/>
        <v>482</v>
      </c>
      <c r="X15" s="98">
        <f t="shared" si="2"/>
        <v>220</v>
      </c>
      <c r="Y15" s="98">
        <f t="shared" si="2"/>
        <v>59</v>
      </c>
      <c r="Z15" s="98">
        <f t="shared" si="2"/>
        <v>0</v>
      </c>
      <c r="AA15" s="98">
        <f t="shared" si="2"/>
        <v>0</v>
      </c>
      <c r="AB15" s="98">
        <f t="shared" si="2"/>
        <v>0</v>
      </c>
      <c r="AC15" s="98">
        <f t="shared" si="2"/>
        <v>16</v>
      </c>
      <c r="AD15" s="98">
        <f t="shared" si="2"/>
        <v>205</v>
      </c>
      <c r="AE15" s="98">
        <f t="shared" si="2"/>
        <v>511</v>
      </c>
      <c r="AF15" s="98">
        <f t="shared" si="2"/>
        <v>798</v>
      </c>
      <c r="AG15" s="98">
        <f t="shared" si="2"/>
        <v>838</v>
      </c>
      <c r="AH15" s="98">
        <f t="shared" si="2"/>
        <v>728</v>
      </c>
      <c r="AI15" s="98">
        <f t="shared" si="2"/>
        <v>482</v>
      </c>
      <c r="AJ15" s="98">
        <f t="shared" si="2"/>
        <v>220</v>
      </c>
      <c r="AK15" s="98">
        <f t="shared" si="2"/>
        <v>59</v>
      </c>
      <c r="AL15" s="98">
        <f t="shared" si="2"/>
        <v>0</v>
      </c>
      <c r="AM15" s="98">
        <f t="shared" si="2"/>
        <v>0</v>
      </c>
      <c r="AN15" s="98">
        <f t="shared" si="2"/>
        <v>0</v>
      </c>
      <c r="AO15" s="98">
        <f t="shared" si="2"/>
        <v>16</v>
      </c>
      <c r="AP15" s="98">
        <f t="shared" si="2"/>
        <v>205</v>
      </c>
      <c r="AQ15" s="98">
        <f t="shared" si="2"/>
        <v>511</v>
      </c>
      <c r="AR15" s="98">
        <f t="shared" si="2"/>
        <v>798</v>
      </c>
      <c r="AS15" s="98">
        <f t="shared" si="2"/>
        <v>838</v>
      </c>
      <c r="AT15" s="98">
        <f t="shared" si="2"/>
        <v>728</v>
      </c>
      <c r="AU15" s="98">
        <f t="shared" si="2"/>
        <v>482</v>
      </c>
      <c r="AV15" s="98">
        <f t="shared" si="2"/>
        <v>220</v>
      </c>
      <c r="AW15" s="98">
        <f t="shared" si="2"/>
        <v>59</v>
      </c>
      <c r="AX15" s="98">
        <f t="shared" si="2"/>
        <v>0</v>
      </c>
      <c r="AY15" s="98">
        <f t="shared" si="2"/>
        <v>0</v>
      </c>
      <c r="AZ15" s="98">
        <f t="shared" si="2"/>
        <v>0</v>
      </c>
      <c r="BA15" s="98">
        <f t="shared" si="2"/>
        <v>16</v>
      </c>
      <c r="BB15" s="98">
        <f t="shared" si="2"/>
        <v>205</v>
      </c>
      <c r="BC15" s="98">
        <f t="shared" si="2"/>
        <v>511</v>
      </c>
      <c r="BD15" s="98">
        <f t="shared" si="2"/>
        <v>798</v>
      </c>
      <c r="BE15" s="98">
        <f t="shared" si="2"/>
        <v>838</v>
      </c>
      <c r="BF15" s="98">
        <f t="shared" si="2"/>
        <v>728</v>
      </c>
      <c r="BG15" s="98">
        <f t="shared" si="2"/>
        <v>482</v>
      </c>
      <c r="BH15" s="98">
        <f t="shared" si="2"/>
        <v>220</v>
      </c>
      <c r="BI15" s="98">
        <f t="shared" si="2"/>
        <v>59</v>
      </c>
      <c r="BJ15" s="98">
        <f t="shared" si="2"/>
        <v>0</v>
      </c>
      <c r="BK15" s="98">
        <f t="shared" si="2"/>
        <v>0</v>
      </c>
      <c r="BL15" s="98">
        <f t="shared" si="2"/>
        <v>0</v>
      </c>
      <c r="BM15" s="98">
        <f t="shared" si="2"/>
        <v>16</v>
      </c>
      <c r="BN15" s="98">
        <f t="shared" si="2"/>
        <v>205</v>
      </c>
      <c r="BO15" s="98">
        <f t="shared" si="2"/>
        <v>511</v>
      </c>
      <c r="BP15" s="98">
        <f t="shared" si="2"/>
        <v>798</v>
      </c>
      <c r="BQ15" s="98">
        <f t="shared" si="2"/>
        <v>838</v>
      </c>
      <c r="BR15" s="98">
        <f t="shared" si="2"/>
        <v>728</v>
      </c>
      <c r="BS15" s="98">
        <f t="shared" si="2"/>
        <v>482</v>
      </c>
      <c r="BT15" s="98">
        <f t="shared" si="2"/>
        <v>220</v>
      </c>
      <c r="BU15" s="98">
        <f t="shared" si="2"/>
        <v>59</v>
      </c>
      <c r="BV15" s="98">
        <f t="shared" si="2"/>
        <v>0</v>
      </c>
      <c r="BW15" s="98">
        <f t="shared" si="2"/>
        <v>0</v>
      </c>
      <c r="BX15" s="98">
        <f t="shared" si="2"/>
        <v>0</v>
      </c>
      <c r="BY15" s="98">
        <f t="shared" si="2"/>
        <v>16</v>
      </c>
      <c r="BZ15" s="98">
        <f t="shared" si="2"/>
        <v>205</v>
      </c>
      <c r="CA15" s="98">
        <f t="shared" si="2"/>
        <v>511</v>
      </c>
      <c r="CB15" s="98">
        <f t="shared" si="3"/>
        <v>798</v>
      </c>
      <c r="CC15" s="98">
        <f t="shared" si="3"/>
        <v>838</v>
      </c>
      <c r="CD15" s="98">
        <f t="shared" si="3"/>
        <v>728</v>
      </c>
      <c r="CE15" s="98">
        <f t="shared" si="3"/>
        <v>482</v>
      </c>
      <c r="CF15" s="98">
        <f t="shared" si="3"/>
        <v>220</v>
      </c>
      <c r="CG15" s="98">
        <f t="shared" si="3"/>
        <v>59</v>
      </c>
      <c r="CH15" s="98">
        <f t="shared" si="3"/>
        <v>0</v>
      </c>
    </row>
    <row r="16" spans="1:86">
      <c r="A16" s="233">
        <v>4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/>
    </row>
    <row r="17" spans="1:86">
      <c r="A17" s="233">
        <v>5</v>
      </c>
      <c r="B17" s="23" t="s">
        <v>29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/>
    </row>
    <row r="18" spans="1:86">
      <c r="A18" s="233">
        <v>6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/>
    </row>
    <row r="19" spans="1:86">
      <c r="A19" s="233">
        <v>7</v>
      </c>
      <c r="B19" s="26" t="s">
        <v>540</v>
      </c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/>
      <c r="O19" s="99">
        <v>0</v>
      </c>
      <c r="P19" s="99">
        <f>O19</f>
        <v>0</v>
      </c>
      <c r="Q19" s="99">
        <f t="shared" ref="Q19:Z19" si="4">P19</f>
        <v>0</v>
      </c>
      <c r="R19" s="99">
        <f t="shared" si="4"/>
        <v>0</v>
      </c>
      <c r="S19" s="99">
        <f t="shared" si="4"/>
        <v>0</v>
      </c>
      <c r="T19" s="99">
        <f t="shared" si="4"/>
        <v>0</v>
      </c>
      <c r="U19" s="99">
        <f t="shared" si="4"/>
        <v>0</v>
      </c>
      <c r="V19" s="99">
        <f t="shared" si="4"/>
        <v>0</v>
      </c>
      <c r="W19" s="99">
        <f t="shared" si="4"/>
        <v>0</v>
      </c>
      <c r="X19" s="99">
        <f t="shared" si="4"/>
        <v>0</v>
      </c>
      <c r="Y19" s="99">
        <f t="shared" si="4"/>
        <v>0</v>
      </c>
      <c r="Z19" s="99">
        <f t="shared" si="4"/>
        <v>0</v>
      </c>
      <c r="AA19" s="99">
        <f t="shared" ref="AA19:AA21" si="5">Z19</f>
        <v>0</v>
      </c>
      <c r="AB19" s="99">
        <f t="shared" ref="AB19:AB21" si="6">AA19</f>
        <v>0</v>
      </c>
      <c r="AC19" s="99">
        <f t="shared" ref="AC19:AC21" si="7">AB19</f>
        <v>0</v>
      </c>
      <c r="AD19" s="99">
        <f t="shared" ref="AD19:AD21" si="8">AC19</f>
        <v>0</v>
      </c>
      <c r="AE19" s="99">
        <f t="shared" ref="AE19:AE21" si="9">AD19</f>
        <v>0</v>
      </c>
      <c r="AF19" s="99">
        <f t="shared" ref="AF19:AF21" si="10">AE19</f>
        <v>0</v>
      </c>
      <c r="AG19" s="99">
        <f t="shared" ref="AG19:AG21" si="11">AF19</f>
        <v>0</v>
      </c>
      <c r="AH19" s="99">
        <f t="shared" ref="AH19:AH21" si="12">AG19</f>
        <v>0</v>
      </c>
      <c r="AI19" s="99">
        <f t="shared" ref="AI19:AI21" si="13">AH19</f>
        <v>0</v>
      </c>
      <c r="AJ19" s="99">
        <f t="shared" ref="AJ19:AJ21" si="14">AI19</f>
        <v>0</v>
      </c>
      <c r="AK19" s="99">
        <f t="shared" ref="AK19:AK21" si="15">AJ19</f>
        <v>0</v>
      </c>
      <c r="AL19" s="99">
        <f t="shared" ref="AL19:AL21" si="16">AK19</f>
        <v>0</v>
      </c>
      <c r="AM19" s="99">
        <f t="shared" ref="AM19:AM21" si="17">AL19</f>
        <v>0</v>
      </c>
      <c r="AN19" s="99">
        <f t="shared" ref="AN19:AN21" si="18">AM19</f>
        <v>0</v>
      </c>
      <c r="AO19" s="99">
        <f t="shared" ref="AO19:AO21" si="19">AN19</f>
        <v>0</v>
      </c>
      <c r="AP19" s="99">
        <f t="shared" ref="AP19:AP21" si="20">AO19</f>
        <v>0</v>
      </c>
      <c r="AQ19" s="99">
        <f t="shared" ref="AQ19:AQ21" si="21">AP19</f>
        <v>0</v>
      </c>
      <c r="AR19" s="99">
        <f t="shared" ref="AR19:AR21" si="22">AQ19</f>
        <v>0</v>
      </c>
      <c r="AS19" s="99">
        <f t="shared" ref="AS19:AS21" si="23">AR19</f>
        <v>0</v>
      </c>
      <c r="AT19" s="99">
        <f t="shared" ref="AT19:AT21" si="24">AS19</f>
        <v>0</v>
      </c>
      <c r="AU19" s="99">
        <f t="shared" ref="AU19:AU21" si="25">AT19</f>
        <v>0</v>
      </c>
      <c r="AV19" s="99">
        <f t="shared" ref="AV19:AV21" si="26">AU19</f>
        <v>0</v>
      </c>
      <c r="AW19" s="99">
        <f t="shared" ref="AW19:AW21" si="27">AV19</f>
        <v>0</v>
      </c>
      <c r="AX19" s="99">
        <f t="shared" ref="AX19:AX21" si="28">AW19</f>
        <v>0</v>
      </c>
      <c r="AY19" s="99">
        <f t="shared" ref="AY19:AY21" si="29">AX19</f>
        <v>0</v>
      </c>
      <c r="AZ19" s="99">
        <f t="shared" ref="AZ19:AZ21" si="30">AY19</f>
        <v>0</v>
      </c>
      <c r="BA19" s="99">
        <f t="shared" ref="BA19:BA21" si="31">AZ19</f>
        <v>0</v>
      </c>
      <c r="BB19" s="99">
        <f t="shared" ref="BB19:BB21" si="32">BA19</f>
        <v>0</v>
      </c>
      <c r="BC19" s="99">
        <f t="shared" ref="BC19:BC21" si="33">BB19</f>
        <v>0</v>
      </c>
      <c r="BD19" s="99">
        <f t="shared" ref="BD19:BD21" si="34">BC19</f>
        <v>0</v>
      </c>
      <c r="BE19" s="99">
        <f t="shared" ref="BE19:BE21" si="35">BD19</f>
        <v>0</v>
      </c>
      <c r="BF19" s="99">
        <f t="shared" ref="BF19:BF21" si="36">BE19</f>
        <v>0</v>
      </c>
      <c r="BG19" s="99">
        <f t="shared" ref="BG19:BG21" si="37">BF19</f>
        <v>0</v>
      </c>
      <c r="BH19" s="99">
        <f t="shared" ref="BH19:BH21" si="38">BG19</f>
        <v>0</v>
      </c>
      <c r="BI19" s="99">
        <f t="shared" ref="BI19:BI21" si="39">BH19</f>
        <v>0</v>
      </c>
      <c r="BJ19" s="99">
        <f t="shared" ref="BJ19:BJ21" si="40">BI19</f>
        <v>0</v>
      </c>
      <c r="BK19" s="99">
        <f t="shared" ref="BK19:BK21" si="41">BJ19</f>
        <v>0</v>
      </c>
      <c r="BL19" s="99">
        <f t="shared" ref="BL19:BL21" si="42">BK19</f>
        <v>0</v>
      </c>
      <c r="BM19" s="99">
        <f t="shared" ref="BM19:BM21" si="43">BL19</f>
        <v>0</v>
      </c>
      <c r="BN19" s="99">
        <f t="shared" ref="BN19:BN21" si="44">BM19</f>
        <v>0</v>
      </c>
      <c r="BO19" s="99">
        <f t="shared" ref="BO19:BO21" si="45">BN19</f>
        <v>0</v>
      </c>
      <c r="BP19" s="99">
        <f t="shared" ref="BP19:BP21" si="46">BO19</f>
        <v>0</v>
      </c>
      <c r="BQ19" s="99">
        <f t="shared" ref="BQ19:BQ21" si="47">BP19</f>
        <v>0</v>
      </c>
      <c r="BR19" s="99">
        <f t="shared" ref="BR19:BR21" si="48">BQ19</f>
        <v>0</v>
      </c>
      <c r="BS19" s="99">
        <f t="shared" ref="BS19:BS21" si="49">BR19</f>
        <v>0</v>
      </c>
      <c r="BT19" s="99">
        <f t="shared" ref="BT19:BT21" si="50">BS19</f>
        <v>0</v>
      </c>
      <c r="BU19" s="99">
        <f t="shared" ref="BU19:BU21" si="51">BT19</f>
        <v>0</v>
      </c>
      <c r="BV19" s="99">
        <f t="shared" ref="BV19:BV21" si="52">BU19</f>
        <v>0</v>
      </c>
      <c r="BW19" s="99">
        <f t="shared" ref="BW19:BW21" si="53">BV19</f>
        <v>0</v>
      </c>
      <c r="BX19" s="99">
        <f t="shared" ref="BX19:BX21" si="54">BW19</f>
        <v>0</v>
      </c>
      <c r="BY19" s="99">
        <f t="shared" ref="BY19:BY21" si="55">BX19</f>
        <v>0</v>
      </c>
      <c r="BZ19" s="99">
        <f t="shared" ref="BZ19:BZ21" si="56">BY19</f>
        <v>0</v>
      </c>
      <c r="CA19" s="99">
        <f t="shared" ref="CA19:CA21" si="57">BZ19</f>
        <v>0</v>
      </c>
      <c r="CB19" s="99">
        <f t="shared" ref="CB19:CB21" si="58">CA19</f>
        <v>0</v>
      </c>
      <c r="CC19" s="99">
        <f t="shared" ref="CC19:CC21" si="59">CB19</f>
        <v>0</v>
      </c>
      <c r="CD19" s="99">
        <f t="shared" ref="CD19:CD21" si="60">CC19</f>
        <v>0</v>
      </c>
      <c r="CE19" s="99">
        <f t="shared" ref="CE19:CE21" si="61">CD19</f>
        <v>0</v>
      </c>
      <c r="CF19" s="99">
        <f t="shared" ref="CF19:CF21" si="62">CE19</f>
        <v>0</v>
      </c>
      <c r="CG19" s="99">
        <f t="shared" ref="CG19:CG21" si="63">CF19</f>
        <v>0</v>
      </c>
      <c r="CH19" s="99">
        <f t="shared" ref="CH19:CH21" si="64">CG19</f>
        <v>0</v>
      </c>
    </row>
    <row r="20" spans="1:86">
      <c r="A20" s="233">
        <v>8</v>
      </c>
      <c r="B20" s="26" t="s">
        <v>541</v>
      </c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99">
        <v>0</v>
      </c>
      <c r="P20" s="99">
        <f t="shared" ref="P20:Z21" si="65">O20</f>
        <v>0</v>
      </c>
      <c r="Q20" s="99">
        <f t="shared" si="65"/>
        <v>0</v>
      </c>
      <c r="R20" s="99">
        <f t="shared" si="65"/>
        <v>0</v>
      </c>
      <c r="S20" s="99">
        <f t="shared" si="65"/>
        <v>0</v>
      </c>
      <c r="T20" s="99">
        <f t="shared" si="65"/>
        <v>0</v>
      </c>
      <c r="U20" s="99">
        <f t="shared" si="65"/>
        <v>0</v>
      </c>
      <c r="V20" s="99">
        <f t="shared" si="65"/>
        <v>0</v>
      </c>
      <c r="W20" s="99">
        <f t="shared" si="65"/>
        <v>0</v>
      </c>
      <c r="X20" s="99">
        <f t="shared" si="65"/>
        <v>0</v>
      </c>
      <c r="Y20" s="99">
        <f t="shared" si="65"/>
        <v>0</v>
      </c>
      <c r="Z20" s="99">
        <f t="shared" si="65"/>
        <v>0</v>
      </c>
      <c r="AA20" s="99">
        <f t="shared" si="5"/>
        <v>0</v>
      </c>
      <c r="AB20" s="99">
        <f t="shared" si="6"/>
        <v>0</v>
      </c>
      <c r="AC20" s="99">
        <f t="shared" si="7"/>
        <v>0</v>
      </c>
      <c r="AD20" s="99">
        <f t="shared" si="8"/>
        <v>0</v>
      </c>
      <c r="AE20" s="99">
        <f t="shared" si="9"/>
        <v>0</v>
      </c>
      <c r="AF20" s="99">
        <f t="shared" si="10"/>
        <v>0</v>
      </c>
      <c r="AG20" s="99">
        <f t="shared" si="11"/>
        <v>0</v>
      </c>
      <c r="AH20" s="99">
        <f t="shared" si="12"/>
        <v>0</v>
      </c>
      <c r="AI20" s="99">
        <f t="shared" si="13"/>
        <v>0</v>
      </c>
      <c r="AJ20" s="99">
        <f t="shared" si="14"/>
        <v>0</v>
      </c>
      <c r="AK20" s="99">
        <f t="shared" si="15"/>
        <v>0</v>
      </c>
      <c r="AL20" s="99">
        <f t="shared" si="16"/>
        <v>0</v>
      </c>
      <c r="AM20" s="99">
        <f t="shared" si="17"/>
        <v>0</v>
      </c>
      <c r="AN20" s="99">
        <f t="shared" si="18"/>
        <v>0</v>
      </c>
      <c r="AO20" s="99">
        <f t="shared" si="19"/>
        <v>0</v>
      </c>
      <c r="AP20" s="99">
        <f t="shared" si="20"/>
        <v>0</v>
      </c>
      <c r="AQ20" s="99">
        <f t="shared" si="21"/>
        <v>0</v>
      </c>
      <c r="AR20" s="99">
        <f t="shared" si="22"/>
        <v>0</v>
      </c>
      <c r="AS20" s="99">
        <f t="shared" si="23"/>
        <v>0</v>
      </c>
      <c r="AT20" s="99">
        <f t="shared" si="24"/>
        <v>0</v>
      </c>
      <c r="AU20" s="99">
        <f t="shared" si="25"/>
        <v>0</v>
      </c>
      <c r="AV20" s="99">
        <f t="shared" si="26"/>
        <v>0</v>
      </c>
      <c r="AW20" s="99">
        <f t="shared" si="27"/>
        <v>0</v>
      </c>
      <c r="AX20" s="99">
        <f t="shared" si="28"/>
        <v>0</v>
      </c>
      <c r="AY20" s="99">
        <f t="shared" si="29"/>
        <v>0</v>
      </c>
      <c r="AZ20" s="99">
        <f t="shared" si="30"/>
        <v>0</v>
      </c>
      <c r="BA20" s="99">
        <f t="shared" si="31"/>
        <v>0</v>
      </c>
      <c r="BB20" s="99">
        <f t="shared" si="32"/>
        <v>0</v>
      </c>
      <c r="BC20" s="99">
        <f t="shared" si="33"/>
        <v>0</v>
      </c>
      <c r="BD20" s="99">
        <f t="shared" si="34"/>
        <v>0</v>
      </c>
      <c r="BE20" s="99">
        <f t="shared" si="35"/>
        <v>0</v>
      </c>
      <c r="BF20" s="99">
        <f t="shared" si="36"/>
        <v>0</v>
      </c>
      <c r="BG20" s="99">
        <f t="shared" si="37"/>
        <v>0</v>
      </c>
      <c r="BH20" s="99">
        <f t="shared" si="38"/>
        <v>0</v>
      </c>
      <c r="BI20" s="99">
        <f t="shared" si="39"/>
        <v>0</v>
      </c>
      <c r="BJ20" s="99">
        <f t="shared" si="40"/>
        <v>0</v>
      </c>
      <c r="BK20" s="99">
        <f t="shared" si="41"/>
        <v>0</v>
      </c>
      <c r="BL20" s="99">
        <f t="shared" si="42"/>
        <v>0</v>
      </c>
      <c r="BM20" s="99">
        <f t="shared" si="43"/>
        <v>0</v>
      </c>
      <c r="BN20" s="99">
        <f t="shared" si="44"/>
        <v>0</v>
      </c>
      <c r="BO20" s="99">
        <f t="shared" si="45"/>
        <v>0</v>
      </c>
      <c r="BP20" s="99">
        <f t="shared" si="46"/>
        <v>0</v>
      </c>
      <c r="BQ20" s="99">
        <f t="shared" si="47"/>
        <v>0</v>
      </c>
      <c r="BR20" s="99">
        <f t="shared" si="48"/>
        <v>0</v>
      </c>
      <c r="BS20" s="99">
        <f t="shared" si="49"/>
        <v>0</v>
      </c>
      <c r="BT20" s="99">
        <f t="shared" si="50"/>
        <v>0</v>
      </c>
      <c r="BU20" s="99">
        <f t="shared" si="51"/>
        <v>0</v>
      </c>
      <c r="BV20" s="99">
        <f t="shared" si="52"/>
        <v>0</v>
      </c>
      <c r="BW20" s="99">
        <f t="shared" si="53"/>
        <v>0</v>
      </c>
      <c r="BX20" s="99">
        <f t="shared" si="54"/>
        <v>0</v>
      </c>
      <c r="BY20" s="99">
        <f t="shared" si="55"/>
        <v>0</v>
      </c>
      <c r="BZ20" s="99">
        <f t="shared" si="56"/>
        <v>0</v>
      </c>
      <c r="CA20" s="99">
        <f t="shared" si="57"/>
        <v>0</v>
      </c>
      <c r="CB20" s="99">
        <f t="shared" si="58"/>
        <v>0</v>
      </c>
      <c r="CC20" s="99">
        <f t="shared" si="59"/>
        <v>0</v>
      </c>
      <c r="CD20" s="99">
        <f t="shared" si="60"/>
        <v>0</v>
      </c>
      <c r="CE20" s="99">
        <f t="shared" si="61"/>
        <v>0</v>
      </c>
      <c r="CF20" s="99">
        <f t="shared" si="62"/>
        <v>0</v>
      </c>
      <c r="CG20" s="99">
        <f t="shared" si="63"/>
        <v>0</v>
      </c>
      <c r="CH20" s="99">
        <f t="shared" si="64"/>
        <v>0</v>
      </c>
    </row>
    <row r="21" spans="1:86">
      <c r="A21" s="233">
        <v>9</v>
      </c>
      <c r="B21" s="26" t="s">
        <v>542</v>
      </c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99">
        <v>0</v>
      </c>
      <c r="P21" s="99">
        <f t="shared" si="65"/>
        <v>0</v>
      </c>
      <c r="Q21" s="99">
        <f t="shared" ref="Q21:Z21" si="66">P21</f>
        <v>0</v>
      </c>
      <c r="R21" s="99">
        <f t="shared" si="66"/>
        <v>0</v>
      </c>
      <c r="S21" s="99">
        <f t="shared" si="66"/>
        <v>0</v>
      </c>
      <c r="T21" s="99">
        <f t="shared" si="66"/>
        <v>0</v>
      </c>
      <c r="U21" s="99">
        <f t="shared" si="66"/>
        <v>0</v>
      </c>
      <c r="V21" s="99">
        <f t="shared" si="66"/>
        <v>0</v>
      </c>
      <c r="W21" s="99">
        <f t="shared" si="66"/>
        <v>0</v>
      </c>
      <c r="X21" s="99">
        <f t="shared" si="66"/>
        <v>0</v>
      </c>
      <c r="Y21" s="99">
        <f t="shared" si="66"/>
        <v>0</v>
      </c>
      <c r="Z21" s="99">
        <f t="shared" si="66"/>
        <v>0</v>
      </c>
      <c r="AA21" s="99">
        <f t="shared" si="5"/>
        <v>0</v>
      </c>
      <c r="AB21" s="99">
        <f t="shared" si="6"/>
        <v>0</v>
      </c>
      <c r="AC21" s="99">
        <f t="shared" si="7"/>
        <v>0</v>
      </c>
      <c r="AD21" s="99">
        <f t="shared" si="8"/>
        <v>0</v>
      </c>
      <c r="AE21" s="99">
        <f t="shared" si="9"/>
        <v>0</v>
      </c>
      <c r="AF21" s="99">
        <f t="shared" si="10"/>
        <v>0</v>
      </c>
      <c r="AG21" s="99">
        <f t="shared" si="11"/>
        <v>0</v>
      </c>
      <c r="AH21" s="99">
        <f t="shared" si="12"/>
        <v>0</v>
      </c>
      <c r="AI21" s="99">
        <f t="shared" si="13"/>
        <v>0</v>
      </c>
      <c r="AJ21" s="99">
        <f t="shared" si="14"/>
        <v>0</v>
      </c>
      <c r="AK21" s="99">
        <f t="shared" si="15"/>
        <v>0</v>
      </c>
      <c r="AL21" s="99">
        <f t="shared" si="16"/>
        <v>0</v>
      </c>
      <c r="AM21" s="99">
        <f t="shared" si="17"/>
        <v>0</v>
      </c>
      <c r="AN21" s="99">
        <f t="shared" si="18"/>
        <v>0</v>
      </c>
      <c r="AO21" s="99">
        <f t="shared" si="19"/>
        <v>0</v>
      </c>
      <c r="AP21" s="99">
        <f t="shared" si="20"/>
        <v>0</v>
      </c>
      <c r="AQ21" s="99">
        <f t="shared" si="21"/>
        <v>0</v>
      </c>
      <c r="AR21" s="99">
        <f t="shared" si="22"/>
        <v>0</v>
      </c>
      <c r="AS21" s="99">
        <f t="shared" si="23"/>
        <v>0</v>
      </c>
      <c r="AT21" s="99">
        <f t="shared" si="24"/>
        <v>0</v>
      </c>
      <c r="AU21" s="99">
        <f t="shared" si="25"/>
        <v>0</v>
      </c>
      <c r="AV21" s="99">
        <f t="shared" si="26"/>
        <v>0</v>
      </c>
      <c r="AW21" s="99">
        <f t="shared" si="27"/>
        <v>0</v>
      </c>
      <c r="AX21" s="99">
        <f t="shared" si="28"/>
        <v>0</v>
      </c>
      <c r="AY21" s="99">
        <f t="shared" si="29"/>
        <v>0</v>
      </c>
      <c r="AZ21" s="99">
        <f t="shared" si="30"/>
        <v>0</v>
      </c>
      <c r="BA21" s="99">
        <f t="shared" si="31"/>
        <v>0</v>
      </c>
      <c r="BB21" s="99">
        <f t="shared" si="32"/>
        <v>0</v>
      </c>
      <c r="BC21" s="99">
        <f t="shared" si="33"/>
        <v>0</v>
      </c>
      <c r="BD21" s="99">
        <f t="shared" si="34"/>
        <v>0</v>
      </c>
      <c r="BE21" s="99">
        <f t="shared" si="35"/>
        <v>0</v>
      </c>
      <c r="BF21" s="99">
        <f t="shared" si="36"/>
        <v>0</v>
      </c>
      <c r="BG21" s="99">
        <f t="shared" si="37"/>
        <v>0</v>
      </c>
      <c r="BH21" s="99">
        <f t="shared" si="38"/>
        <v>0</v>
      </c>
      <c r="BI21" s="99">
        <f t="shared" si="39"/>
        <v>0</v>
      </c>
      <c r="BJ21" s="99">
        <f t="shared" si="40"/>
        <v>0</v>
      </c>
      <c r="BK21" s="99">
        <f t="shared" si="41"/>
        <v>0</v>
      </c>
      <c r="BL21" s="99">
        <f t="shared" si="42"/>
        <v>0</v>
      </c>
      <c r="BM21" s="99">
        <f t="shared" si="43"/>
        <v>0</v>
      </c>
      <c r="BN21" s="99">
        <f t="shared" si="44"/>
        <v>0</v>
      </c>
      <c r="BO21" s="99">
        <f t="shared" si="45"/>
        <v>0</v>
      </c>
      <c r="BP21" s="99">
        <f t="shared" si="46"/>
        <v>0</v>
      </c>
      <c r="BQ21" s="99">
        <f t="shared" si="47"/>
        <v>0</v>
      </c>
      <c r="BR21" s="99">
        <f t="shared" si="48"/>
        <v>0</v>
      </c>
      <c r="BS21" s="99">
        <f t="shared" si="49"/>
        <v>0</v>
      </c>
      <c r="BT21" s="99">
        <f t="shared" si="50"/>
        <v>0</v>
      </c>
      <c r="BU21" s="99">
        <f t="shared" si="51"/>
        <v>0</v>
      </c>
      <c r="BV21" s="99">
        <f t="shared" si="52"/>
        <v>0</v>
      </c>
      <c r="BW21" s="99">
        <f t="shared" si="53"/>
        <v>0</v>
      </c>
      <c r="BX21" s="99">
        <f t="shared" si="54"/>
        <v>0</v>
      </c>
      <c r="BY21" s="99">
        <f t="shared" si="55"/>
        <v>0</v>
      </c>
      <c r="BZ21" s="99">
        <f t="shared" si="56"/>
        <v>0</v>
      </c>
      <c r="CA21" s="99">
        <f t="shared" si="57"/>
        <v>0</v>
      </c>
      <c r="CB21" s="99">
        <f t="shared" si="58"/>
        <v>0</v>
      </c>
      <c r="CC21" s="99">
        <f t="shared" si="59"/>
        <v>0</v>
      </c>
      <c r="CD21" s="99">
        <f t="shared" si="60"/>
        <v>0</v>
      </c>
      <c r="CE21" s="99">
        <f t="shared" si="61"/>
        <v>0</v>
      </c>
      <c r="CF21" s="99">
        <f t="shared" si="62"/>
        <v>0</v>
      </c>
      <c r="CG21" s="99">
        <f t="shared" si="63"/>
        <v>0</v>
      </c>
      <c r="CH21" s="99">
        <f t="shared" si="64"/>
        <v>0</v>
      </c>
    </row>
    <row r="22" spans="1:86">
      <c r="A22" s="233">
        <v>10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</row>
    <row r="23" spans="1:86">
      <c r="A23" s="233">
        <v>11</v>
      </c>
      <c r="B23" s="26" t="s">
        <v>536</v>
      </c>
      <c r="C23" s="28">
        <f t="shared" ref="C23:Z23" si="67">C28*C30</f>
        <v>153941.29715873633</v>
      </c>
      <c r="D23" s="28">
        <f t="shared" si="67"/>
        <v>153731.98374126368</v>
      </c>
      <c r="E23" s="28">
        <f t="shared" si="67"/>
        <v>152648.59299712285</v>
      </c>
      <c r="F23" s="28">
        <f t="shared" si="67"/>
        <v>153780.4359212342</v>
      </c>
      <c r="G23" s="28">
        <f t="shared" si="67"/>
        <v>155054.72825445887</v>
      </c>
      <c r="H23" s="28">
        <f t="shared" si="67"/>
        <v>156124.55238820796</v>
      </c>
      <c r="I23" s="28">
        <f t="shared" si="67"/>
        <v>157042.2366768496</v>
      </c>
      <c r="J23" s="28">
        <f t="shared" si="67"/>
        <v>157206.97408874935</v>
      </c>
      <c r="K23" s="28">
        <f t="shared" si="67"/>
        <v>157116.85303400419</v>
      </c>
      <c r="L23" s="28">
        <f t="shared" si="67"/>
        <v>157264.14766111458</v>
      </c>
      <c r="M23" s="28">
        <f t="shared" si="67"/>
        <v>156527.67452556267</v>
      </c>
      <c r="N23" s="28">
        <f t="shared" si="67"/>
        <v>155476.26222020239</v>
      </c>
      <c r="O23" s="28">
        <f t="shared" si="67"/>
        <v>153941.29715873633</v>
      </c>
      <c r="P23" s="28">
        <f t="shared" si="67"/>
        <v>153731.98374126368</v>
      </c>
      <c r="Q23" s="28">
        <f t="shared" si="67"/>
        <v>152648.59299712285</v>
      </c>
      <c r="R23" s="28">
        <f t="shared" si="67"/>
        <v>153780.4359212342</v>
      </c>
      <c r="S23" s="28">
        <f t="shared" si="67"/>
        <v>155054.72825445887</v>
      </c>
      <c r="T23" s="28">
        <f t="shared" si="67"/>
        <v>156124.55238820796</v>
      </c>
      <c r="U23" s="28">
        <f t="shared" si="67"/>
        <v>157042.2366768496</v>
      </c>
      <c r="V23" s="28">
        <f t="shared" si="67"/>
        <v>157206.97408874935</v>
      </c>
      <c r="W23" s="28">
        <f t="shared" si="67"/>
        <v>157116.85303400419</v>
      </c>
      <c r="X23" s="28">
        <f t="shared" si="67"/>
        <v>157264.14766111458</v>
      </c>
      <c r="Y23" s="28">
        <f t="shared" si="67"/>
        <v>156527.67452556267</v>
      </c>
      <c r="Z23" s="28">
        <f t="shared" si="67"/>
        <v>155476.26222020239</v>
      </c>
      <c r="AA23" s="28">
        <f t="shared" ref="AA23:CH23" si="68">AA28*AA30</f>
        <v>153941.29715873633</v>
      </c>
      <c r="AB23" s="28">
        <f t="shared" si="68"/>
        <v>153731.98374126368</v>
      </c>
      <c r="AC23" s="28">
        <f t="shared" si="68"/>
        <v>152648.59299712285</v>
      </c>
      <c r="AD23" s="28">
        <f t="shared" si="68"/>
        <v>153780.4359212342</v>
      </c>
      <c r="AE23" s="28">
        <f t="shared" si="68"/>
        <v>155054.72825445887</v>
      </c>
      <c r="AF23" s="28">
        <f t="shared" si="68"/>
        <v>156124.55238820796</v>
      </c>
      <c r="AG23" s="28">
        <f t="shared" si="68"/>
        <v>157042.2366768496</v>
      </c>
      <c r="AH23" s="28">
        <f t="shared" si="68"/>
        <v>157206.97408874935</v>
      </c>
      <c r="AI23" s="28">
        <f t="shared" si="68"/>
        <v>157116.85303400419</v>
      </c>
      <c r="AJ23" s="28">
        <f t="shared" si="68"/>
        <v>157264.14766111458</v>
      </c>
      <c r="AK23" s="28">
        <f t="shared" si="68"/>
        <v>156527.67452556267</v>
      </c>
      <c r="AL23" s="28">
        <f t="shared" si="68"/>
        <v>155476.26222020239</v>
      </c>
      <c r="AM23" s="28">
        <f t="shared" si="68"/>
        <v>153941.29715873633</v>
      </c>
      <c r="AN23" s="28">
        <f t="shared" si="68"/>
        <v>153731.98374126368</v>
      </c>
      <c r="AO23" s="28">
        <f t="shared" si="68"/>
        <v>152648.59299712285</v>
      </c>
      <c r="AP23" s="28">
        <f t="shared" si="68"/>
        <v>153780.4359212342</v>
      </c>
      <c r="AQ23" s="28">
        <f t="shared" si="68"/>
        <v>155054.72825445887</v>
      </c>
      <c r="AR23" s="28">
        <f t="shared" si="68"/>
        <v>156124.55238820796</v>
      </c>
      <c r="AS23" s="28">
        <f t="shared" si="68"/>
        <v>157042.2366768496</v>
      </c>
      <c r="AT23" s="28">
        <f t="shared" si="68"/>
        <v>157206.97408874935</v>
      </c>
      <c r="AU23" s="28">
        <f t="shared" si="68"/>
        <v>157116.85303400419</v>
      </c>
      <c r="AV23" s="28">
        <f t="shared" si="68"/>
        <v>157264.14766111458</v>
      </c>
      <c r="AW23" s="28">
        <f t="shared" si="68"/>
        <v>156527.67452556267</v>
      </c>
      <c r="AX23" s="28">
        <f t="shared" si="68"/>
        <v>155476.26222020239</v>
      </c>
      <c r="AY23" s="28">
        <f t="shared" si="68"/>
        <v>153941.29715873633</v>
      </c>
      <c r="AZ23" s="28">
        <f t="shared" si="68"/>
        <v>153731.98374126368</v>
      </c>
      <c r="BA23" s="28">
        <f t="shared" si="68"/>
        <v>152648.59299712285</v>
      </c>
      <c r="BB23" s="28">
        <f t="shared" si="68"/>
        <v>153780.4359212342</v>
      </c>
      <c r="BC23" s="28">
        <f t="shared" si="68"/>
        <v>155054.72825445887</v>
      </c>
      <c r="BD23" s="28">
        <f t="shared" si="68"/>
        <v>156124.55238820796</v>
      </c>
      <c r="BE23" s="28">
        <f t="shared" si="68"/>
        <v>157042.2366768496</v>
      </c>
      <c r="BF23" s="28">
        <f t="shared" si="68"/>
        <v>157206.97408874935</v>
      </c>
      <c r="BG23" s="28">
        <f t="shared" si="68"/>
        <v>157116.85303400419</v>
      </c>
      <c r="BH23" s="28">
        <f t="shared" si="68"/>
        <v>157264.14766111458</v>
      </c>
      <c r="BI23" s="28">
        <f t="shared" si="68"/>
        <v>156527.67452556267</v>
      </c>
      <c r="BJ23" s="28">
        <f t="shared" si="68"/>
        <v>155476.26222020239</v>
      </c>
      <c r="BK23" s="28">
        <f t="shared" si="68"/>
        <v>153941.29715873633</v>
      </c>
      <c r="BL23" s="28">
        <f t="shared" si="68"/>
        <v>153731.98374126368</v>
      </c>
      <c r="BM23" s="28">
        <f t="shared" si="68"/>
        <v>152648.59299712285</v>
      </c>
      <c r="BN23" s="28">
        <f t="shared" si="68"/>
        <v>153780.4359212342</v>
      </c>
      <c r="BO23" s="28">
        <f t="shared" si="68"/>
        <v>155054.72825445887</v>
      </c>
      <c r="BP23" s="28">
        <f t="shared" si="68"/>
        <v>156124.55238820796</v>
      </c>
      <c r="BQ23" s="28">
        <f t="shared" si="68"/>
        <v>157042.2366768496</v>
      </c>
      <c r="BR23" s="28">
        <f t="shared" si="68"/>
        <v>157206.97408874935</v>
      </c>
      <c r="BS23" s="28">
        <f t="shared" si="68"/>
        <v>157116.85303400419</v>
      </c>
      <c r="BT23" s="28">
        <f t="shared" si="68"/>
        <v>157264.14766111458</v>
      </c>
      <c r="BU23" s="28">
        <f t="shared" si="68"/>
        <v>156527.67452556267</v>
      </c>
      <c r="BV23" s="28">
        <f t="shared" si="68"/>
        <v>155476.26222020239</v>
      </c>
      <c r="BW23" s="28">
        <f t="shared" si="68"/>
        <v>153941.29715873633</v>
      </c>
      <c r="BX23" s="28">
        <f t="shared" si="68"/>
        <v>153731.98374126368</v>
      </c>
      <c r="BY23" s="28">
        <f t="shared" si="68"/>
        <v>152648.59299712285</v>
      </c>
      <c r="BZ23" s="28">
        <f t="shared" si="68"/>
        <v>153780.4359212342</v>
      </c>
      <c r="CA23" s="28">
        <f t="shared" si="68"/>
        <v>155054.72825445887</v>
      </c>
      <c r="CB23" s="28">
        <f t="shared" si="68"/>
        <v>156124.55238820796</v>
      </c>
      <c r="CC23" s="28">
        <f t="shared" si="68"/>
        <v>157042.2366768496</v>
      </c>
      <c r="CD23" s="28">
        <f t="shared" si="68"/>
        <v>157206.97408874935</v>
      </c>
      <c r="CE23" s="28">
        <f t="shared" si="68"/>
        <v>157116.85303400419</v>
      </c>
      <c r="CF23" s="28">
        <f t="shared" si="68"/>
        <v>157264.14766111458</v>
      </c>
      <c r="CG23" s="28">
        <f t="shared" si="68"/>
        <v>156527.67452556267</v>
      </c>
      <c r="CH23" s="28">
        <f t="shared" si="68"/>
        <v>155476.26222020239</v>
      </c>
    </row>
    <row r="24" spans="1:86">
      <c r="A24" s="233">
        <v>12</v>
      </c>
      <c r="B24" s="26" t="s">
        <v>537</v>
      </c>
      <c r="C24" s="28">
        <f t="shared" ref="C24:N24" si="69">C32-C23</f>
        <v>10076.878741263674</v>
      </c>
      <c r="D24" s="28">
        <f t="shared" si="69"/>
        <v>-10076.878741263703</v>
      </c>
      <c r="E24" s="28">
        <f t="shared" si="69"/>
        <v>9944.7276028771594</v>
      </c>
      <c r="F24" s="28">
        <f t="shared" si="69"/>
        <v>56638.466378765821</v>
      </c>
      <c r="G24" s="28">
        <f t="shared" si="69"/>
        <v>442414.58934554108</v>
      </c>
      <c r="H24" s="28">
        <f t="shared" si="69"/>
        <v>1059950.6556117919</v>
      </c>
      <c r="I24" s="28">
        <f t="shared" si="69"/>
        <v>1837205.2061231504</v>
      </c>
      <c r="J24" s="28">
        <f t="shared" si="69"/>
        <v>1645617.0575112507</v>
      </c>
      <c r="K24" s="28">
        <f t="shared" si="69"/>
        <v>898411.60536599567</v>
      </c>
      <c r="L24" s="28">
        <f t="shared" si="69"/>
        <v>609802.42603888537</v>
      </c>
      <c r="M24" s="28">
        <f t="shared" si="69"/>
        <v>155572.41507443727</v>
      </c>
      <c r="N24" s="28">
        <f t="shared" si="69"/>
        <v>30274.766879797622</v>
      </c>
      <c r="O24" s="29">
        <f>O26*O30*O$14</f>
        <v>0</v>
      </c>
      <c r="P24" s="29">
        <f t="shared" ref="P24:Z24" si="70">P26*P30*P$14</f>
        <v>0</v>
      </c>
      <c r="Q24" s="29">
        <f t="shared" si="70"/>
        <v>4078.2188774694137</v>
      </c>
      <c r="R24" s="29">
        <f t="shared" si="70"/>
        <v>145850.24590026983</v>
      </c>
      <c r="S24" s="29">
        <f t="shared" si="70"/>
        <v>749792.88336739433</v>
      </c>
      <c r="T24" s="29">
        <f t="shared" si="70"/>
        <v>1370201.0787492839</v>
      </c>
      <c r="U24" s="29">
        <f t="shared" si="70"/>
        <v>1690827.2683365671</v>
      </c>
      <c r="V24" s="29">
        <f t="shared" si="70"/>
        <v>1845901.0330739701</v>
      </c>
      <c r="W24" s="29">
        <f t="shared" si="70"/>
        <v>1234092.8246291699</v>
      </c>
      <c r="X24" s="29">
        <f t="shared" si="70"/>
        <v>724763.89426894428</v>
      </c>
      <c r="Y24" s="29">
        <f t="shared" si="70"/>
        <v>278093.2857187874</v>
      </c>
      <c r="Z24" s="29">
        <f t="shared" si="70"/>
        <v>29076.347878144901</v>
      </c>
      <c r="AA24" s="29">
        <f>AA26*AA30*AA$14</f>
        <v>0</v>
      </c>
      <c r="AB24" s="29">
        <f t="shared" ref="AB24:AL24" si="71">AB26*AB30*AB$14</f>
        <v>0</v>
      </c>
      <c r="AC24" s="29">
        <f t="shared" si="71"/>
        <v>4078.2188774694137</v>
      </c>
      <c r="AD24" s="29">
        <f t="shared" si="71"/>
        <v>145850.24590026983</v>
      </c>
      <c r="AE24" s="29">
        <f t="shared" si="71"/>
        <v>749792.88336739433</v>
      </c>
      <c r="AF24" s="29">
        <f t="shared" si="71"/>
        <v>1370201.0787492839</v>
      </c>
      <c r="AG24" s="29">
        <f t="shared" si="71"/>
        <v>1690827.2683365671</v>
      </c>
      <c r="AH24" s="29">
        <f t="shared" si="71"/>
        <v>1845901.0330739701</v>
      </c>
      <c r="AI24" s="29">
        <f t="shared" si="71"/>
        <v>1234092.8246291699</v>
      </c>
      <c r="AJ24" s="29">
        <f t="shared" si="71"/>
        <v>724763.89426894428</v>
      </c>
      <c r="AK24" s="29">
        <f t="shared" si="71"/>
        <v>278093.2857187874</v>
      </c>
      <c r="AL24" s="29">
        <f t="shared" si="71"/>
        <v>29076.347878144901</v>
      </c>
      <c r="AM24" s="29">
        <f>AM26*AM30*AM$14</f>
        <v>0</v>
      </c>
      <c r="AN24" s="29">
        <f t="shared" ref="AN24:AX24" si="72">AN26*AN30*AN$14</f>
        <v>0</v>
      </c>
      <c r="AO24" s="29">
        <f t="shared" si="72"/>
        <v>4078.2188774694137</v>
      </c>
      <c r="AP24" s="29">
        <f t="shared" si="72"/>
        <v>145850.24590026983</v>
      </c>
      <c r="AQ24" s="29">
        <f t="shared" si="72"/>
        <v>749792.88336739433</v>
      </c>
      <c r="AR24" s="29">
        <f t="shared" si="72"/>
        <v>1370201.0787492839</v>
      </c>
      <c r="AS24" s="29">
        <f t="shared" si="72"/>
        <v>1690827.2683365671</v>
      </c>
      <c r="AT24" s="29">
        <f t="shared" si="72"/>
        <v>1845901.0330739701</v>
      </c>
      <c r="AU24" s="29">
        <f t="shared" si="72"/>
        <v>1234092.8246291699</v>
      </c>
      <c r="AV24" s="29">
        <f t="shared" si="72"/>
        <v>724763.89426894428</v>
      </c>
      <c r="AW24" s="29">
        <f t="shared" si="72"/>
        <v>278093.2857187874</v>
      </c>
      <c r="AX24" s="29">
        <f t="shared" si="72"/>
        <v>29076.347878144901</v>
      </c>
      <c r="AY24" s="29">
        <f>AY26*AY30*AY$14</f>
        <v>0</v>
      </c>
      <c r="AZ24" s="29">
        <f t="shared" ref="AZ24:BJ24" si="73">AZ26*AZ30*AZ$14</f>
        <v>0</v>
      </c>
      <c r="BA24" s="29">
        <f t="shared" si="73"/>
        <v>4078.2188774694137</v>
      </c>
      <c r="BB24" s="29">
        <f t="shared" si="73"/>
        <v>145850.24590026983</v>
      </c>
      <c r="BC24" s="29">
        <f t="shared" si="73"/>
        <v>749792.88336739433</v>
      </c>
      <c r="BD24" s="29">
        <f t="shared" si="73"/>
        <v>1370201.0787492839</v>
      </c>
      <c r="BE24" s="29">
        <f t="shared" si="73"/>
        <v>1690827.2683365671</v>
      </c>
      <c r="BF24" s="29">
        <f t="shared" si="73"/>
        <v>1845901.0330739701</v>
      </c>
      <c r="BG24" s="29">
        <f t="shared" si="73"/>
        <v>1234092.8246291699</v>
      </c>
      <c r="BH24" s="29">
        <f t="shared" si="73"/>
        <v>724763.89426894428</v>
      </c>
      <c r="BI24" s="29">
        <f t="shared" si="73"/>
        <v>278093.2857187874</v>
      </c>
      <c r="BJ24" s="29">
        <f t="shared" si="73"/>
        <v>29076.347878144901</v>
      </c>
      <c r="BK24" s="29">
        <f>BK26*BK30*BK$14</f>
        <v>0</v>
      </c>
      <c r="BL24" s="29">
        <f t="shared" ref="BL24:BV24" si="74">BL26*BL30*BL$14</f>
        <v>0</v>
      </c>
      <c r="BM24" s="29">
        <f t="shared" si="74"/>
        <v>4078.2188774694137</v>
      </c>
      <c r="BN24" s="29">
        <f t="shared" si="74"/>
        <v>145850.24590026983</v>
      </c>
      <c r="BO24" s="29">
        <f t="shared" si="74"/>
        <v>749792.88336739433</v>
      </c>
      <c r="BP24" s="29">
        <f t="shared" si="74"/>
        <v>1370201.0787492839</v>
      </c>
      <c r="BQ24" s="29">
        <f t="shared" si="74"/>
        <v>1690827.2683365671</v>
      </c>
      <c r="BR24" s="29">
        <f t="shared" si="74"/>
        <v>1845901.0330739701</v>
      </c>
      <c r="BS24" s="29">
        <f t="shared" si="74"/>
        <v>1234092.8246291699</v>
      </c>
      <c r="BT24" s="29">
        <f t="shared" si="74"/>
        <v>724763.89426894428</v>
      </c>
      <c r="BU24" s="29">
        <f t="shared" si="74"/>
        <v>278093.2857187874</v>
      </c>
      <c r="BV24" s="29">
        <f t="shared" si="74"/>
        <v>29076.347878144901</v>
      </c>
      <c r="BW24" s="29">
        <f>BW26*BW30*BW$14</f>
        <v>0</v>
      </c>
      <c r="BX24" s="29">
        <f t="shared" ref="BX24:CH24" si="75">BX26*BX30*BX$14</f>
        <v>0</v>
      </c>
      <c r="BY24" s="29">
        <f t="shared" si="75"/>
        <v>4078.2188774694137</v>
      </c>
      <c r="BZ24" s="29">
        <f t="shared" si="75"/>
        <v>145850.24590026983</v>
      </c>
      <c r="CA24" s="29">
        <f t="shared" si="75"/>
        <v>749792.88336739433</v>
      </c>
      <c r="CB24" s="29">
        <f t="shared" si="75"/>
        <v>1370201.0787492839</v>
      </c>
      <c r="CC24" s="29">
        <f t="shared" si="75"/>
        <v>1690827.2683365671</v>
      </c>
      <c r="CD24" s="29">
        <f t="shared" si="75"/>
        <v>1845901.0330739701</v>
      </c>
      <c r="CE24" s="29">
        <f t="shared" si="75"/>
        <v>1234092.8246291699</v>
      </c>
      <c r="CF24" s="29">
        <f t="shared" si="75"/>
        <v>724763.89426894428</v>
      </c>
      <c r="CG24" s="29">
        <f t="shared" si="75"/>
        <v>278093.2857187874</v>
      </c>
      <c r="CH24" s="29">
        <f t="shared" si="75"/>
        <v>29076.347878144901</v>
      </c>
    </row>
    <row r="25" spans="1:86">
      <c r="A25" s="233">
        <v>13</v>
      </c>
      <c r="B25" s="26" t="s">
        <v>538</v>
      </c>
      <c r="C25" s="480">
        <f t="shared" ref="C25:N25" si="76">C24/C30</f>
        <v>6.3432847627541866E-2</v>
      </c>
      <c r="D25" s="480">
        <f t="shared" si="76"/>
        <v>-6.3519214470627153E-2</v>
      </c>
      <c r="E25" s="480">
        <f t="shared" si="76"/>
        <v>6.3131106826707889E-2</v>
      </c>
      <c r="F25" s="480">
        <f t="shared" si="76"/>
        <v>0.35690588985503974</v>
      </c>
      <c r="G25" s="480">
        <f t="shared" si="76"/>
        <v>2.7649529357628437</v>
      </c>
      <c r="H25" s="480">
        <f t="shared" si="76"/>
        <v>6.5789677715613477</v>
      </c>
      <c r="I25" s="480">
        <f t="shared" si="76"/>
        <v>11.336644099514068</v>
      </c>
      <c r="J25" s="480">
        <f t="shared" si="76"/>
        <v>10.143790922160962</v>
      </c>
      <c r="K25" s="480">
        <f t="shared" si="76"/>
        <v>5.5410988637069849</v>
      </c>
      <c r="L25" s="480">
        <f t="shared" si="76"/>
        <v>3.757532448726248</v>
      </c>
      <c r="M25" s="480">
        <f t="shared" si="76"/>
        <v>0.96312970552744581</v>
      </c>
      <c r="N25" s="480">
        <f t="shared" si="76"/>
        <v>0.18869484414899759</v>
      </c>
      <c r="O25" s="481">
        <f>O24/O30</f>
        <v>0</v>
      </c>
      <c r="P25" s="481">
        <f t="shared" ref="P25:Z25" si="77">P24/P30</f>
        <v>0</v>
      </c>
      <c r="Q25" s="481">
        <f t="shared" si="77"/>
        <v>2.5889343770635859E-2</v>
      </c>
      <c r="R25" s="481">
        <f t="shared" si="77"/>
        <v>0.91907170385757297</v>
      </c>
      <c r="S25" s="481">
        <f t="shared" si="77"/>
        <v>4.6859712224850902</v>
      </c>
      <c r="T25" s="481">
        <f t="shared" si="77"/>
        <v>8.5046494286538792</v>
      </c>
      <c r="U25" s="481">
        <f t="shared" si="77"/>
        <v>10.433405539566252</v>
      </c>
      <c r="V25" s="481">
        <f t="shared" si="77"/>
        <v>11.37836658719446</v>
      </c>
      <c r="W25" s="481">
        <f t="shared" si="77"/>
        <v>7.6114670685669434</v>
      </c>
      <c r="X25" s="481">
        <f t="shared" si="77"/>
        <v>4.4659118004346858</v>
      </c>
      <c r="Y25" s="481">
        <f t="shared" si="77"/>
        <v>1.7216413607472847</v>
      </c>
      <c r="Z25" s="481">
        <f t="shared" si="77"/>
        <v>0.18122540639445101</v>
      </c>
      <c r="AA25" s="481">
        <f>AA24/AA30</f>
        <v>0</v>
      </c>
      <c r="AB25" s="481">
        <f t="shared" ref="AB25:AL25" si="78">AB24/AB30</f>
        <v>0</v>
      </c>
      <c r="AC25" s="481">
        <f t="shared" si="78"/>
        <v>2.5889343770635859E-2</v>
      </c>
      <c r="AD25" s="481">
        <f t="shared" si="78"/>
        <v>0.91907170385757297</v>
      </c>
      <c r="AE25" s="481">
        <f t="shared" si="78"/>
        <v>4.6859712224850902</v>
      </c>
      <c r="AF25" s="481">
        <f t="shared" si="78"/>
        <v>8.5046494286538792</v>
      </c>
      <c r="AG25" s="481">
        <f t="shared" si="78"/>
        <v>10.433405539566252</v>
      </c>
      <c r="AH25" s="481">
        <f t="shared" si="78"/>
        <v>11.37836658719446</v>
      </c>
      <c r="AI25" s="481">
        <f t="shared" si="78"/>
        <v>7.6114670685669434</v>
      </c>
      <c r="AJ25" s="481">
        <f t="shared" si="78"/>
        <v>4.4659118004346858</v>
      </c>
      <c r="AK25" s="481">
        <f t="shared" si="78"/>
        <v>1.7216413607472847</v>
      </c>
      <c r="AL25" s="481">
        <f t="shared" si="78"/>
        <v>0.18122540639445101</v>
      </c>
      <c r="AM25" s="481">
        <f>AM24/AM30</f>
        <v>0</v>
      </c>
      <c r="AN25" s="481">
        <f t="shared" ref="AN25:AX25" si="79">AN24/AN30</f>
        <v>0</v>
      </c>
      <c r="AO25" s="481">
        <f t="shared" si="79"/>
        <v>2.5889343770635859E-2</v>
      </c>
      <c r="AP25" s="481">
        <f t="shared" si="79"/>
        <v>0.91907170385757297</v>
      </c>
      <c r="AQ25" s="481">
        <f t="shared" si="79"/>
        <v>4.6859712224850902</v>
      </c>
      <c r="AR25" s="481">
        <f t="shared" si="79"/>
        <v>8.5046494286538792</v>
      </c>
      <c r="AS25" s="481">
        <f t="shared" si="79"/>
        <v>10.433405539566252</v>
      </c>
      <c r="AT25" s="481">
        <f t="shared" si="79"/>
        <v>11.37836658719446</v>
      </c>
      <c r="AU25" s="481">
        <f t="shared" si="79"/>
        <v>7.6114670685669434</v>
      </c>
      <c r="AV25" s="481">
        <f t="shared" si="79"/>
        <v>4.4659118004346858</v>
      </c>
      <c r="AW25" s="481">
        <f t="shared" si="79"/>
        <v>1.7216413607472847</v>
      </c>
      <c r="AX25" s="481">
        <f t="shared" si="79"/>
        <v>0.18122540639445101</v>
      </c>
      <c r="AY25" s="481">
        <f>AY24/AY30</f>
        <v>0</v>
      </c>
      <c r="AZ25" s="481">
        <f t="shared" ref="AZ25:BJ25" si="80">AZ24/AZ30</f>
        <v>0</v>
      </c>
      <c r="BA25" s="481">
        <f t="shared" si="80"/>
        <v>2.5889343770635859E-2</v>
      </c>
      <c r="BB25" s="481">
        <f t="shared" si="80"/>
        <v>0.91907170385757297</v>
      </c>
      <c r="BC25" s="481">
        <f t="shared" si="80"/>
        <v>4.6859712224850902</v>
      </c>
      <c r="BD25" s="481">
        <f t="shared" si="80"/>
        <v>8.5046494286538792</v>
      </c>
      <c r="BE25" s="481">
        <f t="shared" si="80"/>
        <v>10.433405539566252</v>
      </c>
      <c r="BF25" s="481">
        <f t="shared" si="80"/>
        <v>11.37836658719446</v>
      </c>
      <c r="BG25" s="481">
        <f t="shared" si="80"/>
        <v>7.6114670685669434</v>
      </c>
      <c r="BH25" s="481">
        <f t="shared" si="80"/>
        <v>4.4659118004346858</v>
      </c>
      <c r="BI25" s="481">
        <f t="shared" si="80"/>
        <v>1.7216413607472847</v>
      </c>
      <c r="BJ25" s="481">
        <f t="shared" si="80"/>
        <v>0.18122540639445101</v>
      </c>
      <c r="BK25" s="481">
        <f>BK24/BK30</f>
        <v>0</v>
      </c>
      <c r="BL25" s="481">
        <f t="shared" ref="BL25:BV25" si="81">BL24/BL30</f>
        <v>0</v>
      </c>
      <c r="BM25" s="481">
        <f t="shared" si="81"/>
        <v>2.5889343770635859E-2</v>
      </c>
      <c r="BN25" s="481">
        <f t="shared" si="81"/>
        <v>0.91907170385757297</v>
      </c>
      <c r="BO25" s="481">
        <f t="shared" si="81"/>
        <v>4.6859712224850902</v>
      </c>
      <c r="BP25" s="481">
        <f t="shared" si="81"/>
        <v>8.5046494286538792</v>
      </c>
      <c r="BQ25" s="481">
        <f t="shared" si="81"/>
        <v>10.433405539566252</v>
      </c>
      <c r="BR25" s="481">
        <f t="shared" si="81"/>
        <v>11.37836658719446</v>
      </c>
      <c r="BS25" s="481">
        <f t="shared" si="81"/>
        <v>7.6114670685669434</v>
      </c>
      <c r="BT25" s="481">
        <f t="shared" si="81"/>
        <v>4.4659118004346858</v>
      </c>
      <c r="BU25" s="481">
        <f t="shared" si="81"/>
        <v>1.7216413607472847</v>
      </c>
      <c r="BV25" s="481">
        <f t="shared" si="81"/>
        <v>0.18122540639445101</v>
      </c>
      <c r="BW25" s="481">
        <f>BW24/BW30</f>
        <v>0</v>
      </c>
      <c r="BX25" s="481">
        <f t="shared" ref="BX25:CH25" si="82">BX24/BX30</f>
        <v>0</v>
      </c>
      <c r="BY25" s="481">
        <f t="shared" si="82"/>
        <v>2.5889343770635859E-2</v>
      </c>
      <c r="BZ25" s="481">
        <f t="shared" si="82"/>
        <v>0.91907170385757297</v>
      </c>
      <c r="CA25" s="481">
        <f t="shared" si="82"/>
        <v>4.6859712224850902</v>
      </c>
      <c r="CB25" s="481">
        <f t="shared" si="82"/>
        <v>8.5046494286538792</v>
      </c>
      <c r="CC25" s="481">
        <f t="shared" si="82"/>
        <v>10.433405539566252</v>
      </c>
      <c r="CD25" s="481">
        <f t="shared" si="82"/>
        <v>11.37836658719446</v>
      </c>
      <c r="CE25" s="481">
        <f t="shared" si="82"/>
        <v>7.6114670685669434</v>
      </c>
      <c r="CF25" s="481">
        <f t="shared" si="82"/>
        <v>4.4659118004346858</v>
      </c>
      <c r="CG25" s="481">
        <f t="shared" si="82"/>
        <v>1.7216413607472847</v>
      </c>
      <c r="CH25" s="481">
        <f t="shared" si="82"/>
        <v>0.18122540639445101</v>
      </c>
    </row>
    <row r="26" spans="1:86">
      <c r="A26" s="233">
        <v>14</v>
      </c>
      <c r="B26" s="26" t="s">
        <v>531</v>
      </c>
      <c r="C26" s="355">
        <f>SUM(C25:N25)/SUM(C$13:N$13)</f>
        <v>1.2944663837611782E-2</v>
      </c>
      <c r="D26" s="355">
        <f>C26</f>
        <v>1.2944663837611782E-2</v>
      </c>
      <c r="E26" s="355">
        <f t="shared" ref="E26:N26" si="83">D26</f>
        <v>1.2944663837611782E-2</v>
      </c>
      <c r="F26" s="355">
        <f t="shared" si="83"/>
        <v>1.2944663837611782E-2</v>
      </c>
      <c r="G26" s="355">
        <f t="shared" si="83"/>
        <v>1.2944663837611782E-2</v>
      </c>
      <c r="H26" s="355">
        <f t="shared" si="83"/>
        <v>1.2944663837611782E-2</v>
      </c>
      <c r="I26" s="355">
        <f t="shared" si="83"/>
        <v>1.2944663837611782E-2</v>
      </c>
      <c r="J26" s="355">
        <f t="shared" si="83"/>
        <v>1.2944663837611782E-2</v>
      </c>
      <c r="K26" s="355">
        <f t="shared" si="83"/>
        <v>1.2944663837611782E-2</v>
      </c>
      <c r="L26" s="355">
        <f t="shared" si="83"/>
        <v>1.2944663837611782E-2</v>
      </c>
      <c r="M26" s="355">
        <f t="shared" si="83"/>
        <v>1.2944663837611782E-2</v>
      </c>
      <c r="N26" s="355">
        <f t="shared" si="83"/>
        <v>1.2944663837611782E-2</v>
      </c>
      <c r="O26" s="354">
        <f>((SUM(C31:N31)/AVERAGE(C30:N30)+O21)*AVERAGE(O30:Z30)-SUM(O23:Z23))/(O30*O$14+P30*P$14+Q30*Q$14+R30*R$14+S30*S$14+T30*T$14+U30*U$14+V30*V$14+W30*W$14+X30*X$14+Y30*Y$14+Z30*Z$14)</f>
        <v>1.294467188531793E-2</v>
      </c>
      <c r="P26" s="355">
        <f>O26</f>
        <v>1.294467188531793E-2</v>
      </c>
      <c r="Q26" s="355">
        <f t="shared" ref="Q26:Z26" si="84">P26</f>
        <v>1.294467188531793E-2</v>
      </c>
      <c r="R26" s="355">
        <f t="shared" si="84"/>
        <v>1.294467188531793E-2</v>
      </c>
      <c r="S26" s="355">
        <f t="shared" si="84"/>
        <v>1.294467188531793E-2</v>
      </c>
      <c r="T26" s="355">
        <f t="shared" si="84"/>
        <v>1.294467188531793E-2</v>
      </c>
      <c r="U26" s="355">
        <f t="shared" si="84"/>
        <v>1.294467188531793E-2</v>
      </c>
      <c r="V26" s="355">
        <f t="shared" si="84"/>
        <v>1.294467188531793E-2</v>
      </c>
      <c r="W26" s="355">
        <f t="shared" si="84"/>
        <v>1.294467188531793E-2</v>
      </c>
      <c r="X26" s="355">
        <f t="shared" si="84"/>
        <v>1.294467188531793E-2</v>
      </c>
      <c r="Y26" s="355">
        <f t="shared" si="84"/>
        <v>1.294467188531793E-2</v>
      </c>
      <c r="Z26" s="355">
        <f t="shared" si="84"/>
        <v>1.294467188531793E-2</v>
      </c>
      <c r="AA26" s="354">
        <f>((SUM(O31:Z31)/AVERAGE(O30:Z30)+AA21)*AVERAGE(AA30:AL30)-SUM(AA23:AL23))/(AA30*AA$14+AB30*AB$14+AC30*AC$14+AD30*AD$14+AE30*AE$14+AF30*AF$14+AG30*AG$14+AH30*AH$14+AI30*AI$14+AJ30*AJ$14+AK30*AK$14+AL30*AL$14)</f>
        <v>1.294467188531793E-2</v>
      </c>
      <c r="AB26" s="355">
        <f>AA26</f>
        <v>1.294467188531793E-2</v>
      </c>
      <c r="AC26" s="355">
        <f t="shared" ref="AC26" si="85">AB26</f>
        <v>1.294467188531793E-2</v>
      </c>
      <c r="AD26" s="355">
        <f t="shared" ref="AD26" si="86">AC26</f>
        <v>1.294467188531793E-2</v>
      </c>
      <c r="AE26" s="355">
        <f t="shared" ref="AE26" si="87">AD26</f>
        <v>1.294467188531793E-2</v>
      </c>
      <c r="AF26" s="355">
        <f t="shared" ref="AF26" si="88">AE26</f>
        <v>1.294467188531793E-2</v>
      </c>
      <c r="AG26" s="355">
        <f t="shared" ref="AG26" si="89">AF26</f>
        <v>1.294467188531793E-2</v>
      </c>
      <c r="AH26" s="355">
        <f t="shared" ref="AH26" si="90">AG26</f>
        <v>1.294467188531793E-2</v>
      </c>
      <c r="AI26" s="355">
        <f t="shared" ref="AI26" si="91">AH26</f>
        <v>1.294467188531793E-2</v>
      </c>
      <c r="AJ26" s="355">
        <f t="shared" ref="AJ26" si="92">AI26</f>
        <v>1.294467188531793E-2</v>
      </c>
      <c r="AK26" s="355">
        <f t="shared" ref="AK26" si="93">AJ26</f>
        <v>1.294467188531793E-2</v>
      </c>
      <c r="AL26" s="355">
        <f t="shared" ref="AL26" si="94">AK26</f>
        <v>1.294467188531793E-2</v>
      </c>
      <c r="AM26" s="354">
        <f>((SUM(AA31:AL31)/AVERAGE(AA30:AL30)+AM21)*AVERAGE(AM30:AX30)-SUM(AM23:AX23))/(AM30*AM$14+AN30*AN$14+AO30*AO$14+AP30*AP$14+AQ30*AQ$14+AR30*AR$14+AS30*AS$14+AT30*AT$14+AU30*AU$14+AV30*AV$14+AW30*AW$14+AX30*AX$14)</f>
        <v>1.294467188531793E-2</v>
      </c>
      <c r="AN26" s="355">
        <f>AM26</f>
        <v>1.294467188531793E-2</v>
      </c>
      <c r="AO26" s="355">
        <f t="shared" ref="AO26" si="95">AN26</f>
        <v>1.294467188531793E-2</v>
      </c>
      <c r="AP26" s="355">
        <f t="shared" ref="AP26" si="96">AO26</f>
        <v>1.294467188531793E-2</v>
      </c>
      <c r="AQ26" s="355">
        <f t="shared" ref="AQ26" si="97">AP26</f>
        <v>1.294467188531793E-2</v>
      </c>
      <c r="AR26" s="355">
        <f t="shared" ref="AR26" si="98">AQ26</f>
        <v>1.294467188531793E-2</v>
      </c>
      <c r="AS26" s="355">
        <f t="shared" ref="AS26" si="99">AR26</f>
        <v>1.294467188531793E-2</v>
      </c>
      <c r="AT26" s="355">
        <f t="shared" ref="AT26" si="100">AS26</f>
        <v>1.294467188531793E-2</v>
      </c>
      <c r="AU26" s="355">
        <f t="shared" ref="AU26" si="101">AT26</f>
        <v>1.294467188531793E-2</v>
      </c>
      <c r="AV26" s="355">
        <f t="shared" ref="AV26" si="102">AU26</f>
        <v>1.294467188531793E-2</v>
      </c>
      <c r="AW26" s="355">
        <f t="shared" ref="AW26" si="103">AV26</f>
        <v>1.294467188531793E-2</v>
      </c>
      <c r="AX26" s="355">
        <f t="shared" ref="AX26" si="104">AW26</f>
        <v>1.294467188531793E-2</v>
      </c>
      <c r="AY26" s="354">
        <f>((SUM(AM31:AX31)/AVERAGE(AM30:AX30)+AY21)*AVERAGE(AY30:BJ30)-SUM(AY23:BJ23))/(AY30*AY$14+AZ30*AZ$14+BA30*BA$14+BB30*BB$14+BC30*BC$14+BD30*BD$14+BE30*BE$14+BF30*BF$14+BG30*BG$14+BH30*BH$14+BI30*BI$14+BJ30*BJ$14)</f>
        <v>1.294467188531793E-2</v>
      </c>
      <c r="AZ26" s="355">
        <f>AY26</f>
        <v>1.294467188531793E-2</v>
      </c>
      <c r="BA26" s="355">
        <f t="shared" ref="BA26" si="105">AZ26</f>
        <v>1.294467188531793E-2</v>
      </c>
      <c r="BB26" s="355">
        <f t="shared" ref="BB26" si="106">BA26</f>
        <v>1.294467188531793E-2</v>
      </c>
      <c r="BC26" s="355">
        <f t="shared" ref="BC26" si="107">BB26</f>
        <v>1.294467188531793E-2</v>
      </c>
      <c r="BD26" s="355">
        <f t="shared" ref="BD26" si="108">BC26</f>
        <v>1.294467188531793E-2</v>
      </c>
      <c r="BE26" s="355">
        <f t="shared" ref="BE26" si="109">BD26</f>
        <v>1.294467188531793E-2</v>
      </c>
      <c r="BF26" s="355">
        <f t="shared" ref="BF26" si="110">BE26</f>
        <v>1.294467188531793E-2</v>
      </c>
      <c r="BG26" s="355">
        <f t="shared" ref="BG26" si="111">BF26</f>
        <v>1.294467188531793E-2</v>
      </c>
      <c r="BH26" s="355">
        <f t="shared" ref="BH26" si="112">BG26</f>
        <v>1.294467188531793E-2</v>
      </c>
      <c r="BI26" s="355">
        <f t="shared" ref="BI26" si="113">BH26</f>
        <v>1.294467188531793E-2</v>
      </c>
      <c r="BJ26" s="355">
        <f t="shared" ref="BJ26" si="114">BI26</f>
        <v>1.294467188531793E-2</v>
      </c>
      <c r="BK26" s="354">
        <f>((SUM(AY31:BJ31)/AVERAGE(AY30:BJ30)+BK21)*AVERAGE(BK30:BV30)-SUM(BK23:BV23))/(BK30*BK$14+BL30*BL$14+BM30*BM$14+BN30*BN$14+BO30*BO$14+BP30*BP$14+BQ30*BQ$14+BR30*BR$14+BS30*BS$14+BT30*BT$14+BU30*BU$14+BV30*BV$14)</f>
        <v>1.294467188531793E-2</v>
      </c>
      <c r="BL26" s="355">
        <f>BK26</f>
        <v>1.294467188531793E-2</v>
      </c>
      <c r="BM26" s="355">
        <f t="shared" ref="BM26" si="115">BL26</f>
        <v>1.294467188531793E-2</v>
      </c>
      <c r="BN26" s="355">
        <f t="shared" ref="BN26" si="116">BM26</f>
        <v>1.294467188531793E-2</v>
      </c>
      <c r="BO26" s="355">
        <f t="shared" ref="BO26" si="117">BN26</f>
        <v>1.294467188531793E-2</v>
      </c>
      <c r="BP26" s="355">
        <f t="shared" ref="BP26" si="118">BO26</f>
        <v>1.294467188531793E-2</v>
      </c>
      <c r="BQ26" s="355">
        <f t="shared" ref="BQ26" si="119">BP26</f>
        <v>1.294467188531793E-2</v>
      </c>
      <c r="BR26" s="355">
        <f t="shared" ref="BR26" si="120">BQ26</f>
        <v>1.294467188531793E-2</v>
      </c>
      <c r="BS26" s="355">
        <f t="shared" ref="BS26" si="121">BR26</f>
        <v>1.294467188531793E-2</v>
      </c>
      <c r="BT26" s="355">
        <f t="shared" ref="BT26" si="122">BS26</f>
        <v>1.294467188531793E-2</v>
      </c>
      <c r="BU26" s="355">
        <f t="shared" ref="BU26" si="123">BT26</f>
        <v>1.294467188531793E-2</v>
      </c>
      <c r="BV26" s="355">
        <f t="shared" ref="BV26" si="124">BU26</f>
        <v>1.294467188531793E-2</v>
      </c>
      <c r="BW26" s="354">
        <f>((SUM(BK31:BV31)/AVERAGE(BK30:BV30)+BW21)*AVERAGE(BW30:CH30)-SUM(BW23:CH23))/(BW30*BW$14+BX30*BX$14+BY30*BY$14+BZ30*BZ$14+CA30*CA$14+CB30*CB$14+CC30*CC$14+CD30*CD$14+CE30*CE$14+CF30*CF$14+CG30*CG$14+CH30*CH$14)</f>
        <v>1.294467188531793E-2</v>
      </c>
      <c r="BX26" s="355">
        <f>BW26</f>
        <v>1.294467188531793E-2</v>
      </c>
      <c r="BY26" s="355">
        <f t="shared" ref="BY26" si="125">BX26</f>
        <v>1.294467188531793E-2</v>
      </c>
      <c r="BZ26" s="355">
        <f t="shared" ref="BZ26" si="126">BY26</f>
        <v>1.294467188531793E-2</v>
      </c>
      <c r="CA26" s="355">
        <f t="shared" ref="CA26" si="127">BZ26</f>
        <v>1.294467188531793E-2</v>
      </c>
      <c r="CB26" s="355">
        <f t="shared" ref="CB26" si="128">CA26</f>
        <v>1.294467188531793E-2</v>
      </c>
      <c r="CC26" s="355">
        <f t="shared" ref="CC26" si="129">CB26</f>
        <v>1.294467188531793E-2</v>
      </c>
      <c r="CD26" s="355">
        <f t="shared" ref="CD26" si="130">CC26</f>
        <v>1.294467188531793E-2</v>
      </c>
      <c r="CE26" s="355">
        <f t="shared" ref="CE26" si="131">CD26</f>
        <v>1.294467188531793E-2</v>
      </c>
      <c r="CF26" s="355">
        <f t="shared" ref="CF26" si="132">CE26</f>
        <v>1.294467188531793E-2</v>
      </c>
      <c r="CG26" s="355">
        <f t="shared" ref="CG26" si="133">CF26</f>
        <v>1.294467188531793E-2</v>
      </c>
      <c r="CH26" s="355">
        <f t="shared" ref="CH26" si="134">CG26</f>
        <v>1.294467188531793E-2</v>
      </c>
    </row>
    <row r="27" spans="1:86">
      <c r="A27" s="233">
        <v>15</v>
      </c>
      <c r="B27" s="26" t="s">
        <v>76</v>
      </c>
      <c r="C27" s="26">
        <f>ROUND(C26*C$14,4)</f>
        <v>0</v>
      </c>
      <c r="D27" s="26">
        <f t="shared" ref="D27:Z27" si="135">ROUND(D26*D$14,4)</f>
        <v>0</v>
      </c>
      <c r="E27" s="26">
        <f t="shared" si="135"/>
        <v>2.5899999999999999E-2</v>
      </c>
      <c r="F27" s="26">
        <f t="shared" si="135"/>
        <v>0.91910000000000003</v>
      </c>
      <c r="G27" s="26">
        <f t="shared" si="135"/>
        <v>4.6859999999999999</v>
      </c>
      <c r="H27" s="26">
        <f t="shared" si="135"/>
        <v>8.5045999999999999</v>
      </c>
      <c r="I27" s="26">
        <f t="shared" si="135"/>
        <v>10.433400000000001</v>
      </c>
      <c r="J27" s="26">
        <f t="shared" si="135"/>
        <v>11.378399999999999</v>
      </c>
      <c r="K27" s="26">
        <f t="shared" si="135"/>
        <v>7.6115000000000004</v>
      </c>
      <c r="L27" s="26">
        <f t="shared" si="135"/>
        <v>4.4659000000000004</v>
      </c>
      <c r="M27" s="26">
        <f t="shared" si="135"/>
        <v>1.7216</v>
      </c>
      <c r="N27" s="26">
        <f t="shared" si="135"/>
        <v>0.1812</v>
      </c>
      <c r="O27" s="26">
        <f t="shared" si="135"/>
        <v>0</v>
      </c>
      <c r="P27" s="26">
        <f t="shared" si="135"/>
        <v>0</v>
      </c>
      <c r="Q27" s="26">
        <f t="shared" si="135"/>
        <v>2.5899999999999999E-2</v>
      </c>
      <c r="R27" s="26">
        <f t="shared" si="135"/>
        <v>0.91910000000000003</v>
      </c>
      <c r="S27" s="26">
        <f t="shared" si="135"/>
        <v>4.6859999999999999</v>
      </c>
      <c r="T27" s="26">
        <f t="shared" si="135"/>
        <v>8.5045999999999999</v>
      </c>
      <c r="U27" s="26">
        <f t="shared" si="135"/>
        <v>10.433400000000001</v>
      </c>
      <c r="V27" s="26">
        <f t="shared" si="135"/>
        <v>11.378399999999999</v>
      </c>
      <c r="W27" s="26">
        <f t="shared" si="135"/>
        <v>7.6115000000000004</v>
      </c>
      <c r="X27" s="26">
        <f t="shared" si="135"/>
        <v>4.4659000000000004</v>
      </c>
      <c r="Y27" s="26">
        <f t="shared" si="135"/>
        <v>1.7216</v>
      </c>
      <c r="Z27" s="26">
        <f t="shared" si="135"/>
        <v>0.1812</v>
      </c>
      <c r="AA27" s="26">
        <f t="shared" ref="AA27:CH27" si="136">ROUND(AA26*AA$14,4)</f>
        <v>0</v>
      </c>
      <c r="AB27" s="26">
        <f t="shared" si="136"/>
        <v>0</v>
      </c>
      <c r="AC27" s="26">
        <f t="shared" si="136"/>
        <v>2.5899999999999999E-2</v>
      </c>
      <c r="AD27" s="26">
        <f t="shared" si="136"/>
        <v>0.91910000000000003</v>
      </c>
      <c r="AE27" s="26">
        <f t="shared" si="136"/>
        <v>4.6859999999999999</v>
      </c>
      <c r="AF27" s="26">
        <f t="shared" si="136"/>
        <v>8.5045999999999999</v>
      </c>
      <c r="AG27" s="26">
        <f t="shared" si="136"/>
        <v>10.433400000000001</v>
      </c>
      <c r="AH27" s="26">
        <f t="shared" si="136"/>
        <v>11.378399999999999</v>
      </c>
      <c r="AI27" s="26">
        <f t="shared" si="136"/>
        <v>7.6115000000000004</v>
      </c>
      <c r="AJ27" s="26">
        <f t="shared" si="136"/>
        <v>4.4659000000000004</v>
      </c>
      <c r="AK27" s="26">
        <f t="shared" si="136"/>
        <v>1.7216</v>
      </c>
      <c r="AL27" s="26">
        <f t="shared" si="136"/>
        <v>0.1812</v>
      </c>
      <c r="AM27" s="26">
        <f t="shared" si="136"/>
        <v>0</v>
      </c>
      <c r="AN27" s="26">
        <f t="shared" si="136"/>
        <v>0</v>
      </c>
      <c r="AO27" s="26">
        <f t="shared" si="136"/>
        <v>2.5899999999999999E-2</v>
      </c>
      <c r="AP27" s="26">
        <f t="shared" si="136"/>
        <v>0.91910000000000003</v>
      </c>
      <c r="AQ27" s="26">
        <f t="shared" si="136"/>
        <v>4.6859999999999999</v>
      </c>
      <c r="AR27" s="26">
        <f t="shared" si="136"/>
        <v>8.5045999999999999</v>
      </c>
      <c r="AS27" s="26">
        <f t="shared" si="136"/>
        <v>10.433400000000001</v>
      </c>
      <c r="AT27" s="26">
        <f t="shared" si="136"/>
        <v>11.378399999999999</v>
      </c>
      <c r="AU27" s="26">
        <f t="shared" si="136"/>
        <v>7.6115000000000004</v>
      </c>
      <c r="AV27" s="26">
        <f t="shared" si="136"/>
        <v>4.4659000000000004</v>
      </c>
      <c r="AW27" s="26">
        <f t="shared" si="136"/>
        <v>1.7216</v>
      </c>
      <c r="AX27" s="26">
        <f t="shared" si="136"/>
        <v>0.1812</v>
      </c>
      <c r="AY27" s="26">
        <f t="shared" si="136"/>
        <v>0</v>
      </c>
      <c r="AZ27" s="26">
        <f t="shared" si="136"/>
        <v>0</v>
      </c>
      <c r="BA27" s="26">
        <f t="shared" si="136"/>
        <v>2.5899999999999999E-2</v>
      </c>
      <c r="BB27" s="26">
        <f t="shared" si="136"/>
        <v>0.91910000000000003</v>
      </c>
      <c r="BC27" s="26">
        <f t="shared" si="136"/>
        <v>4.6859999999999999</v>
      </c>
      <c r="BD27" s="26">
        <f t="shared" si="136"/>
        <v>8.5045999999999999</v>
      </c>
      <c r="BE27" s="26">
        <f t="shared" si="136"/>
        <v>10.433400000000001</v>
      </c>
      <c r="BF27" s="26">
        <f t="shared" si="136"/>
        <v>11.378399999999999</v>
      </c>
      <c r="BG27" s="26">
        <f t="shared" si="136"/>
        <v>7.6115000000000004</v>
      </c>
      <c r="BH27" s="26">
        <f t="shared" si="136"/>
        <v>4.4659000000000004</v>
      </c>
      <c r="BI27" s="26">
        <f t="shared" si="136"/>
        <v>1.7216</v>
      </c>
      <c r="BJ27" s="26">
        <f t="shared" si="136"/>
        <v>0.1812</v>
      </c>
      <c r="BK27" s="26">
        <f t="shared" si="136"/>
        <v>0</v>
      </c>
      <c r="BL27" s="26">
        <f t="shared" si="136"/>
        <v>0</v>
      </c>
      <c r="BM27" s="26">
        <f t="shared" si="136"/>
        <v>2.5899999999999999E-2</v>
      </c>
      <c r="BN27" s="26">
        <f t="shared" si="136"/>
        <v>0.91910000000000003</v>
      </c>
      <c r="BO27" s="26">
        <f t="shared" si="136"/>
        <v>4.6859999999999999</v>
      </c>
      <c r="BP27" s="26">
        <f t="shared" si="136"/>
        <v>8.5045999999999999</v>
      </c>
      <c r="BQ27" s="26">
        <f t="shared" si="136"/>
        <v>10.433400000000001</v>
      </c>
      <c r="BR27" s="26">
        <f t="shared" si="136"/>
        <v>11.378399999999999</v>
      </c>
      <c r="BS27" s="26">
        <f t="shared" si="136"/>
        <v>7.6115000000000004</v>
      </c>
      <c r="BT27" s="26">
        <f t="shared" si="136"/>
        <v>4.4659000000000004</v>
      </c>
      <c r="BU27" s="26">
        <f t="shared" si="136"/>
        <v>1.7216</v>
      </c>
      <c r="BV27" s="26">
        <f t="shared" si="136"/>
        <v>0.1812</v>
      </c>
      <c r="BW27" s="26">
        <f t="shared" si="136"/>
        <v>0</v>
      </c>
      <c r="BX27" s="26">
        <f t="shared" si="136"/>
        <v>0</v>
      </c>
      <c r="BY27" s="26">
        <f t="shared" si="136"/>
        <v>2.5899999999999999E-2</v>
      </c>
      <c r="BZ27" s="26">
        <f t="shared" si="136"/>
        <v>0.91910000000000003</v>
      </c>
      <c r="CA27" s="26">
        <f t="shared" si="136"/>
        <v>4.6859999999999999</v>
      </c>
      <c r="CB27" s="26">
        <f t="shared" si="136"/>
        <v>8.5045999999999999</v>
      </c>
      <c r="CC27" s="26">
        <f t="shared" si="136"/>
        <v>10.433400000000001</v>
      </c>
      <c r="CD27" s="26">
        <f t="shared" si="136"/>
        <v>11.378399999999999</v>
      </c>
      <c r="CE27" s="26">
        <f t="shared" si="136"/>
        <v>7.6115000000000004</v>
      </c>
      <c r="CF27" s="26">
        <f t="shared" si="136"/>
        <v>4.4659000000000004</v>
      </c>
      <c r="CG27" s="26">
        <f t="shared" si="136"/>
        <v>1.7216</v>
      </c>
      <c r="CH27" s="26">
        <f t="shared" si="136"/>
        <v>0.1812</v>
      </c>
    </row>
    <row r="28" spans="1:86">
      <c r="A28" s="233">
        <v>16</v>
      </c>
      <c r="B28" s="26" t="s">
        <v>532</v>
      </c>
      <c r="C28" s="354">
        <f>(_xlfn.XLOOKUP($C$102,$C$101:$N$101,C32:N32,"#NA",0,1)+_xlfn.XLOOKUP($D$102,$C$101:$N$101,C32:N32,"#NA",0,1))/(_xlfn.XLOOKUP($C$102,$C$101:$N$101,C30:N30,"#NA",0,1)+_xlfn.XLOOKUP($D$102,$C$101:$N$101,C30:N30,"#NA",0,1))</f>
        <v>0.96904359941039742</v>
      </c>
      <c r="D28" s="482">
        <f t="shared" ref="D28:N28" si="137">C28</f>
        <v>0.96904359941039742</v>
      </c>
      <c r="E28" s="482">
        <f t="shared" si="137"/>
        <v>0.96904359941039742</v>
      </c>
      <c r="F28" s="482">
        <f t="shared" si="137"/>
        <v>0.96904359941039742</v>
      </c>
      <c r="G28" s="482">
        <f t="shared" si="137"/>
        <v>0.96904359941039742</v>
      </c>
      <c r="H28" s="482">
        <f t="shared" si="137"/>
        <v>0.96904359941039742</v>
      </c>
      <c r="I28" s="482">
        <f t="shared" si="137"/>
        <v>0.96904359941039742</v>
      </c>
      <c r="J28" s="482">
        <f t="shared" si="137"/>
        <v>0.96904359941039742</v>
      </c>
      <c r="K28" s="482">
        <f t="shared" si="137"/>
        <v>0.96904359941039742</v>
      </c>
      <c r="L28" s="482">
        <f t="shared" si="137"/>
        <v>0.96904359941039742</v>
      </c>
      <c r="M28" s="482">
        <f t="shared" si="137"/>
        <v>0.96904359941039742</v>
      </c>
      <c r="N28" s="482">
        <f t="shared" si="137"/>
        <v>0.96904359941039742</v>
      </c>
      <c r="O28" s="482">
        <f>C28+O20</f>
        <v>0.96904359941039742</v>
      </c>
      <c r="P28" s="482">
        <f t="shared" ref="P28:Z28" si="138">D28+P20</f>
        <v>0.96904359941039742</v>
      </c>
      <c r="Q28" s="482">
        <f t="shared" si="138"/>
        <v>0.96904359941039742</v>
      </c>
      <c r="R28" s="482">
        <f t="shared" si="138"/>
        <v>0.96904359941039742</v>
      </c>
      <c r="S28" s="482">
        <f t="shared" si="138"/>
        <v>0.96904359941039742</v>
      </c>
      <c r="T28" s="482">
        <f t="shared" si="138"/>
        <v>0.96904359941039742</v>
      </c>
      <c r="U28" s="482">
        <f t="shared" si="138"/>
        <v>0.96904359941039742</v>
      </c>
      <c r="V28" s="482">
        <f t="shared" si="138"/>
        <v>0.96904359941039742</v>
      </c>
      <c r="W28" s="482">
        <f t="shared" si="138"/>
        <v>0.96904359941039742</v>
      </c>
      <c r="X28" s="482">
        <f t="shared" si="138"/>
        <v>0.96904359941039742</v>
      </c>
      <c r="Y28" s="482">
        <f t="shared" si="138"/>
        <v>0.96904359941039742</v>
      </c>
      <c r="Z28" s="482">
        <f t="shared" si="138"/>
        <v>0.96904359941039742</v>
      </c>
      <c r="AA28" s="482">
        <f>O28+AA20</f>
        <v>0.96904359941039742</v>
      </c>
      <c r="AB28" s="482">
        <f t="shared" ref="AB28" si="139">P28+AB20</f>
        <v>0.96904359941039742</v>
      </c>
      <c r="AC28" s="482">
        <f t="shared" ref="AC28" si="140">Q28+AC20</f>
        <v>0.96904359941039742</v>
      </c>
      <c r="AD28" s="482">
        <f t="shared" ref="AD28" si="141">R28+AD20</f>
        <v>0.96904359941039742</v>
      </c>
      <c r="AE28" s="482">
        <f t="shared" ref="AE28" si="142">S28+AE20</f>
        <v>0.96904359941039742</v>
      </c>
      <c r="AF28" s="482">
        <f t="shared" ref="AF28" si="143">T28+AF20</f>
        <v>0.96904359941039742</v>
      </c>
      <c r="AG28" s="482">
        <f t="shared" ref="AG28" si="144">U28+AG20</f>
        <v>0.96904359941039742</v>
      </c>
      <c r="AH28" s="482">
        <f t="shared" ref="AH28" si="145">V28+AH20</f>
        <v>0.96904359941039742</v>
      </c>
      <c r="AI28" s="482">
        <f t="shared" ref="AI28" si="146">W28+AI20</f>
        <v>0.96904359941039742</v>
      </c>
      <c r="AJ28" s="482">
        <f t="shared" ref="AJ28" si="147">X28+AJ20</f>
        <v>0.96904359941039742</v>
      </c>
      <c r="AK28" s="482">
        <f t="shared" ref="AK28" si="148">Y28+AK20</f>
        <v>0.96904359941039742</v>
      </c>
      <c r="AL28" s="482">
        <f t="shared" ref="AL28" si="149">Z28+AL20</f>
        <v>0.96904359941039742</v>
      </c>
      <c r="AM28" s="482">
        <f>AA28+AM20</f>
        <v>0.96904359941039742</v>
      </c>
      <c r="AN28" s="482">
        <f t="shared" ref="AN28" si="150">AB28+AN20</f>
        <v>0.96904359941039742</v>
      </c>
      <c r="AO28" s="482">
        <f t="shared" ref="AO28" si="151">AC28+AO20</f>
        <v>0.96904359941039742</v>
      </c>
      <c r="AP28" s="482">
        <f t="shared" ref="AP28" si="152">AD28+AP20</f>
        <v>0.96904359941039742</v>
      </c>
      <c r="AQ28" s="482">
        <f t="shared" ref="AQ28" si="153">AE28+AQ20</f>
        <v>0.96904359941039742</v>
      </c>
      <c r="AR28" s="482">
        <f t="shared" ref="AR28" si="154">AF28+AR20</f>
        <v>0.96904359941039742</v>
      </c>
      <c r="AS28" s="482">
        <f t="shared" ref="AS28" si="155">AG28+AS20</f>
        <v>0.96904359941039742</v>
      </c>
      <c r="AT28" s="482">
        <f t="shared" ref="AT28" si="156">AH28+AT20</f>
        <v>0.96904359941039742</v>
      </c>
      <c r="AU28" s="482">
        <f t="shared" ref="AU28" si="157">AI28+AU20</f>
        <v>0.96904359941039742</v>
      </c>
      <c r="AV28" s="482">
        <f t="shared" ref="AV28" si="158">AJ28+AV20</f>
        <v>0.96904359941039742</v>
      </c>
      <c r="AW28" s="482">
        <f t="shared" ref="AW28" si="159">AK28+AW20</f>
        <v>0.96904359941039742</v>
      </c>
      <c r="AX28" s="482">
        <f t="shared" ref="AX28" si="160">AL28+AX20</f>
        <v>0.96904359941039742</v>
      </c>
      <c r="AY28" s="482">
        <f>AM28+AY20</f>
        <v>0.96904359941039742</v>
      </c>
      <c r="AZ28" s="482">
        <f t="shared" ref="AZ28" si="161">AN28+AZ20</f>
        <v>0.96904359941039742</v>
      </c>
      <c r="BA28" s="482">
        <f t="shared" ref="BA28" si="162">AO28+BA20</f>
        <v>0.96904359941039742</v>
      </c>
      <c r="BB28" s="482">
        <f t="shared" ref="BB28" si="163">AP28+BB20</f>
        <v>0.96904359941039742</v>
      </c>
      <c r="BC28" s="482">
        <f t="shared" ref="BC28" si="164">AQ28+BC20</f>
        <v>0.96904359941039742</v>
      </c>
      <c r="BD28" s="482">
        <f t="shared" ref="BD28" si="165">AR28+BD20</f>
        <v>0.96904359941039742</v>
      </c>
      <c r="BE28" s="482">
        <f t="shared" ref="BE28" si="166">AS28+BE20</f>
        <v>0.96904359941039742</v>
      </c>
      <c r="BF28" s="482">
        <f t="shared" ref="BF28" si="167">AT28+BF20</f>
        <v>0.96904359941039742</v>
      </c>
      <c r="BG28" s="482">
        <f t="shared" ref="BG28" si="168">AU28+BG20</f>
        <v>0.96904359941039742</v>
      </c>
      <c r="BH28" s="482">
        <f t="shared" ref="BH28" si="169">AV28+BH20</f>
        <v>0.96904359941039742</v>
      </c>
      <c r="BI28" s="482">
        <f t="shared" ref="BI28" si="170">AW28+BI20</f>
        <v>0.96904359941039742</v>
      </c>
      <c r="BJ28" s="482">
        <f t="shared" ref="BJ28" si="171">AX28+BJ20</f>
        <v>0.96904359941039742</v>
      </c>
      <c r="BK28" s="482">
        <f>AY28+BK20</f>
        <v>0.96904359941039742</v>
      </c>
      <c r="BL28" s="482">
        <f t="shared" ref="BL28" si="172">AZ28+BL20</f>
        <v>0.96904359941039742</v>
      </c>
      <c r="BM28" s="482">
        <f t="shared" ref="BM28" si="173">BA28+BM20</f>
        <v>0.96904359941039742</v>
      </c>
      <c r="BN28" s="482">
        <f t="shared" ref="BN28" si="174">BB28+BN20</f>
        <v>0.96904359941039742</v>
      </c>
      <c r="BO28" s="482">
        <f t="shared" ref="BO28" si="175">BC28+BO20</f>
        <v>0.96904359941039742</v>
      </c>
      <c r="BP28" s="482">
        <f t="shared" ref="BP28" si="176">BD28+BP20</f>
        <v>0.96904359941039742</v>
      </c>
      <c r="BQ28" s="482">
        <f t="shared" ref="BQ28" si="177">BE28+BQ20</f>
        <v>0.96904359941039742</v>
      </c>
      <c r="BR28" s="482">
        <f t="shared" ref="BR28" si="178">BF28+BR20</f>
        <v>0.96904359941039742</v>
      </c>
      <c r="BS28" s="482">
        <f t="shared" ref="BS28" si="179">BG28+BS20</f>
        <v>0.96904359941039742</v>
      </c>
      <c r="BT28" s="482">
        <f t="shared" ref="BT28" si="180">BH28+BT20</f>
        <v>0.96904359941039742</v>
      </c>
      <c r="BU28" s="482">
        <f t="shared" ref="BU28" si="181">BI28+BU20</f>
        <v>0.96904359941039742</v>
      </c>
      <c r="BV28" s="482">
        <f t="shared" ref="BV28" si="182">BJ28+BV20</f>
        <v>0.96904359941039742</v>
      </c>
      <c r="BW28" s="482">
        <f>BK28+BW20</f>
        <v>0.96904359941039742</v>
      </c>
      <c r="BX28" s="482">
        <f t="shared" ref="BX28" si="183">BL28+BX20</f>
        <v>0.96904359941039742</v>
      </c>
      <c r="BY28" s="482">
        <f t="shared" ref="BY28" si="184">BM28+BY20</f>
        <v>0.96904359941039742</v>
      </c>
      <c r="BZ28" s="482">
        <f t="shared" ref="BZ28" si="185">BN28+BZ20</f>
        <v>0.96904359941039742</v>
      </c>
      <c r="CA28" s="482">
        <f t="shared" ref="CA28" si="186">BO28+CA20</f>
        <v>0.96904359941039742</v>
      </c>
      <c r="CB28" s="482">
        <f t="shared" ref="CB28" si="187">BP28+CB20</f>
        <v>0.96904359941039742</v>
      </c>
      <c r="CC28" s="482">
        <f t="shared" ref="CC28" si="188">BQ28+CC20</f>
        <v>0.96904359941039742</v>
      </c>
      <c r="CD28" s="482">
        <f t="shared" ref="CD28" si="189">BR28+CD20</f>
        <v>0.96904359941039742</v>
      </c>
      <c r="CE28" s="482">
        <f t="shared" ref="CE28" si="190">BS28+CE20</f>
        <v>0.96904359941039742</v>
      </c>
      <c r="CF28" s="482">
        <f t="shared" ref="CF28" si="191">BT28+CF20</f>
        <v>0.96904359941039742</v>
      </c>
      <c r="CG28" s="482">
        <f t="shared" ref="CG28" si="192">BU28+CG20</f>
        <v>0.96904359941039742</v>
      </c>
      <c r="CH28" s="482">
        <f t="shared" ref="CH28" si="193">BV28+CH20</f>
        <v>0.96904359941039742</v>
      </c>
    </row>
    <row r="29" spans="1:86">
      <c r="A29" s="233">
        <v>17</v>
      </c>
      <c r="B29" s="26" t="s">
        <v>545</v>
      </c>
      <c r="C29" s="482">
        <f t="shared" ref="C29:Z29" si="194">C28+C27</f>
        <v>0.96904359941039742</v>
      </c>
      <c r="D29" s="482">
        <f t="shared" si="194"/>
        <v>0.96904359941039742</v>
      </c>
      <c r="E29" s="482">
        <f t="shared" si="194"/>
        <v>0.99494359941039745</v>
      </c>
      <c r="F29" s="482">
        <f t="shared" si="194"/>
        <v>1.8881435994103974</v>
      </c>
      <c r="G29" s="482">
        <f t="shared" si="194"/>
        <v>5.6550435994103978</v>
      </c>
      <c r="H29" s="482">
        <f t="shared" si="194"/>
        <v>9.4736435994103978</v>
      </c>
      <c r="I29" s="482">
        <f t="shared" si="194"/>
        <v>11.402443599410399</v>
      </c>
      <c r="J29" s="482">
        <f t="shared" si="194"/>
        <v>12.347443599410397</v>
      </c>
      <c r="K29" s="482">
        <f t="shared" si="194"/>
        <v>8.5805435994103973</v>
      </c>
      <c r="L29" s="482">
        <f t="shared" si="194"/>
        <v>5.4349435994103974</v>
      </c>
      <c r="M29" s="482">
        <f t="shared" si="194"/>
        <v>2.6906435994103974</v>
      </c>
      <c r="N29" s="482">
        <f t="shared" si="194"/>
        <v>1.1502435994103974</v>
      </c>
      <c r="O29" s="482">
        <f t="shared" si="194"/>
        <v>0.96904359941039742</v>
      </c>
      <c r="P29" s="482">
        <f t="shared" si="194"/>
        <v>0.96904359941039742</v>
      </c>
      <c r="Q29" s="482">
        <f t="shared" si="194"/>
        <v>0.99494359941039745</v>
      </c>
      <c r="R29" s="482">
        <f t="shared" si="194"/>
        <v>1.8881435994103974</v>
      </c>
      <c r="S29" s="482">
        <f t="shared" si="194"/>
        <v>5.6550435994103978</v>
      </c>
      <c r="T29" s="482">
        <f t="shared" si="194"/>
        <v>9.4736435994103978</v>
      </c>
      <c r="U29" s="482">
        <f t="shared" si="194"/>
        <v>11.402443599410399</v>
      </c>
      <c r="V29" s="482">
        <f t="shared" si="194"/>
        <v>12.347443599410397</v>
      </c>
      <c r="W29" s="482">
        <f t="shared" si="194"/>
        <v>8.5805435994103973</v>
      </c>
      <c r="X29" s="482">
        <f t="shared" si="194"/>
        <v>5.4349435994103974</v>
      </c>
      <c r="Y29" s="482">
        <f t="shared" si="194"/>
        <v>2.6906435994103974</v>
      </c>
      <c r="Z29" s="482">
        <f t="shared" si="194"/>
        <v>1.1502435994103974</v>
      </c>
      <c r="AA29" s="482">
        <f t="shared" ref="AA29:CH29" si="195">AA28+AA27</f>
        <v>0.96904359941039742</v>
      </c>
      <c r="AB29" s="482">
        <f t="shared" si="195"/>
        <v>0.96904359941039742</v>
      </c>
      <c r="AC29" s="482">
        <f t="shared" si="195"/>
        <v>0.99494359941039745</v>
      </c>
      <c r="AD29" s="482">
        <f t="shared" si="195"/>
        <v>1.8881435994103974</v>
      </c>
      <c r="AE29" s="482">
        <f t="shared" si="195"/>
        <v>5.6550435994103978</v>
      </c>
      <c r="AF29" s="482">
        <f t="shared" si="195"/>
        <v>9.4736435994103978</v>
      </c>
      <c r="AG29" s="482">
        <f t="shared" si="195"/>
        <v>11.402443599410399</v>
      </c>
      <c r="AH29" s="482">
        <f t="shared" si="195"/>
        <v>12.347443599410397</v>
      </c>
      <c r="AI29" s="482">
        <f t="shared" si="195"/>
        <v>8.5805435994103973</v>
      </c>
      <c r="AJ29" s="482">
        <f t="shared" si="195"/>
        <v>5.4349435994103974</v>
      </c>
      <c r="AK29" s="482">
        <f t="shared" si="195"/>
        <v>2.6906435994103974</v>
      </c>
      <c r="AL29" s="482">
        <f t="shared" si="195"/>
        <v>1.1502435994103974</v>
      </c>
      <c r="AM29" s="482">
        <f t="shared" si="195"/>
        <v>0.96904359941039742</v>
      </c>
      <c r="AN29" s="482">
        <f t="shared" si="195"/>
        <v>0.96904359941039742</v>
      </c>
      <c r="AO29" s="482">
        <f t="shared" si="195"/>
        <v>0.99494359941039745</v>
      </c>
      <c r="AP29" s="482">
        <f t="shared" si="195"/>
        <v>1.8881435994103974</v>
      </c>
      <c r="AQ29" s="482">
        <f t="shared" si="195"/>
        <v>5.6550435994103978</v>
      </c>
      <c r="AR29" s="482">
        <f t="shared" si="195"/>
        <v>9.4736435994103978</v>
      </c>
      <c r="AS29" s="482">
        <f t="shared" si="195"/>
        <v>11.402443599410399</v>
      </c>
      <c r="AT29" s="482">
        <f t="shared" si="195"/>
        <v>12.347443599410397</v>
      </c>
      <c r="AU29" s="482">
        <f t="shared" si="195"/>
        <v>8.5805435994103973</v>
      </c>
      <c r="AV29" s="482">
        <f t="shared" si="195"/>
        <v>5.4349435994103974</v>
      </c>
      <c r="AW29" s="482">
        <f t="shared" si="195"/>
        <v>2.6906435994103974</v>
      </c>
      <c r="AX29" s="482">
        <f t="shared" si="195"/>
        <v>1.1502435994103974</v>
      </c>
      <c r="AY29" s="482">
        <f t="shared" si="195"/>
        <v>0.96904359941039742</v>
      </c>
      <c r="AZ29" s="482">
        <f t="shared" si="195"/>
        <v>0.96904359941039742</v>
      </c>
      <c r="BA29" s="482">
        <f t="shared" si="195"/>
        <v>0.99494359941039745</v>
      </c>
      <c r="BB29" s="482">
        <f t="shared" si="195"/>
        <v>1.8881435994103974</v>
      </c>
      <c r="BC29" s="482">
        <f t="shared" si="195"/>
        <v>5.6550435994103978</v>
      </c>
      <c r="BD29" s="482">
        <f t="shared" si="195"/>
        <v>9.4736435994103978</v>
      </c>
      <c r="BE29" s="482">
        <f t="shared" si="195"/>
        <v>11.402443599410399</v>
      </c>
      <c r="BF29" s="482">
        <f t="shared" si="195"/>
        <v>12.347443599410397</v>
      </c>
      <c r="BG29" s="482">
        <f t="shared" si="195"/>
        <v>8.5805435994103973</v>
      </c>
      <c r="BH29" s="482">
        <f t="shared" si="195"/>
        <v>5.4349435994103974</v>
      </c>
      <c r="BI29" s="482">
        <f t="shared" si="195"/>
        <v>2.6906435994103974</v>
      </c>
      <c r="BJ29" s="482">
        <f t="shared" si="195"/>
        <v>1.1502435994103974</v>
      </c>
      <c r="BK29" s="482">
        <f t="shared" si="195"/>
        <v>0.96904359941039742</v>
      </c>
      <c r="BL29" s="482">
        <f t="shared" si="195"/>
        <v>0.96904359941039742</v>
      </c>
      <c r="BM29" s="482">
        <f t="shared" si="195"/>
        <v>0.99494359941039745</v>
      </c>
      <c r="BN29" s="482">
        <f t="shared" si="195"/>
        <v>1.8881435994103974</v>
      </c>
      <c r="BO29" s="482">
        <f t="shared" si="195"/>
        <v>5.6550435994103978</v>
      </c>
      <c r="BP29" s="482">
        <f t="shared" si="195"/>
        <v>9.4736435994103978</v>
      </c>
      <c r="BQ29" s="482">
        <f t="shared" si="195"/>
        <v>11.402443599410399</v>
      </c>
      <c r="BR29" s="482">
        <f t="shared" si="195"/>
        <v>12.347443599410397</v>
      </c>
      <c r="BS29" s="482">
        <f t="shared" si="195"/>
        <v>8.5805435994103973</v>
      </c>
      <c r="BT29" s="482">
        <f t="shared" si="195"/>
        <v>5.4349435994103974</v>
      </c>
      <c r="BU29" s="482">
        <f t="shared" si="195"/>
        <v>2.6906435994103974</v>
      </c>
      <c r="BV29" s="482">
        <f t="shared" si="195"/>
        <v>1.1502435994103974</v>
      </c>
      <c r="BW29" s="482">
        <f t="shared" si="195"/>
        <v>0.96904359941039742</v>
      </c>
      <c r="BX29" s="482">
        <f t="shared" si="195"/>
        <v>0.96904359941039742</v>
      </c>
      <c r="BY29" s="482">
        <f t="shared" si="195"/>
        <v>0.99494359941039745</v>
      </c>
      <c r="BZ29" s="482">
        <f t="shared" si="195"/>
        <v>1.8881435994103974</v>
      </c>
      <c r="CA29" s="482">
        <f t="shared" si="195"/>
        <v>5.6550435994103978</v>
      </c>
      <c r="CB29" s="482">
        <f t="shared" si="195"/>
        <v>9.4736435994103978</v>
      </c>
      <c r="CC29" s="482">
        <f t="shared" si="195"/>
        <v>11.402443599410399</v>
      </c>
      <c r="CD29" s="482">
        <f t="shared" si="195"/>
        <v>12.347443599410397</v>
      </c>
      <c r="CE29" s="482">
        <f t="shared" si="195"/>
        <v>8.5805435994103973</v>
      </c>
      <c r="CF29" s="482">
        <f t="shared" si="195"/>
        <v>5.4349435994103974</v>
      </c>
      <c r="CG29" s="482">
        <f t="shared" si="195"/>
        <v>2.6906435994103974</v>
      </c>
      <c r="CH29" s="482">
        <f t="shared" si="195"/>
        <v>1.1502435994103974</v>
      </c>
    </row>
    <row r="30" spans="1:86">
      <c r="A30" s="233">
        <v>18</v>
      </c>
      <c r="B30" s="26" t="s">
        <v>527</v>
      </c>
      <c r="C30" s="483">
        <f>'Bill Frequency'!C$13</f>
        <v>158859</v>
      </c>
      <c r="D30" s="484">
        <f>'Bill Frequency'!D$13</f>
        <v>158643</v>
      </c>
      <c r="E30" s="484">
        <f>'Bill Frequency'!E$13</f>
        <v>157525</v>
      </c>
      <c r="F30" s="484">
        <f>'Bill Frequency'!F$13</f>
        <v>158693</v>
      </c>
      <c r="G30" s="484">
        <f>'Bill Frequency'!G$13</f>
        <v>160008</v>
      </c>
      <c r="H30" s="484">
        <f>'Bill Frequency'!H$13</f>
        <v>161112</v>
      </c>
      <c r="I30" s="484">
        <f>'Bill Frequency'!I$13</f>
        <v>162059</v>
      </c>
      <c r="J30" s="484">
        <f>'Bill Frequency'!J$13</f>
        <v>162229</v>
      </c>
      <c r="K30" s="484">
        <f>'Bill Frequency'!K$13</f>
        <v>162136</v>
      </c>
      <c r="L30" s="484">
        <f>'Bill Frequency'!L$13</f>
        <v>162288</v>
      </c>
      <c r="M30" s="484">
        <f>'Bill Frequency'!M$13</f>
        <v>161528</v>
      </c>
      <c r="N30" s="485">
        <f>'Bill Frequency'!N$13</f>
        <v>160443</v>
      </c>
      <c r="O30" s="100">
        <f>C30+O19</f>
        <v>158859</v>
      </c>
      <c r="P30" s="100">
        <f t="shared" ref="P30:Z30" si="196">D30+P19</f>
        <v>158643</v>
      </c>
      <c r="Q30" s="100">
        <f t="shared" si="196"/>
        <v>157525</v>
      </c>
      <c r="R30" s="100">
        <f t="shared" si="196"/>
        <v>158693</v>
      </c>
      <c r="S30" s="100">
        <f t="shared" si="196"/>
        <v>160008</v>
      </c>
      <c r="T30" s="100">
        <f t="shared" si="196"/>
        <v>161112</v>
      </c>
      <c r="U30" s="100">
        <f t="shared" si="196"/>
        <v>162059</v>
      </c>
      <c r="V30" s="100">
        <f t="shared" si="196"/>
        <v>162229</v>
      </c>
      <c r="W30" s="100">
        <f t="shared" si="196"/>
        <v>162136</v>
      </c>
      <c r="X30" s="100">
        <f t="shared" si="196"/>
        <v>162288</v>
      </c>
      <c r="Y30" s="100">
        <f t="shared" si="196"/>
        <v>161528</v>
      </c>
      <c r="Z30" s="100">
        <f t="shared" si="196"/>
        <v>160443</v>
      </c>
      <c r="AA30" s="100">
        <f>O30+AA19</f>
        <v>158859</v>
      </c>
      <c r="AB30" s="100">
        <f t="shared" ref="AB30" si="197">P30+AB19</f>
        <v>158643</v>
      </c>
      <c r="AC30" s="100">
        <f t="shared" ref="AC30" si="198">Q30+AC19</f>
        <v>157525</v>
      </c>
      <c r="AD30" s="100">
        <f t="shared" ref="AD30" si="199">R30+AD19</f>
        <v>158693</v>
      </c>
      <c r="AE30" s="100">
        <f t="shared" ref="AE30" si="200">S30+AE19</f>
        <v>160008</v>
      </c>
      <c r="AF30" s="100">
        <f t="shared" ref="AF30" si="201">T30+AF19</f>
        <v>161112</v>
      </c>
      <c r="AG30" s="100">
        <f t="shared" ref="AG30" si="202">U30+AG19</f>
        <v>162059</v>
      </c>
      <c r="AH30" s="100">
        <f t="shared" ref="AH30" si="203">V30+AH19</f>
        <v>162229</v>
      </c>
      <c r="AI30" s="100">
        <f t="shared" ref="AI30" si="204">W30+AI19</f>
        <v>162136</v>
      </c>
      <c r="AJ30" s="100">
        <f t="shared" ref="AJ30" si="205">X30+AJ19</f>
        <v>162288</v>
      </c>
      <c r="AK30" s="100">
        <f t="shared" ref="AK30" si="206">Y30+AK19</f>
        <v>161528</v>
      </c>
      <c r="AL30" s="100">
        <f t="shared" ref="AL30" si="207">Z30+AL19</f>
        <v>160443</v>
      </c>
      <c r="AM30" s="100">
        <f>AA30+AM19</f>
        <v>158859</v>
      </c>
      <c r="AN30" s="100">
        <f t="shared" ref="AN30" si="208">AB30+AN19</f>
        <v>158643</v>
      </c>
      <c r="AO30" s="100">
        <f t="shared" ref="AO30" si="209">AC30+AO19</f>
        <v>157525</v>
      </c>
      <c r="AP30" s="100">
        <f t="shared" ref="AP30" si="210">AD30+AP19</f>
        <v>158693</v>
      </c>
      <c r="AQ30" s="100">
        <f t="shared" ref="AQ30" si="211">AE30+AQ19</f>
        <v>160008</v>
      </c>
      <c r="AR30" s="100">
        <f t="shared" ref="AR30" si="212">AF30+AR19</f>
        <v>161112</v>
      </c>
      <c r="AS30" s="100">
        <f t="shared" ref="AS30" si="213">AG30+AS19</f>
        <v>162059</v>
      </c>
      <c r="AT30" s="100">
        <f t="shared" ref="AT30" si="214">AH30+AT19</f>
        <v>162229</v>
      </c>
      <c r="AU30" s="100">
        <f t="shared" ref="AU30" si="215">AI30+AU19</f>
        <v>162136</v>
      </c>
      <c r="AV30" s="100">
        <f t="shared" ref="AV30" si="216">AJ30+AV19</f>
        <v>162288</v>
      </c>
      <c r="AW30" s="100">
        <f t="shared" ref="AW30" si="217">AK30+AW19</f>
        <v>161528</v>
      </c>
      <c r="AX30" s="100">
        <f t="shared" ref="AX30" si="218">AL30+AX19</f>
        <v>160443</v>
      </c>
      <c r="AY30" s="100">
        <f>AM30+AY19</f>
        <v>158859</v>
      </c>
      <c r="AZ30" s="100">
        <f t="shared" ref="AZ30" si="219">AN30+AZ19</f>
        <v>158643</v>
      </c>
      <c r="BA30" s="100">
        <f t="shared" ref="BA30" si="220">AO30+BA19</f>
        <v>157525</v>
      </c>
      <c r="BB30" s="100">
        <f t="shared" ref="BB30" si="221">AP30+BB19</f>
        <v>158693</v>
      </c>
      <c r="BC30" s="100">
        <f t="shared" ref="BC30" si="222">AQ30+BC19</f>
        <v>160008</v>
      </c>
      <c r="BD30" s="100">
        <f t="shared" ref="BD30" si="223">AR30+BD19</f>
        <v>161112</v>
      </c>
      <c r="BE30" s="100">
        <f t="shared" ref="BE30" si="224">AS30+BE19</f>
        <v>162059</v>
      </c>
      <c r="BF30" s="100">
        <f t="shared" ref="BF30" si="225">AT30+BF19</f>
        <v>162229</v>
      </c>
      <c r="BG30" s="100">
        <f t="shared" ref="BG30" si="226">AU30+BG19</f>
        <v>162136</v>
      </c>
      <c r="BH30" s="100">
        <f t="shared" ref="BH30" si="227">AV30+BH19</f>
        <v>162288</v>
      </c>
      <c r="BI30" s="100">
        <f t="shared" ref="BI30" si="228">AW30+BI19</f>
        <v>161528</v>
      </c>
      <c r="BJ30" s="100">
        <f t="shared" ref="BJ30" si="229">AX30+BJ19</f>
        <v>160443</v>
      </c>
      <c r="BK30" s="100">
        <f>AY30+BK19</f>
        <v>158859</v>
      </c>
      <c r="BL30" s="100">
        <f t="shared" ref="BL30" si="230">AZ30+BL19</f>
        <v>158643</v>
      </c>
      <c r="BM30" s="100">
        <f t="shared" ref="BM30" si="231">BA30+BM19</f>
        <v>157525</v>
      </c>
      <c r="BN30" s="100">
        <f t="shared" ref="BN30" si="232">BB30+BN19</f>
        <v>158693</v>
      </c>
      <c r="BO30" s="100">
        <f t="shared" ref="BO30" si="233">BC30+BO19</f>
        <v>160008</v>
      </c>
      <c r="BP30" s="100">
        <f t="shared" ref="BP30" si="234">BD30+BP19</f>
        <v>161112</v>
      </c>
      <c r="BQ30" s="100">
        <f t="shared" ref="BQ30" si="235">BE30+BQ19</f>
        <v>162059</v>
      </c>
      <c r="BR30" s="100">
        <f t="shared" ref="BR30" si="236">BF30+BR19</f>
        <v>162229</v>
      </c>
      <c r="BS30" s="100">
        <f t="shared" ref="BS30" si="237">BG30+BS19</f>
        <v>162136</v>
      </c>
      <c r="BT30" s="100">
        <f t="shared" ref="BT30" si="238">BH30+BT19</f>
        <v>162288</v>
      </c>
      <c r="BU30" s="100">
        <f t="shared" ref="BU30" si="239">BI30+BU19</f>
        <v>161528</v>
      </c>
      <c r="BV30" s="100">
        <f t="shared" ref="BV30" si="240">BJ30+BV19</f>
        <v>160443</v>
      </c>
      <c r="BW30" s="100">
        <f>BK30+BW19</f>
        <v>158859</v>
      </c>
      <c r="BX30" s="100">
        <f t="shared" ref="BX30" si="241">BL30+BX19</f>
        <v>158643</v>
      </c>
      <c r="BY30" s="100">
        <f t="shared" ref="BY30" si="242">BM30+BY19</f>
        <v>157525</v>
      </c>
      <c r="BZ30" s="100">
        <f t="shared" ref="BZ30" si="243">BN30+BZ19</f>
        <v>158693</v>
      </c>
      <c r="CA30" s="100">
        <f t="shared" ref="CA30" si="244">BO30+CA19</f>
        <v>160008</v>
      </c>
      <c r="CB30" s="100">
        <f t="shared" ref="CB30" si="245">BP30+CB19</f>
        <v>161112</v>
      </c>
      <c r="CC30" s="100">
        <f t="shared" ref="CC30" si="246">BQ30+CC19</f>
        <v>162059</v>
      </c>
      <c r="CD30" s="100">
        <f t="shared" ref="CD30" si="247">BR30+CD19</f>
        <v>162229</v>
      </c>
      <c r="CE30" s="100">
        <f t="shared" ref="CE30" si="248">BS30+CE19</f>
        <v>162136</v>
      </c>
      <c r="CF30" s="100">
        <f t="shared" ref="CF30" si="249">BT30+CF19</f>
        <v>162288</v>
      </c>
      <c r="CG30" s="100">
        <f t="shared" ref="CG30" si="250">BU30+CG19</f>
        <v>161528</v>
      </c>
      <c r="CH30" s="100">
        <f t="shared" ref="CH30" si="251">BV30+CH19</f>
        <v>160443</v>
      </c>
    </row>
    <row r="31" spans="1:86">
      <c r="A31" s="233">
        <v>19</v>
      </c>
      <c r="B31" s="26" t="s">
        <v>528</v>
      </c>
      <c r="C31" s="28">
        <f t="shared" ref="C31:N31" si="252">C30*C29</f>
        <v>153941.29715873633</v>
      </c>
      <c r="D31" s="28">
        <f t="shared" si="252"/>
        <v>153731.98374126368</v>
      </c>
      <c r="E31" s="28">
        <f t="shared" si="252"/>
        <v>156728.49049712287</v>
      </c>
      <c r="F31" s="28">
        <f t="shared" si="252"/>
        <v>299635.17222123418</v>
      </c>
      <c r="G31" s="28">
        <f t="shared" si="252"/>
        <v>904852.21625445888</v>
      </c>
      <c r="H31" s="28">
        <f t="shared" si="252"/>
        <v>1526317.6675882081</v>
      </c>
      <c r="I31" s="28">
        <f t="shared" si="252"/>
        <v>1847868.6072768497</v>
      </c>
      <c r="J31" s="28">
        <f t="shared" si="252"/>
        <v>2003113.4276887493</v>
      </c>
      <c r="K31" s="28">
        <f t="shared" si="252"/>
        <v>1391215.0170340042</v>
      </c>
      <c r="L31" s="28">
        <f t="shared" si="252"/>
        <v>882026.12686111452</v>
      </c>
      <c r="M31" s="28">
        <f t="shared" si="252"/>
        <v>434614.2793255627</v>
      </c>
      <c r="N31" s="28">
        <f t="shared" si="252"/>
        <v>184548.5338202024</v>
      </c>
      <c r="O31" s="81">
        <f>O30*O29</f>
        <v>153941.29715873633</v>
      </c>
      <c r="P31" s="81">
        <f t="shared" ref="P31:Z31" si="253">P30*P29</f>
        <v>153731.98374126368</v>
      </c>
      <c r="Q31" s="81">
        <f t="shared" si="253"/>
        <v>156728.49049712287</v>
      </c>
      <c r="R31" s="81">
        <f t="shared" si="253"/>
        <v>299635.17222123418</v>
      </c>
      <c r="S31" s="81">
        <f t="shared" si="253"/>
        <v>904852.21625445888</v>
      </c>
      <c r="T31" s="81">
        <f t="shared" si="253"/>
        <v>1526317.6675882081</v>
      </c>
      <c r="U31" s="81">
        <f t="shared" si="253"/>
        <v>1847868.6072768497</v>
      </c>
      <c r="V31" s="81">
        <f t="shared" si="253"/>
        <v>2003113.4276887493</v>
      </c>
      <c r="W31" s="81">
        <f t="shared" si="253"/>
        <v>1391215.0170340042</v>
      </c>
      <c r="X31" s="81">
        <f t="shared" si="253"/>
        <v>882026.12686111452</v>
      </c>
      <c r="Y31" s="81">
        <f t="shared" si="253"/>
        <v>434614.2793255627</v>
      </c>
      <c r="Z31" s="81">
        <f t="shared" si="253"/>
        <v>184548.5338202024</v>
      </c>
      <c r="AA31" s="81">
        <f>AA30*AA29</f>
        <v>153941.29715873633</v>
      </c>
      <c r="AB31" s="81">
        <f t="shared" ref="AB31:AL31" si="254">AB30*AB29</f>
        <v>153731.98374126368</v>
      </c>
      <c r="AC31" s="81">
        <f t="shared" si="254"/>
        <v>156728.49049712287</v>
      </c>
      <c r="AD31" s="81">
        <f t="shared" si="254"/>
        <v>299635.17222123418</v>
      </c>
      <c r="AE31" s="81">
        <f t="shared" si="254"/>
        <v>904852.21625445888</v>
      </c>
      <c r="AF31" s="81">
        <f t="shared" si="254"/>
        <v>1526317.6675882081</v>
      </c>
      <c r="AG31" s="81">
        <f t="shared" si="254"/>
        <v>1847868.6072768497</v>
      </c>
      <c r="AH31" s="81">
        <f t="shared" si="254"/>
        <v>2003113.4276887493</v>
      </c>
      <c r="AI31" s="81">
        <f t="shared" si="254"/>
        <v>1391215.0170340042</v>
      </c>
      <c r="AJ31" s="81">
        <f t="shared" si="254"/>
        <v>882026.12686111452</v>
      </c>
      <c r="AK31" s="81">
        <f t="shared" si="254"/>
        <v>434614.2793255627</v>
      </c>
      <c r="AL31" s="81">
        <f t="shared" si="254"/>
        <v>184548.5338202024</v>
      </c>
      <c r="AM31" s="81">
        <f>AM30*AM29</f>
        <v>153941.29715873633</v>
      </c>
      <c r="AN31" s="81">
        <f t="shared" ref="AN31:AX31" si="255">AN30*AN29</f>
        <v>153731.98374126368</v>
      </c>
      <c r="AO31" s="81">
        <f t="shared" si="255"/>
        <v>156728.49049712287</v>
      </c>
      <c r="AP31" s="81">
        <f t="shared" si="255"/>
        <v>299635.17222123418</v>
      </c>
      <c r="AQ31" s="81">
        <f t="shared" si="255"/>
        <v>904852.21625445888</v>
      </c>
      <c r="AR31" s="81">
        <f t="shared" si="255"/>
        <v>1526317.6675882081</v>
      </c>
      <c r="AS31" s="81">
        <f t="shared" si="255"/>
        <v>1847868.6072768497</v>
      </c>
      <c r="AT31" s="81">
        <f t="shared" si="255"/>
        <v>2003113.4276887493</v>
      </c>
      <c r="AU31" s="81">
        <f t="shared" si="255"/>
        <v>1391215.0170340042</v>
      </c>
      <c r="AV31" s="81">
        <f t="shared" si="255"/>
        <v>882026.12686111452</v>
      </c>
      <c r="AW31" s="81">
        <f t="shared" si="255"/>
        <v>434614.2793255627</v>
      </c>
      <c r="AX31" s="81">
        <f t="shared" si="255"/>
        <v>184548.5338202024</v>
      </c>
      <c r="AY31" s="81">
        <f>AY30*AY29</f>
        <v>153941.29715873633</v>
      </c>
      <c r="AZ31" s="81">
        <f t="shared" ref="AZ31:BJ31" si="256">AZ30*AZ29</f>
        <v>153731.98374126368</v>
      </c>
      <c r="BA31" s="81">
        <f t="shared" si="256"/>
        <v>156728.49049712287</v>
      </c>
      <c r="BB31" s="81">
        <f t="shared" si="256"/>
        <v>299635.17222123418</v>
      </c>
      <c r="BC31" s="81">
        <f t="shared" si="256"/>
        <v>904852.21625445888</v>
      </c>
      <c r="BD31" s="81">
        <f t="shared" si="256"/>
        <v>1526317.6675882081</v>
      </c>
      <c r="BE31" s="81">
        <f t="shared" si="256"/>
        <v>1847868.6072768497</v>
      </c>
      <c r="BF31" s="81">
        <f t="shared" si="256"/>
        <v>2003113.4276887493</v>
      </c>
      <c r="BG31" s="81">
        <f t="shared" si="256"/>
        <v>1391215.0170340042</v>
      </c>
      <c r="BH31" s="81">
        <f t="shared" si="256"/>
        <v>882026.12686111452</v>
      </c>
      <c r="BI31" s="81">
        <f t="shared" si="256"/>
        <v>434614.2793255627</v>
      </c>
      <c r="BJ31" s="81">
        <f t="shared" si="256"/>
        <v>184548.5338202024</v>
      </c>
      <c r="BK31" s="81">
        <f>BK30*BK29</f>
        <v>153941.29715873633</v>
      </c>
      <c r="BL31" s="81">
        <f t="shared" ref="BL31:BV31" si="257">BL30*BL29</f>
        <v>153731.98374126368</v>
      </c>
      <c r="BM31" s="81">
        <f t="shared" si="257"/>
        <v>156728.49049712287</v>
      </c>
      <c r="BN31" s="81">
        <f t="shared" si="257"/>
        <v>299635.17222123418</v>
      </c>
      <c r="BO31" s="81">
        <f t="shared" si="257"/>
        <v>904852.21625445888</v>
      </c>
      <c r="BP31" s="81">
        <f t="shared" si="257"/>
        <v>1526317.6675882081</v>
      </c>
      <c r="BQ31" s="81">
        <f t="shared" si="257"/>
        <v>1847868.6072768497</v>
      </c>
      <c r="BR31" s="81">
        <f t="shared" si="257"/>
        <v>2003113.4276887493</v>
      </c>
      <c r="BS31" s="81">
        <f t="shared" si="257"/>
        <v>1391215.0170340042</v>
      </c>
      <c r="BT31" s="81">
        <f t="shared" si="257"/>
        <v>882026.12686111452</v>
      </c>
      <c r="BU31" s="81">
        <f t="shared" si="257"/>
        <v>434614.2793255627</v>
      </c>
      <c r="BV31" s="81">
        <f t="shared" si="257"/>
        <v>184548.5338202024</v>
      </c>
      <c r="BW31" s="81">
        <f>BW30*BW29</f>
        <v>153941.29715873633</v>
      </c>
      <c r="BX31" s="81">
        <f t="shared" ref="BX31:CH31" si="258">BX30*BX29</f>
        <v>153731.98374126368</v>
      </c>
      <c r="BY31" s="81">
        <f t="shared" si="258"/>
        <v>156728.49049712287</v>
      </c>
      <c r="BZ31" s="81">
        <f t="shared" si="258"/>
        <v>299635.17222123418</v>
      </c>
      <c r="CA31" s="81">
        <f t="shared" si="258"/>
        <v>904852.21625445888</v>
      </c>
      <c r="CB31" s="81">
        <f t="shared" si="258"/>
        <v>1526317.6675882081</v>
      </c>
      <c r="CC31" s="81">
        <f t="shared" si="258"/>
        <v>1847868.6072768497</v>
      </c>
      <c r="CD31" s="81">
        <f t="shared" si="258"/>
        <v>2003113.4276887493</v>
      </c>
      <c r="CE31" s="81">
        <f t="shared" si="258"/>
        <v>1391215.0170340042</v>
      </c>
      <c r="CF31" s="81">
        <f t="shared" si="258"/>
        <v>882026.12686111452</v>
      </c>
      <c r="CG31" s="81">
        <f t="shared" si="258"/>
        <v>434614.2793255627</v>
      </c>
      <c r="CH31" s="81">
        <f t="shared" si="258"/>
        <v>184548.5338202024</v>
      </c>
    </row>
    <row r="32" spans="1:86">
      <c r="A32" s="233">
        <v>20</v>
      </c>
      <c r="B32" s="26" t="s">
        <v>529</v>
      </c>
      <c r="C32" s="486">
        <f>'Bill Frequency'!C$17</f>
        <v>164018.1759</v>
      </c>
      <c r="D32" s="309">
        <f>'Bill Frequency'!D$17</f>
        <v>143655.10499999998</v>
      </c>
      <c r="E32" s="309">
        <f>'Bill Frequency'!E$17</f>
        <v>162593.32060000001</v>
      </c>
      <c r="F32" s="309">
        <f>'Bill Frequency'!F$17</f>
        <v>210418.90230000002</v>
      </c>
      <c r="G32" s="309">
        <f>'Bill Frequency'!G$17</f>
        <v>597469.31759999995</v>
      </c>
      <c r="H32" s="309">
        <f>'Bill Frequency'!H$17</f>
        <v>1216075.2079999999</v>
      </c>
      <c r="I32" s="309">
        <f>'Bill Frequency'!I$17</f>
        <v>1994247.4428000001</v>
      </c>
      <c r="J32" s="309">
        <f>'Bill Frequency'!J$17</f>
        <v>1802824.0316000001</v>
      </c>
      <c r="K32" s="309">
        <f>'Bill Frequency'!K$17</f>
        <v>1055528.4583999999</v>
      </c>
      <c r="L32" s="309">
        <f>'Bill Frequency'!L$17</f>
        <v>767066.57369999995</v>
      </c>
      <c r="M32" s="309">
        <f>'Bill Frequency'!M$17</f>
        <v>312100.08959999995</v>
      </c>
      <c r="N32" s="487">
        <f>'Bill Frequency'!N$17</f>
        <v>185751.02910000001</v>
      </c>
      <c r="O32" s="228" t="s">
        <v>539</v>
      </c>
      <c r="P32" s="228" t="s">
        <v>539</v>
      </c>
      <c r="Q32" s="228" t="s">
        <v>539</v>
      </c>
      <c r="R32" s="228" t="s">
        <v>539</v>
      </c>
      <c r="S32" s="228" t="s">
        <v>539</v>
      </c>
      <c r="T32" s="228" t="s">
        <v>539</v>
      </c>
      <c r="U32" s="228" t="s">
        <v>539</v>
      </c>
      <c r="V32" s="228" t="s">
        <v>539</v>
      </c>
      <c r="W32" s="228" t="s">
        <v>539</v>
      </c>
      <c r="X32" s="228" t="s">
        <v>539</v>
      </c>
      <c r="Y32" s="228" t="s">
        <v>539</v>
      </c>
      <c r="Z32" s="228" t="s">
        <v>539</v>
      </c>
      <c r="AA32" s="228" t="s">
        <v>539</v>
      </c>
      <c r="AB32" s="228" t="s">
        <v>539</v>
      </c>
      <c r="AC32" s="228" t="s">
        <v>539</v>
      </c>
      <c r="AD32" s="228" t="s">
        <v>539</v>
      </c>
      <c r="AE32" s="228" t="s">
        <v>539</v>
      </c>
      <c r="AF32" s="228" t="s">
        <v>539</v>
      </c>
      <c r="AG32" s="228" t="s">
        <v>539</v>
      </c>
      <c r="AH32" s="228" t="s">
        <v>539</v>
      </c>
      <c r="AI32" s="228" t="s">
        <v>539</v>
      </c>
      <c r="AJ32" s="228" t="s">
        <v>539</v>
      </c>
      <c r="AK32" s="228" t="s">
        <v>539</v>
      </c>
      <c r="AL32" s="228" t="s">
        <v>539</v>
      </c>
      <c r="AM32" s="228" t="s">
        <v>539</v>
      </c>
      <c r="AN32" s="228" t="s">
        <v>539</v>
      </c>
      <c r="AO32" s="228" t="s">
        <v>539</v>
      </c>
      <c r="AP32" s="228" t="s">
        <v>539</v>
      </c>
      <c r="AQ32" s="228" t="s">
        <v>539</v>
      </c>
      <c r="AR32" s="228" t="s">
        <v>539</v>
      </c>
      <c r="AS32" s="228" t="s">
        <v>539</v>
      </c>
      <c r="AT32" s="228" t="s">
        <v>539</v>
      </c>
      <c r="AU32" s="228" t="s">
        <v>539</v>
      </c>
      <c r="AV32" s="228" t="s">
        <v>539</v>
      </c>
      <c r="AW32" s="228" t="s">
        <v>539</v>
      </c>
      <c r="AX32" s="228" t="s">
        <v>539</v>
      </c>
      <c r="AY32" s="228" t="s">
        <v>539</v>
      </c>
      <c r="AZ32" s="228" t="s">
        <v>539</v>
      </c>
      <c r="BA32" s="228" t="s">
        <v>539</v>
      </c>
      <c r="BB32" s="228" t="s">
        <v>539</v>
      </c>
      <c r="BC32" s="228" t="s">
        <v>539</v>
      </c>
      <c r="BD32" s="228" t="s">
        <v>539</v>
      </c>
      <c r="BE32" s="228" t="s">
        <v>539</v>
      </c>
      <c r="BF32" s="228" t="s">
        <v>539</v>
      </c>
      <c r="BG32" s="228" t="s">
        <v>539</v>
      </c>
      <c r="BH32" s="228" t="s">
        <v>539</v>
      </c>
      <c r="BI32" s="228" t="s">
        <v>539</v>
      </c>
      <c r="BJ32" s="228" t="s">
        <v>539</v>
      </c>
      <c r="BK32" s="228" t="s">
        <v>539</v>
      </c>
      <c r="BL32" s="228" t="s">
        <v>539</v>
      </c>
      <c r="BM32" s="228" t="s">
        <v>539</v>
      </c>
      <c r="BN32" s="228" t="s">
        <v>539</v>
      </c>
      <c r="BO32" s="228" t="s">
        <v>539</v>
      </c>
      <c r="BP32" s="228" t="s">
        <v>539</v>
      </c>
      <c r="BQ32" s="228" t="s">
        <v>539</v>
      </c>
      <c r="BR32" s="228" t="s">
        <v>539</v>
      </c>
      <c r="BS32" s="228" t="s">
        <v>539</v>
      </c>
      <c r="BT32" s="228" t="s">
        <v>539</v>
      </c>
      <c r="BU32" s="228" t="s">
        <v>539</v>
      </c>
      <c r="BV32" s="228" t="s">
        <v>539</v>
      </c>
      <c r="BW32" s="228" t="s">
        <v>539</v>
      </c>
      <c r="BX32" s="228" t="s">
        <v>539</v>
      </c>
      <c r="BY32" s="228" t="s">
        <v>539</v>
      </c>
      <c r="BZ32" s="228" t="s">
        <v>539</v>
      </c>
      <c r="CA32" s="228" t="s">
        <v>539</v>
      </c>
      <c r="CB32" s="228" t="s">
        <v>539</v>
      </c>
      <c r="CC32" s="228" t="s">
        <v>539</v>
      </c>
      <c r="CD32" s="228" t="s">
        <v>539</v>
      </c>
      <c r="CE32" s="228" t="s">
        <v>539</v>
      </c>
      <c r="CF32" s="228" t="s">
        <v>539</v>
      </c>
      <c r="CG32" s="228" t="s">
        <v>539</v>
      </c>
      <c r="CH32" s="228" t="s">
        <v>539</v>
      </c>
    </row>
    <row r="33" spans="1:86">
      <c r="A33" s="233">
        <v>21</v>
      </c>
      <c r="B33" s="26" t="s">
        <v>544</v>
      </c>
      <c r="C33" s="29">
        <f>C30*(C26*C$15+C28)</f>
        <v>153941.29715873633</v>
      </c>
      <c r="D33" s="29">
        <f t="shared" ref="D33:BO33" si="259">D30*(D26*D$15+D28)</f>
        <v>153731.98374126368</v>
      </c>
      <c r="E33" s="29">
        <f t="shared" si="259"/>
        <v>185274.32373343958</v>
      </c>
      <c r="F33" s="29">
        <f t="shared" si="259"/>
        <v>574897.0812895702</v>
      </c>
      <c r="G33" s="29">
        <f t="shared" si="259"/>
        <v>1213463.3614033663</v>
      </c>
      <c r="H33" s="29">
        <f t="shared" si="259"/>
        <v>1820386.0151920451</v>
      </c>
      <c r="I33" s="29">
        <f t="shared" si="259"/>
        <v>1914998.030685134</v>
      </c>
      <c r="J33" s="29">
        <f t="shared" si="259"/>
        <v>1686006.8792390286</v>
      </c>
      <c r="K33" s="29">
        <f t="shared" si="259"/>
        <v>1168736.5327339657</v>
      </c>
      <c r="L33" s="29">
        <f t="shared" si="259"/>
        <v>619432.14073434961</v>
      </c>
      <c r="M33" s="29">
        <f t="shared" si="259"/>
        <v>279892.28848690627</v>
      </c>
      <c r="N33" s="29">
        <f t="shared" si="259"/>
        <v>155476.26222020239</v>
      </c>
      <c r="O33" s="29">
        <f t="shared" si="259"/>
        <v>153941.29715873633</v>
      </c>
      <c r="P33" s="29">
        <f t="shared" si="259"/>
        <v>153731.98374126368</v>
      </c>
      <c r="Q33" s="29">
        <f t="shared" si="259"/>
        <v>185274.34401687817</v>
      </c>
      <c r="R33" s="29">
        <f t="shared" si="259"/>
        <v>574897.34309806966</v>
      </c>
      <c r="S33" s="29">
        <f t="shared" si="259"/>
        <v>1213464.0194167199</v>
      </c>
      <c r="T33" s="29">
        <f t="shared" si="259"/>
        <v>1820387.0498645073</v>
      </c>
      <c r="U33" s="29">
        <f t="shared" si="259"/>
        <v>1914999.1236074243</v>
      </c>
      <c r="V33" s="29">
        <f t="shared" si="259"/>
        <v>1686007.82969495</v>
      </c>
      <c r="W33" s="29">
        <f t="shared" si="259"/>
        <v>1168737.1616585958</v>
      </c>
      <c r="X33" s="29">
        <f t="shared" si="259"/>
        <v>619432.42806449928</v>
      </c>
      <c r="Y33" s="29">
        <f t="shared" si="259"/>
        <v>279892.36518276908</v>
      </c>
      <c r="Z33" s="29">
        <f t="shared" si="259"/>
        <v>155476.26222020239</v>
      </c>
      <c r="AA33" s="29">
        <f t="shared" si="259"/>
        <v>153941.29715873633</v>
      </c>
      <c r="AB33" s="29">
        <f t="shared" si="259"/>
        <v>153731.98374126368</v>
      </c>
      <c r="AC33" s="29">
        <f t="shared" si="259"/>
        <v>185274.34401687817</v>
      </c>
      <c r="AD33" s="29">
        <f t="shared" si="259"/>
        <v>574897.34309806966</v>
      </c>
      <c r="AE33" s="29">
        <f t="shared" si="259"/>
        <v>1213464.0194167199</v>
      </c>
      <c r="AF33" s="29">
        <f t="shared" si="259"/>
        <v>1820387.0498645073</v>
      </c>
      <c r="AG33" s="29">
        <f t="shared" si="259"/>
        <v>1914999.1236074243</v>
      </c>
      <c r="AH33" s="29">
        <f t="shared" si="259"/>
        <v>1686007.82969495</v>
      </c>
      <c r="AI33" s="29">
        <f t="shared" si="259"/>
        <v>1168737.1616585958</v>
      </c>
      <c r="AJ33" s="29">
        <f t="shared" si="259"/>
        <v>619432.42806449928</v>
      </c>
      <c r="AK33" s="29">
        <f t="shared" si="259"/>
        <v>279892.36518276908</v>
      </c>
      <c r="AL33" s="29">
        <f t="shared" si="259"/>
        <v>155476.26222020239</v>
      </c>
      <c r="AM33" s="29">
        <f t="shared" si="259"/>
        <v>153941.29715873633</v>
      </c>
      <c r="AN33" s="29">
        <f t="shared" si="259"/>
        <v>153731.98374126368</v>
      </c>
      <c r="AO33" s="29">
        <f t="shared" si="259"/>
        <v>185274.34401687817</v>
      </c>
      <c r="AP33" s="29">
        <f t="shared" si="259"/>
        <v>574897.34309806966</v>
      </c>
      <c r="AQ33" s="29">
        <f t="shared" si="259"/>
        <v>1213464.0194167199</v>
      </c>
      <c r="AR33" s="29">
        <f t="shared" si="259"/>
        <v>1820387.0498645073</v>
      </c>
      <c r="AS33" s="29">
        <f t="shared" si="259"/>
        <v>1914999.1236074243</v>
      </c>
      <c r="AT33" s="29">
        <f t="shared" si="259"/>
        <v>1686007.82969495</v>
      </c>
      <c r="AU33" s="29">
        <f t="shared" si="259"/>
        <v>1168737.1616585958</v>
      </c>
      <c r="AV33" s="29">
        <f t="shared" si="259"/>
        <v>619432.42806449928</v>
      </c>
      <c r="AW33" s="29">
        <f t="shared" si="259"/>
        <v>279892.36518276908</v>
      </c>
      <c r="AX33" s="29">
        <f t="shared" si="259"/>
        <v>155476.26222020239</v>
      </c>
      <c r="AY33" s="29">
        <f t="shared" si="259"/>
        <v>153941.29715873633</v>
      </c>
      <c r="AZ33" s="29">
        <f t="shared" si="259"/>
        <v>153731.98374126368</v>
      </c>
      <c r="BA33" s="29">
        <f t="shared" si="259"/>
        <v>185274.34401687817</v>
      </c>
      <c r="BB33" s="29">
        <f t="shared" si="259"/>
        <v>574897.34309806966</v>
      </c>
      <c r="BC33" s="29">
        <f t="shared" si="259"/>
        <v>1213464.0194167199</v>
      </c>
      <c r="BD33" s="29">
        <f t="shared" si="259"/>
        <v>1820387.0498645073</v>
      </c>
      <c r="BE33" s="29">
        <f t="shared" si="259"/>
        <v>1914999.1236074243</v>
      </c>
      <c r="BF33" s="29">
        <f t="shared" si="259"/>
        <v>1686007.82969495</v>
      </c>
      <c r="BG33" s="29">
        <f t="shared" si="259"/>
        <v>1168737.1616585958</v>
      </c>
      <c r="BH33" s="29">
        <f t="shared" si="259"/>
        <v>619432.42806449928</v>
      </c>
      <c r="BI33" s="29">
        <f t="shared" si="259"/>
        <v>279892.36518276908</v>
      </c>
      <c r="BJ33" s="29">
        <f t="shared" si="259"/>
        <v>155476.26222020239</v>
      </c>
      <c r="BK33" s="29">
        <f t="shared" si="259"/>
        <v>153941.29715873633</v>
      </c>
      <c r="BL33" s="29">
        <f t="shared" si="259"/>
        <v>153731.98374126368</v>
      </c>
      <c r="BM33" s="29">
        <f t="shared" si="259"/>
        <v>185274.34401687817</v>
      </c>
      <c r="BN33" s="29">
        <f t="shared" si="259"/>
        <v>574897.34309806966</v>
      </c>
      <c r="BO33" s="29">
        <f t="shared" si="259"/>
        <v>1213464.0194167199</v>
      </c>
      <c r="BP33" s="29">
        <f t="shared" ref="BP33:CH33" si="260">BP30*(BP26*BP$15+BP28)</f>
        <v>1820387.0498645073</v>
      </c>
      <c r="BQ33" s="29">
        <f t="shared" si="260"/>
        <v>1914999.1236074243</v>
      </c>
      <c r="BR33" s="29">
        <f t="shared" si="260"/>
        <v>1686007.82969495</v>
      </c>
      <c r="BS33" s="29">
        <f t="shared" si="260"/>
        <v>1168737.1616585958</v>
      </c>
      <c r="BT33" s="29">
        <f t="shared" si="260"/>
        <v>619432.42806449928</v>
      </c>
      <c r="BU33" s="29">
        <f t="shared" si="260"/>
        <v>279892.36518276908</v>
      </c>
      <c r="BV33" s="29">
        <f t="shared" si="260"/>
        <v>155476.26222020239</v>
      </c>
      <c r="BW33" s="29">
        <f t="shared" si="260"/>
        <v>153941.29715873633</v>
      </c>
      <c r="BX33" s="29">
        <f t="shared" si="260"/>
        <v>153731.98374126368</v>
      </c>
      <c r="BY33" s="29">
        <f t="shared" si="260"/>
        <v>185274.34401687817</v>
      </c>
      <c r="BZ33" s="29">
        <f t="shared" si="260"/>
        <v>574897.34309806966</v>
      </c>
      <c r="CA33" s="29">
        <f t="shared" si="260"/>
        <v>1213464.0194167199</v>
      </c>
      <c r="CB33" s="29">
        <f t="shared" si="260"/>
        <v>1820387.0498645073</v>
      </c>
      <c r="CC33" s="29">
        <f t="shared" si="260"/>
        <v>1914999.1236074243</v>
      </c>
      <c r="CD33" s="29">
        <f t="shared" si="260"/>
        <v>1686007.82969495</v>
      </c>
      <c r="CE33" s="29">
        <f t="shared" si="260"/>
        <v>1168737.1616585958</v>
      </c>
      <c r="CF33" s="29">
        <f t="shared" si="260"/>
        <v>619432.42806449928</v>
      </c>
      <c r="CG33" s="29">
        <f t="shared" si="260"/>
        <v>279892.36518276908</v>
      </c>
      <c r="CH33" s="29">
        <f t="shared" si="260"/>
        <v>155476.26222020239</v>
      </c>
    </row>
    <row r="34" spans="1:86">
      <c r="A34" s="233">
        <v>22</v>
      </c>
      <c r="B34" s="26" t="s">
        <v>546</v>
      </c>
      <c r="C34" s="29">
        <f>C33/SUM(C33:N33)*SUM(C31:N31)</f>
        <v>154132.93017172083</v>
      </c>
      <c r="D34" s="29">
        <f>D33/SUM(C33:N33)*SUM(C31:N31)</f>
        <v>153923.35619154284</v>
      </c>
      <c r="E34" s="29">
        <f>E33/SUM(C33:N33)*SUM(C31:N31)</f>
        <v>185504.96149952969</v>
      </c>
      <c r="F34" s="29">
        <f>F33/SUM(C33:N33)*SUM(C31:N31)</f>
        <v>575612.73889332486</v>
      </c>
      <c r="G34" s="29">
        <f>G33/SUM(C33:N33)*SUM(C31:N31)</f>
        <v>1214973.9348776969</v>
      </c>
      <c r="H34" s="29">
        <f>H33/SUM(C33:N33)*SUM(C31:N31)</f>
        <v>1822652.1131353823</v>
      </c>
      <c r="I34" s="29">
        <f>I33/SUM(C33:N33)*SUM(C31:N31)</f>
        <v>1917381.9058976518</v>
      </c>
      <c r="J34" s="29">
        <f>J33/SUM(C33:N33)*SUM(C31:N31)</f>
        <v>1688105.6960227275</v>
      </c>
      <c r="K34" s="29">
        <f>K33/SUM(C33:N33)*SUM(C31:N31)</f>
        <v>1170191.4282511959</v>
      </c>
      <c r="L34" s="29">
        <f>L33/SUM(C33:N33)*SUM(C31:N31)</f>
        <v>620203.23757229524</v>
      </c>
      <c r="M34" s="29">
        <f>M33/SUM(C33:N33)*SUM(C31:N31)</f>
        <v>280240.71092808241</v>
      </c>
      <c r="N34" s="29">
        <f>N33/SUM(C33:N33)*SUM(C31:N31)</f>
        <v>155669.80602635923</v>
      </c>
      <c r="O34" s="29">
        <f>O33/SUM(O33:Z33)*SUM(O31:Z31)</f>
        <v>154132.85236013748</v>
      </c>
      <c r="P34" s="29">
        <f>P33/SUM(O33:Z33)*SUM(O31:Z31)</f>
        <v>153923.27848575963</v>
      </c>
      <c r="Q34" s="29">
        <f>Q33/SUM(O33:Z33)*SUM(O31:Z31)</f>
        <v>185504.88815894828</v>
      </c>
      <c r="R34" s="29">
        <f>R33/SUM(O33:Z33)*SUM(O31:Z31)</f>
        <v>575612.71043857338</v>
      </c>
      <c r="S34" s="29">
        <f>S33/SUM(O33:Z33)*SUM(O31:Z31)</f>
        <v>1214973.980349378</v>
      </c>
      <c r="T34" s="29">
        <f>T33/SUM(O33:Z33)*SUM(O31:Z31)</f>
        <v>1822652.2289581022</v>
      </c>
      <c r="U34" s="29">
        <f>U33/SUM(O33:Z33)*SUM(O31:Z31)</f>
        <v>1917382.0322198377</v>
      </c>
      <c r="V34" s="29">
        <f>V33/SUM(O33:Z33)*SUM(O31:Z31)</f>
        <v>1688105.7954477533</v>
      </c>
      <c r="W34" s="29">
        <f>W33/SUM(O33:Z33)*SUM(O31:Z31)</f>
        <v>1170191.4672057009</v>
      </c>
      <c r="X34" s="29">
        <f>X33/SUM(O33:Z33)*SUM(O31:Z31)</f>
        <v>620203.21216014028</v>
      </c>
      <c r="Y34" s="29">
        <f>Y33/SUM(O33:Z33)*SUM(O31:Z31)</f>
        <v>280240.64624426974</v>
      </c>
      <c r="Z34" s="29">
        <f>Z33/SUM(O33:Z33)*SUM(O31:Z31)</f>
        <v>155669.7274389083</v>
      </c>
      <c r="AA34" s="29">
        <f>AA33/SUM(AA33:AL33)*SUM(AA31:AL31)</f>
        <v>154132.85236013748</v>
      </c>
      <c r="AB34" s="29">
        <f>AB33/SUM(AA33:AL33)*SUM(AA31:AL31)</f>
        <v>153923.27848575963</v>
      </c>
      <c r="AC34" s="29">
        <f>AC33/SUM(AA33:AL33)*SUM(AA31:AL31)</f>
        <v>185504.88815894828</v>
      </c>
      <c r="AD34" s="29">
        <f>AD33/SUM(AA33:AL33)*SUM(AA31:AL31)</f>
        <v>575612.71043857338</v>
      </c>
      <c r="AE34" s="29">
        <f>AE33/SUM(AA33:AL33)*SUM(AA31:AL31)</f>
        <v>1214973.980349378</v>
      </c>
      <c r="AF34" s="29">
        <f>AF33/SUM(AA33:AL33)*SUM(AA31:AL31)</f>
        <v>1822652.2289581022</v>
      </c>
      <c r="AG34" s="29">
        <f>AG33/SUM(AA33:AL33)*SUM(AA31:AL31)</f>
        <v>1917382.0322198377</v>
      </c>
      <c r="AH34" s="29">
        <f>AH33/SUM(AA33:AL33)*SUM(AA31:AL31)</f>
        <v>1688105.7954477533</v>
      </c>
      <c r="AI34" s="29">
        <f>AI33/SUM(AA33:AL33)*SUM(AA31:AL31)</f>
        <v>1170191.4672057009</v>
      </c>
      <c r="AJ34" s="29">
        <f>AJ33/SUM(AA33:AL33)*SUM(AA31:AL31)</f>
        <v>620203.21216014028</v>
      </c>
      <c r="AK34" s="29">
        <f>AK33/SUM(AA33:AL33)*SUM(AA31:AL31)</f>
        <v>280240.64624426974</v>
      </c>
      <c r="AL34" s="29">
        <f>AL33/SUM(AA33:AL33)*SUM(AA31:AL31)</f>
        <v>155669.7274389083</v>
      </c>
      <c r="AM34" s="29">
        <f>AM33/SUM(AM33:AX33)*SUM(AM31:AX31)</f>
        <v>154132.85236013748</v>
      </c>
      <c r="AN34" s="29">
        <f>AN33/SUM(AM33:AX33)*SUM(AM31:AX31)</f>
        <v>153923.27848575963</v>
      </c>
      <c r="AO34" s="29">
        <f>AO33/SUM(AM33:AX33)*SUM(AM31:AX31)</f>
        <v>185504.88815894828</v>
      </c>
      <c r="AP34" s="29">
        <f>AP33/SUM(AM33:AX33)*SUM(AM31:AX31)</f>
        <v>575612.71043857338</v>
      </c>
      <c r="AQ34" s="29">
        <f>AQ33/SUM(AM33:AX33)*SUM(AM31:AX31)</f>
        <v>1214973.980349378</v>
      </c>
      <c r="AR34" s="29">
        <f>AR33/SUM(AM33:AX33)*SUM(AM31:AX31)</f>
        <v>1822652.2289581022</v>
      </c>
      <c r="AS34" s="29">
        <f>AS33/SUM(AM33:AX33)*SUM(AM31:AX31)</f>
        <v>1917382.0322198377</v>
      </c>
      <c r="AT34" s="29">
        <f>AT33/SUM(AM33:AX33)*SUM(AM31:AX31)</f>
        <v>1688105.7954477533</v>
      </c>
      <c r="AU34" s="29">
        <f>AU33/SUM(AM33:AX33)*SUM(AM31:AX31)</f>
        <v>1170191.4672057009</v>
      </c>
      <c r="AV34" s="29">
        <f>AV33/SUM(AM33:AX33)*SUM(AM31:AX31)</f>
        <v>620203.21216014028</v>
      </c>
      <c r="AW34" s="29">
        <f>AW33/SUM(AM33:AX33)*SUM(AM31:AX31)</f>
        <v>280240.64624426974</v>
      </c>
      <c r="AX34" s="29">
        <f>AX33/SUM(AM33:AX33)*SUM(AM31:AX31)</f>
        <v>155669.7274389083</v>
      </c>
      <c r="AY34" s="29">
        <f>AY33/SUM(AY33:BJ33)*SUM(AY31:BJ31)</f>
        <v>154132.85236013748</v>
      </c>
      <c r="AZ34" s="29">
        <f>AZ33/SUM(AY33:BJ33)*SUM(AY31:BJ31)</f>
        <v>153923.27848575963</v>
      </c>
      <c r="BA34" s="29">
        <f>BA33/SUM(AY33:BJ33)*SUM(AY31:BJ31)</f>
        <v>185504.88815894828</v>
      </c>
      <c r="BB34" s="29">
        <f>BB33/SUM(AY33:BJ33)*SUM(AY31:BJ31)</f>
        <v>575612.71043857338</v>
      </c>
      <c r="BC34" s="29">
        <f>BC33/SUM(AY33:BJ33)*SUM(AY31:BJ31)</f>
        <v>1214973.980349378</v>
      </c>
      <c r="BD34" s="29">
        <f>BD33/SUM(AY33:BJ33)*SUM(AY31:BJ31)</f>
        <v>1822652.2289581022</v>
      </c>
      <c r="BE34" s="29">
        <f>BE33/SUM(AY33:BJ33)*SUM(AY31:BJ31)</f>
        <v>1917382.0322198377</v>
      </c>
      <c r="BF34" s="29">
        <f>BF33/SUM(AY33:BJ33)*SUM(AY31:BJ31)</f>
        <v>1688105.7954477533</v>
      </c>
      <c r="BG34" s="29">
        <f>BG33/SUM(AY33:BJ33)*SUM(AY31:BJ31)</f>
        <v>1170191.4672057009</v>
      </c>
      <c r="BH34" s="29">
        <f>BH33/SUM(AY33:BJ33)*SUM(AY31:BJ31)</f>
        <v>620203.21216014028</v>
      </c>
      <c r="BI34" s="29">
        <f>BI33/SUM(AY33:BJ33)*SUM(AY31:BJ31)</f>
        <v>280240.64624426974</v>
      </c>
      <c r="BJ34" s="29">
        <f>BJ33/SUM(AY33:BJ33)*SUM(AY31:BJ31)</f>
        <v>155669.7274389083</v>
      </c>
      <c r="BK34" s="29">
        <f>BK33/SUM(BK33:BV33)*SUM(BK31:BV31)</f>
        <v>154132.85236013748</v>
      </c>
      <c r="BL34" s="29">
        <f>BL33/SUM(BK33:BV33)*SUM(BK31:BV31)</f>
        <v>153923.27848575963</v>
      </c>
      <c r="BM34" s="29">
        <f>BM33/SUM(BK33:BV33)*SUM(BK31:BV31)</f>
        <v>185504.88815894828</v>
      </c>
      <c r="BN34" s="29">
        <f>BN33/SUM(BK33:BV33)*SUM(BK31:BV31)</f>
        <v>575612.71043857338</v>
      </c>
      <c r="BO34" s="29">
        <f>BO33/SUM(BK33:BV33)*SUM(BK31:BV31)</f>
        <v>1214973.980349378</v>
      </c>
      <c r="BP34" s="29">
        <f>BP33/SUM(BK33:BV33)*SUM(BK31:BV31)</f>
        <v>1822652.2289581022</v>
      </c>
      <c r="BQ34" s="29">
        <f>BQ33/SUM(BK33:BV33)*SUM(BK31:BV31)</f>
        <v>1917382.0322198377</v>
      </c>
      <c r="BR34" s="29">
        <f>BR33/SUM(BK33:BV33)*SUM(BK31:BV31)</f>
        <v>1688105.7954477533</v>
      </c>
      <c r="BS34" s="29">
        <f>BS33/SUM(BK33:BV33)*SUM(BK31:BV31)</f>
        <v>1170191.4672057009</v>
      </c>
      <c r="BT34" s="29">
        <f>BT33/SUM(BK33:BV33)*SUM(BK31:BV31)</f>
        <v>620203.21216014028</v>
      </c>
      <c r="BU34" s="29">
        <f>BU33/SUM(BK33:BV33)*SUM(BK31:BV31)</f>
        <v>280240.64624426974</v>
      </c>
      <c r="BV34" s="29">
        <f>BV33/SUM(BK33:BV33)*SUM(BK31:BV31)</f>
        <v>155669.7274389083</v>
      </c>
      <c r="BW34" s="29">
        <f>BW33/SUM(BW33:CH33)*SUM(BW31:CH31)</f>
        <v>154132.85236013748</v>
      </c>
      <c r="BX34" s="29">
        <f>BX33/SUM(BW33:CH33)*SUM(BW31:CH31)</f>
        <v>153923.27848575963</v>
      </c>
      <c r="BY34" s="29">
        <f>BY33/SUM(BW33:CH33)*SUM(BW31:CH31)</f>
        <v>185504.88815894828</v>
      </c>
      <c r="BZ34" s="29">
        <f>BZ33/SUM(BW33:CH33)*SUM(BW31:CH31)</f>
        <v>575612.71043857338</v>
      </c>
      <c r="CA34" s="29">
        <f>CA33/SUM(BW33:CH33)*SUM(BW31:CH31)</f>
        <v>1214973.980349378</v>
      </c>
      <c r="CB34" s="29">
        <f>CB33/SUM(BW33:CH33)*SUM(BW31:CH31)</f>
        <v>1822652.2289581022</v>
      </c>
      <c r="CC34" s="29">
        <f>CC33/SUM(BW33:CH33)*SUM(BW31:CH31)</f>
        <v>1917382.0322198377</v>
      </c>
      <c r="CD34" s="29">
        <f>CD33/SUM(BW33:CH33)*SUM(BW31:CH31)</f>
        <v>1688105.7954477533</v>
      </c>
      <c r="CE34" s="29">
        <f>CE33/SUM(BW33:CH33)*SUM(BW31:CH31)</f>
        <v>1170191.4672057009</v>
      </c>
      <c r="CF34" s="29">
        <f>CF33/SUM(BW33:CH33)*SUM(BW31:CH31)</f>
        <v>620203.21216014028</v>
      </c>
      <c r="CG34" s="29">
        <f>CG33/SUM(BW33:CH33)*SUM(BW31:CH31)</f>
        <v>280240.64624426974</v>
      </c>
      <c r="CH34" s="29">
        <f>CH33/SUM(BW33:CH33)*SUM(BW31:CH31)</f>
        <v>155669.7274389083</v>
      </c>
    </row>
    <row r="35" spans="1:86">
      <c r="A35" s="233">
        <v>23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</row>
    <row r="36" spans="1:86">
      <c r="A36" s="233">
        <v>24</v>
      </c>
      <c r="B36" s="26" t="s">
        <v>530</v>
      </c>
      <c r="C36" s="235">
        <f>ROUND(C31-C32,0)</f>
        <v>-10077</v>
      </c>
      <c r="D36" s="235">
        <f t="shared" ref="D36:N36" si="261">ROUND(D31-D32,0)</f>
        <v>10077</v>
      </c>
      <c r="E36" s="235">
        <f t="shared" si="261"/>
        <v>-5865</v>
      </c>
      <c r="F36" s="235">
        <f t="shared" si="261"/>
        <v>89216</v>
      </c>
      <c r="G36" s="235">
        <f t="shared" si="261"/>
        <v>307383</v>
      </c>
      <c r="H36" s="235">
        <f t="shared" si="261"/>
        <v>310242</v>
      </c>
      <c r="I36" s="235">
        <f t="shared" si="261"/>
        <v>-146379</v>
      </c>
      <c r="J36" s="235">
        <f t="shared" si="261"/>
        <v>200289</v>
      </c>
      <c r="K36" s="235">
        <f t="shared" si="261"/>
        <v>335687</v>
      </c>
      <c r="L36" s="235">
        <f t="shared" si="261"/>
        <v>114960</v>
      </c>
      <c r="M36" s="235">
        <f t="shared" si="261"/>
        <v>122514</v>
      </c>
      <c r="N36" s="235">
        <f t="shared" si="261"/>
        <v>-1202</v>
      </c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5"/>
      <c r="AV36" s="235"/>
      <c r="AW36" s="235"/>
      <c r="AX36" s="235"/>
      <c r="AY36" s="235"/>
      <c r="AZ36" s="235"/>
      <c r="BA36" s="235"/>
      <c r="BB36" s="235"/>
      <c r="BC36" s="235"/>
      <c r="BD36" s="235"/>
      <c r="BE36" s="235"/>
      <c r="BF36" s="235"/>
      <c r="BG36" s="235"/>
      <c r="BH36" s="235"/>
      <c r="BI36" s="235"/>
      <c r="BJ36" s="235"/>
      <c r="BK36" s="235"/>
      <c r="BL36" s="235"/>
      <c r="BM36" s="235"/>
      <c r="BN36" s="235"/>
      <c r="BO36" s="235"/>
      <c r="BP36" s="235"/>
      <c r="BQ36" s="235"/>
      <c r="BR36" s="235"/>
      <c r="BS36" s="235"/>
      <c r="BT36" s="235"/>
      <c r="BU36" s="235"/>
      <c r="BV36" s="235"/>
      <c r="BW36" s="235"/>
      <c r="BX36" s="235"/>
      <c r="BY36" s="235"/>
      <c r="BZ36" s="235"/>
      <c r="CA36" s="235"/>
      <c r="CB36" s="235"/>
      <c r="CC36" s="235"/>
      <c r="CD36" s="235"/>
      <c r="CE36" s="235"/>
      <c r="CF36" s="235"/>
      <c r="CG36" s="235"/>
      <c r="CH36" s="235"/>
    </row>
    <row r="37" spans="1:86">
      <c r="A37" s="233">
        <v>25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</row>
    <row r="38" spans="1:86">
      <c r="A38" s="233">
        <v>26</v>
      </c>
      <c r="B38" s="26" t="s">
        <v>533</v>
      </c>
      <c r="C38" s="81">
        <f>C36</f>
        <v>-10077</v>
      </c>
      <c r="D38" s="81">
        <f t="shared" ref="D38:Z38" si="262">D36</f>
        <v>10077</v>
      </c>
      <c r="E38" s="81">
        <f t="shared" si="262"/>
        <v>-5865</v>
      </c>
      <c r="F38" s="81">
        <f t="shared" si="262"/>
        <v>89216</v>
      </c>
      <c r="G38" s="81">
        <f t="shared" si="262"/>
        <v>307383</v>
      </c>
      <c r="H38" s="81">
        <f t="shared" si="262"/>
        <v>310242</v>
      </c>
      <c r="I38" s="81">
        <f t="shared" si="262"/>
        <v>-146379</v>
      </c>
      <c r="J38" s="81">
        <f t="shared" si="262"/>
        <v>200289</v>
      </c>
      <c r="K38" s="81">
        <f t="shared" si="262"/>
        <v>335687</v>
      </c>
      <c r="L38" s="81">
        <f t="shared" si="262"/>
        <v>114960</v>
      </c>
      <c r="M38" s="81">
        <f t="shared" si="262"/>
        <v>122514</v>
      </c>
      <c r="N38" s="81">
        <f t="shared" si="262"/>
        <v>-1202</v>
      </c>
      <c r="O38" s="81">
        <f>O36</f>
        <v>0</v>
      </c>
      <c r="P38" s="81">
        <f t="shared" si="262"/>
        <v>0</v>
      </c>
      <c r="Q38" s="81">
        <f t="shared" si="262"/>
        <v>0</v>
      </c>
      <c r="R38" s="81">
        <f t="shared" si="262"/>
        <v>0</v>
      </c>
      <c r="S38" s="81">
        <f t="shared" si="262"/>
        <v>0</v>
      </c>
      <c r="T38" s="81">
        <f t="shared" si="262"/>
        <v>0</v>
      </c>
      <c r="U38" s="81">
        <f t="shared" si="262"/>
        <v>0</v>
      </c>
      <c r="V38" s="81">
        <f t="shared" si="262"/>
        <v>0</v>
      </c>
      <c r="W38" s="81">
        <f t="shared" si="262"/>
        <v>0</v>
      </c>
      <c r="X38" s="81">
        <f t="shared" si="262"/>
        <v>0</v>
      </c>
      <c r="Y38" s="81">
        <f t="shared" si="262"/>
        <v>0</v>
      </c>
      <c r="Z38" s="81">
        <f t="shared" si="262"/>
        <v>0</v>
      </c>
      <c r="AA38" s="81">
        <f>AA36</f>
        <v>0</v>
      </c>
      <c r="AB38" s="81">
        <f t="shared" ref="AB38:AL38" si="263">AB36</f>
        <v>0</v>
      </c>
      <c r="AC38" s="81">
        <f t="shared" si="263"/>
        <v>0</v>
      </c>
      <c r="AD38" s="81">
        <f t="shared" si="263"/>
        <v>0</v>
      </c>
      <c r="AE38" s="81">
        <f t="shared" si="263"/>
        <v>0</v>
      </c>
      <c r="AF38" s="81">
        <f t="shared" si="263"/>
        <v>0</v>
      </c>
      <c r="AG38" s="81">
        <f t="shared" si="263"/>
        <v>0</v>
      </c>
      <c r="AH38" s="81">
        <f t="shared" si="263"/>
        <v>0</v>
      </c>
      <c r="AI38" s="81">
        <f t="shared" si="263"/>
        <v>0</v>
      </c>
      <c r="AJ38" s="81">
        <f t="shared" si="263"/>
        <v>0</v>
      </c>
      <c r="AK38" s="81">
        <f t="shared" si="263"/>
        <v>0</v>
      </c>
      <c r="AL38" s="81">
        <f t="shared" si="263"/>
        <v>0</v>
      </c>
      <c r="AM38" s="81">
        <f>AM36</f>
        <v>0</v>
      </c>
      <c r="AN38" s="81">
        <f t="shared" ref="AN38:AX38" si="264">AN36</f>
        <v>0</v>
      </c>
      <c r="AO38" s="81">
        <f t="shared" si="264"/>
        <v>0</v>
      </c>
      <c r="AP38" s="81">
        <f t="shared" si="264"/>
        <v>0</v>
      </c>
      <c r="AQ38" s="81">
        <f t="shared" si="264"/>
        <v>0</v>
      </c>
      <c r="AR38" s="81">
        <f t="shared" si="264"/>
        <v>0</v>
      </c>
      <c r="AS38" s="81">
        <f t="shared" si="264"/>
        <v>0</v>
      </c>
      <c r="AT38" s="81">
        <f t="shared" si="264"/>
        <v>0</v>
      </c>
      <c r="AU38" s="81">
        <f t="shared" si="264"/>
        <v>0</v>
      </c>
      <c r="AV38" s="81">
        <f t="shared" si="264"/>
        <v>0</v>
      </c>
      <c r="AW38" s="81">
        <f t="shared" si="264"/>
        <v>0</v>
      </c>
      <c r="AX38" s="81">
        <f t="shared" si="264"/>
        <v>0</v>
      </c>
      <c r="AY38" s="81">
        <f>AY36</f>
        <v>0</v>
      </c>
      <c r="AZ38" s="81">
        <f t="shared" ref="AZ38:BJ38" si="265">AZ36</f>
        <v>0</v>
      </c>
      <c r="BA38" s="81">
        <f t="shared" si="265"/>
        <v>0</v>
      </c>
      <c r="BB38" s="81">
        <f t="shared" si="265"/>
        <v>0</v>
      </c>
      <c r="BC38" s="81">
        <f t="shared" si="265"/>
        <v>0</v>
      </c>
      <c r="BD38" s="81">
        <f t="shared" si="265"/>
        <v>0</v>
      </c>
      <c r="BE38" s="81">
        <f t="shared" si="265"/>
        <v>0</v>
      </c>
      <c r="BF38" s="81">
        <f t="shared" si="265"/>
        <v>0</v>
      </c>
      <c r="BG38" s="81">
        <f t="shared" si="265"/>
        <v>0</v>
      </c>
      <c r="BH38" s="81">
        <f t="shared" si="265"/>
        <v>0</v>
      </c>
      <c r="BI38" s="81">
        <f t="shared" si="265"/>
        <v>0</v>
      </c>
      <c r="BJ38" s="81">
        <f t="shared" si="265"/>
        <v>0</v>
      </c>
      <c r="BK38" s="81">
        <f>BK36</f>
        <v>0</v>
      </c>
      <c r="BL38" s="81">
        <f t="shared" ref="BL38:BV38" si="266">BL36</f>
        <v>0</v>
      </c>
      <c r="BM38" s="81">
        <f t="shared" si="266"/>
        <v>0</v>
      </c>
      <c r="BN38" s="81">
        <f t="shared" si="266"/>
        <v>0</v>
      </c>
      <c r="BO38" s="81">
        <f t="shared" si="266"/>
        <v>0</v>
      </c>
      <c r="BP38" s="81">
        <f t="shared" si="266"/>
        <v>0</v>
      </c>
      <c r="BQ38" s="81">
        <f t="shared" si="266"/>
        <v>0</v>
      </c>
      <c r="BR38" s="81">
        <f t="shared" si="266"/>
        <v>0</v>
      </c>
      <c r="BS38" s="81">
        <f t="shared" si="266"/>
        <v>0</v>
      </c>
      <c r="BT38" s="81">
        <f t="shared" si="266"/>
        <v>0</v>
      </c>
      <c r="BU38" s="81">
        <f t="shared" si="266"/>
        <v>0</v>
      </c>
      <c r="BV38" s="81">
        <f t="shared" si="266"/>
        <v>0</v>
      </c>
      <c r="BW38" s="81">
        <f>BW36</f>
        <v>0</v>
      </c>
      <c r="BX38" s="81">
        <f t="shared" ref="BX38:CH38" si="267">BX36</f>
        <v>0</v>
      </c>
      <c r="BY38" s="81">
        <f t="shared" si="267"/>
        <v>0</v>
      </c>
      <c r="BZ38" s="81">
        <f t="shared" si="267"/>
        <v>0</v>
      </c>
      <c r="CA38" s="81">
        <f t="shared" si="267"/>
        <v>0</v>
      </c>
      <c r="CB38" s="81">
        <f t="shared" si="267"/>
        <v>0</v>
      </c>
      <c r="CC38" s="81">
        <f t="shared" si="267"/>
        <v>0</v>
      </c>
      <c r="CD38" s="81">
        <f t="shared" si="267"/>
        <v>0</v>
      </c>
      <c r="CE38" s="81">
        <f t="shared" si="267"/>
        <v>0</v>
      </c>
      <c r="CF38" s="81">
        <f t="shared" si="267"/>
        <v>0</v>
      </c>
      <c r="CG38" s="81">
        <f t="shared" si="267"/>
        <v>0</v>
      </c>
      <c r="CH38" s="81">
        <f t="shared" si="267"/>
        <v>0</v>
      </c>
    </row>
    <row r="39" spans="1:86">
      <c r="A39" s="233">
        <v>27</v>
      </c>
      <c r="B39" s="26" t="s">
        <v>534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</row>
    <row r="40" spans="1:86">
      <c r="A40" s="233">
        <v>28</v>
      </c>
      <c r="B40" s="26" t="s">
        <v>535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</row>
    <row r="41" spans="1:86" ht="13.5" thickBot="1">
      <c r="A41" s="233">
        <v>29</v>
      </c>
      <c r="B41" s="26" t="s">
        <v>18</v>
      </c>
      <c r="C41" s="488">
        <f>SUM(C38:C40)</f>
        <v>-10077</v>
      </c>
      <c r="D41" s="488">
        <f t="shared" ref="D41:Z41" si="268">SUM(D38:D40)</f>
        <v>10077</v>
      </c>
      <c r="E41" s="488">
        <f t="shared" si="268"/>
        <v>-5865</v>
      </c>
      <c r="F41" s="488">
        <f t="shared" si="268"/>
        <v>89216</v>
      </c>
      <c r="G41" s="488">
        <f t="shared" si="268"/>
        <v>307383</v>
      </c>
      <c r="H41" s="488">
        <f t="shared" si="268"/>
        <v>310242</v>
      </c>
      <c r="I41" s="488">
        <f t="shared" si="268"/>
        <v>-146379</v>
      </c>
      <c r="J41" s="488">
        <f t="shared" si="268"/>
        <v>200289</v>
      </c>
      <c r="K41" s="488">
        <f t="shared" si="268"/>
        <v>335687</v>
      </c>
      <c r="L41" s="488">
        <f t="shared" si="268"/>
        <v>114960</v>
      </c>
      <c r="M41" s="488">
        <f t="shared" si="268"/>
        <v>122514</v>
      </c>
      <c r="N41" s="488">
        <f t="shared" si="268"/>
        <v>-1202</v>
      </c>
      <c r="O41" s="488">
        <f>SUM(O38:O40)</f>
        <v>0</v>
      </c>
      <c r="P41" s="488">
        <f t="shared" si="268"/>
        <v>0</v>
      </c>
      <c r="Q41" s="488">
        <f t="shared" si="268"/>
        <v>0</v>
      </c>
      <c r="R41" s="488">
        <f t="shared" si="268"/>
        <v>0</v>
      </c>
      <c r="S41" s="488">
        <f t="shared" si="268"/>
        <v>0</v>
      </c>
      <c r="T41" s="488">
        <f t="shared" si="268"/>
        <v>0</v>
      </c>
      <c r="U41" s="488">
        <f t="shared" si="268"/>
        <v>0</v>
      </c>
      <c r="V41" s="488">
        <f t="shared" si="268"/>
        <v>0</v>
      </c>
      <c r="W41" s="488">
        <f t="shared" si="268"/>
        <v>0</v>
      </c>
      <c r="X41" s="488">
        <f t="shared" si="268"/>
        <v>0</v>
      </c>
      <c r="Y41" s="488">
        <f t="shared" si="268"/>
        <v>0</v>
      </c>
      <c r="Z41" s="488">
        <f t="shared" si="268"/>
        <v>0</v>
      </c>
      <c r="AA41" s="488">
        <f>SUM(AA38:AA40)</f>
        <v>0</v>
      </c>
      <c r="AB41" s="488">
        <f t="shared" ref="AB41:AL41" si="269">SUM(AB38:AB40)</f>
        <v>0</v>
      </c>
      <c r="AC41" s="488">
        <f t="shared" si="269"/>
        <v>0</v>
      </c>
      <c r="AD41" s="488">
        <f t="shared" si="269"/>
        <v>0</v>
      </c>
      <c r="AE41" s="488">
        <f t="shared" si="269"/>
        <v>0</v>
      </c>
      <c r="AF41" s="488">
        <f t="shared" si="269"/>
        <v>0</v>
      </c>
      <c r="AG41" s="488">
        <f t="shared" si="269"/>
        <v>0</v>
      </c>
      <c r="AH41" s="488">
        <f t="shared" si="269"/>
        <v>0</v>
      </c>
      <c r="AI41" s="488">
        <f t="shared" si="269"/>
        <v>0</v>
      </c>
      <c r="AJ41" s="488">
        <f t="shared" si="269"/>
        <v>0</v>
      </c>
      <c r="AK41" s="488">
        <f t="shared" si="269"/>
        <v>0</v>
      </c>
      <c r="AL41" s="488">
        <f t="shared" si="269"/>
        <v>0</v>
      </c>
      <c r="AM41" s="488">
        <f>SUM(AM38:AM40)</f>
        <v>0</v>
      </c>
      <c r="AN41" s="488">
        <f t="shared" ref="AN41:AX41" si="270">SUM(AN38:AN40)</f>
        <v>0</v>
      </c>
      <c r="AO41" s="488">
        <f t="shared" si="270"/>
        <v>0</v>
      </c>
      <c r="AP41" s="488">
        <f t="shared" si="270"/>
        <v>0</v>
      </c>
      <c r="AQ41" s="488">
        <f t="shared" si="270"/>
        <v>0</v>
      </c>
      <c r="AR41" s="488">
        <f t="shared" si="270"/>
        <v>0</v>
      </c>
      <c r="AS41" s="488">
        <f t="shared" si="270"/>
        <v>0</v>
      </c>
      <c r="AT41" s="488">
        <f t="shared" si="270"/>
        <v>0</v>
      </c>
      <c r="AU41" s="488">
        <f t="shared" si="270"/>
        <v>0</v>
      </c>
      <c r="AV41" s="488">
        <f t="shared" si="270"/>
        <v>0</v>
      </c>
      <c r="AW41" s="488">
        <f t="shared" si="270"/>
        <v>0</v>
      </c>
      <c r="AX41" s="488">
        <f t="shared" si="270"/>
        <v>0</v>
      </c>
      <c r="AY41" s="488">
        <f>SUM(AY38:AY40)</f>
        <v>0</v>
      </c>
      <c r="AZ41" s="488">
        <f t="shared" ref="AZ41:BJ41" si="271">SUM(AZ38:AZ40)</f>
        <v>0</v>
      </c>
      <c r="BA41" s="488">
        <f t="shared" si="271"/>
        <v>0</v>
      </c>
      <c r="BB41" s="488">
        <f t="shared" si="271"/>
        <v>0</v>
      </c>
      <c r="BC41" s="488">
        <f t="shared" si="271"/>
        <v>0</v>
      </c>
      <c r="BD41" s="488">
        <f t="shared" si="271"/>
        <v>0</v>
      </c>
      <c r="BE41" s="488">
        <f t="shared" si="271"/>
        <v>0</v>
      </c>
      <c r="BF41" s="488">
        <f t="shared" si="271"/>
        <v>0</v>
      </c>
      <c r="BG41" s="488">
        <f t="shared" si="271"/>
        <v>0</v>
      </c>
      <c r="BH41" s="488">
        <f t="shared" si="271"/>
        <v>0</v>
      </c>
      <c r="BI41" s="488">
        <f t="shared" si="271"/>
        <v>0</v>
      </c>
      <c r="BJ41" s="488">
        <f t="shared" si="271"/>
        <v>0</v>
      </c>
      <c r="BK41" s="488">
        <f>SUM(BK38:BK40)</f>
        <v>0</v>
      </c>
      <c r="BL41" s="488">
        <f t="shared" ref="BL41:BV41" si="272">SUM(BL38:BL40)</f>
        <v>0</v>
      </c>
      <c r="BM41" s="488">
        <f t="shared" si="272"/>
        <v>0</v>
      </c>
      <c r="BN41" s="488">
        <f t="shared" si="272"/>
        <v>0</v>
      </c>
      <c r="BO41" s="488">
        <f t="shared" si="272"/>
        <v>0</v>
      </c>
      <c r="BP41" s="488">
        <f t="shared" si="272"/>
        <v>0</v>
      </c>
      <c r="BQ41" s="488">
        <f t="shared" si="272"/>
        <v>0</v>
      </c>
      <c r="BR41" s="488">
        <f t="shared" si="272"/>
        <v>0</v>
      </c>
      <c r="BS41" s="488">
        <f t="shared" si="272"/>
        <v>0</v>
      </c>
      <c r="BT41" s="488">
        <f t="shared" si="272"/>
        <v>0</v>
      </c>
      <c r="BU41" s="488">
        <f t="shared" si="272"/>
        <v>0</v>
      </c>
      <c r="BV41" s="488">
        <f t="shared" si="272"/>
        <v>0</v>
      </c>
      <c r="BW41" s="488">
        <f>SUM(BW38:BW40)</f>
        <v>0</v>
      </c>
      <c r="BX41" s="488">
        <f t="shared" ref="BX41:CH41" si="273">SUM(BX38:BX40)</f>
        <v>0</v>
      </c>
      <c r="BY41" s="488">
        <f t="shared" si="273"/>
        <v>0</v>
      </c>
      <c r="BZ41" s="488">
        <f t="shared" si="273"/>
        <v>0</v>
      </c>
      <c r="CA41" s="488">
        <f t="shared" si="273"/>
        <v>0</v>
      </c>
      <c r="CB41" s="488">
        <f t="shared" si="273"/>
        <v>0</v>
      </c>
      <c r="CC41" s="488">
        <f t="shared" si="273"/>
        <v>0</v>
      </c>
      <c r="CD41" s="488">
        <f t="shared" si="273"/>
        <v>0</v>
      </c>
      <c r="CE41" s="488">
        <f t="shared" si="273"/>
        <v>0</v>
      </c>
      <c r="CF41" s="488">
        <f t="shared" si="273"/>
        <v>0</v>
      </c>
      <c r="CG41" s="488">
        <f t="shared" si="273"/>
        <v>0</v>
      </c>
      <c r="CH41" s="488">
        <f t="shared" si="273"/>
        <v>0</v>
      </c>
    </row>
    <row r="42" spans="1:86" ht="13.5" thickTop="1">
      <c r="A42" s="233">
        <v>30</v>
      </c>
    </row>
    <row r="43" spans="1:86">
      <c r="A43" s="233">
        <v>31</v>
      </c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98"/>
      <c r="Z43" s="207"/>
      <c r="AA43" s="45"/>
    </row>
    <row r="44" spans="1:86">
      <c r="A44" s="233">
        <v>32</v>
      </c>
      <c r="B44" s="23" t="s">
        <v>30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07"/>
      <c r="AA44" s="81"/>
    </row>
    <row r="45" spans="1:86">
      <c r="A45" s="233">
        <v>33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29"/>
    </row>
    <row r="46" spans="1:86">
      <c r="A46" s="233">
        <v>34</v>
      </c>
      <c r="B46" s="26" t="s">
        <v>540</v>
      </c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99">
        <v>50</v>
      </c>
      <c r="P46" s="99">
        <f>O46</f>
        <v>50</v>
      </c>
      <c r="Q46" s="99">
        <f t="shared" ref="Q46:Q48" si="274">P46</f>
        <v>50</v>
      </c>
      <c r="R46" s="99">
        <f t="shared" ref="R46:R48" si="275">Q46</f>
        <v>50</v>
      </c>
      <c r="S46" s="99">
        <f t="shared" ref="S46:S48" si="276">R46</f>
        <v>50</v>
      </c>
      <c r="T46" s="99">
        <f t="shared" ref="T46:T48" si="277">S46</f>
        <v>50</v>
      </c>
      <c r="U46" s="99">
        <f t="shared" ref="U46:U48" si="278">T46</f>
        <v>50</v>
      </c>
      <c r="V46" s="99">
        <f t="shared" ref="V46:V48" si="279">U46</f>
        <v>50</v>
      </c>
      <c r="W46" s="99">
        <f t="shared" ref="W46:W48" si="280">V46</f>
        <v>50</v>
      </c>
      <c r="X46" s="99">
        <f t="shared" ref="X46:X48" si="281">W46</f>
        <v>50</v>
      </c>
      <c r="Y46" s="99">
        <f t="shared" ref="Y46:Y48" si="282">X46</f>
        <v>50</v>
      </c>
      <c r="Z46" s="99">
        <f t="shared" ref="Z46:Z48" si="283">Y46</f>
        <v>50</v>
      </c>
      <c r="AA46" s="99">
        <f t="shared" ref="AA46:AA48" si="284">Z46</f>
        <v>50</v>
      </c>
      <c r="AB46" s="99">
        <f t="shared" ref="AB46:AB48" si="285">AA46</f>
        <v>50</v>
      </c>
      <c r="AC46" s="99">
        <f t="shared" ref="AC46:AC48" si="286">AB46</f>
        <v>50</v>
      </c>
      <c r="AD46" s="99">
        <f t="shared" ref="AD46:AD48" si="287">AC46</f>
        <v>50</v>
      </c>
      <c r="AE46" s="99">
        <f t="shared" ref="AE46:AE48" si="288">AD46</f>
        <v>50</v>
      </c>
      <c r="AF46" s="99">
        <f t="shared" ref="AF46:AF48" si="289">AE46</f>
        <v>50</v>
      </c>
      <c r="AG46" s="99">
        <f t="shared" ref="AG46:AG48" si="290">AF46</f>
        <v>50</v>
      </c>
      <c r="AH46" s="99">
        <f t="shared" ref="AH46:AH48" si="291">AG46</f>
        <v>50</v>
      </c>
      <c r="AI46" s="99">
        <f t="shared" ref="AI46:AI48" si="292">AH46</f>
        <v>50</v>
      </c>
      <c r="AJ46" s="99">
        <f t="shared" ref="AJ46:AJ48" si="293">AI46</f>
        <v>50</v>
      </c>
      <c r="AK46" s="99">
        <f t="shared" ref="AK46:AK48" si="294">AJ46</f>
        <v>50</v>
      </c>
      <c r="AL46" s="99">
        <f t="shared" ref="AL46:AL48" si="295">AK46</f>
        <v>50</v>
      </c>
      <c r="AM46" s="99">
        <f t="shared" ref="AM46:AM48" si="296">AL46</f>
        <v>50</v>
      </c>
      <c r="AN46" s="99">
        <f t="shared" ref="AN46:AN48" si="297">AM46</f>
        <v>50</v>
      </c>
      <c r="AO46" s="99">
        <f t="shared" ref="AO46:AO48" si="298">AN46</f>
        <v>50</v>
      </c>
      <c r="AP46" s="99">
        <f t="shared" ref="AP46:AP48" si="299">AO46</f>
        <v>50</v>
      </c>
      <c r="AQ46" s="99">
        <f t="shared" ref="AQ46:AQ48" si="300">AP46</f>
        <v>50</v>
      </c>
      <c r="AR46" s="99">
        <f t="shared" ref="AR46:AR48" si="301">AQ46</f>
        <v>50</v>
      </c>
      <c r="AS46" s="99">
        <f t="shared" ref="AS46:AS48" si="302">AR46</f>
        <v>50</v>
      </c>
      <c r="AT46" s="99">
        <f t="shared" ref="AT46:AT48" si="303">AS46</f>
        <v>50</v>
      </c>
      <c r="AU46" s="99">
        <f t="shared" ref="AU46:AU48" si="304">AT46</f>
        <v>50</v>
      </c>
      <c r="AV46" s="99">
        <f t="shared" ref="AV46:AV48" si="305">AU46</f>
        <v>50</v>
      </c>
      <c r="AW46" s="99">
        <f t="shared" ref="AW46:AW48" si="306">AV46</f>
        <v>50</v>
      </c>
      <c r="AX46" s="99">
        <f t="shared" ref="AX46:AX48" si="307">AW46</f>
        <v>50</v>
      </c>
      <c r="AY46" s="99">
        <f t="shared" ref="AY46:AY48" si="308">AX46</f>
        <v>50</v>
      </c>
      <c r="AZ46" s="99">
        <f t="shared" ref="AZ46:AZ48" si="309">AY46</f>
        <v>50</v>
      </c>
      <c r="BA46" s="99">
        <f t="shared" ref="BA46:BA48" si="310">AZ46</f>
        <v>50</v>
      </c>
      <c r="BB46" s="99">
        <f t="shared" ref="BB46:BB48" si="311">BA46</f>
        <v>50</v>
      </c>
      <c r="BC46" s="99">
        <f t="shared" ref="BC46:BC48" si="312">BB46</f>
        <v>50</v>
      </c>
      <c r="BD46" s="99">
        <f t="shared" ref="BD46:BD48" si="313">BC46</f>
        <v>50</v>
      </c>
      <c r="BE46" s="99">
        <f t="shared" ref="BE46:BE48" si="314">BD46</f>
        <v>50</v>
      </c>
      <c r="BF46" s="99">
        <f t="shared" ref="BF46:BF48" si="315">BE46</f>
        <v>50</v>
      </c>
      <c r="BG46" s="99">
        <f t="shared" ref="BG46:BG48" si="316">BF46</f>
        <v>50</v>
      </c>
      <c r="BH46" s="99">
        <f t="shared" ref="BH46:BH48" si="317">BG46</f>
        <v>50</v>
      </c>
      <c r="BI46" s="99">
        <f t="shared" ref="BI46:BI48" si="318">BH46</f>
        <v>50</v>
      </c>
      <c r="BJ46" s="99">
        <f t="shared" ref="BJ46:BJ48" si="319">BI46</f>
        <v>50</v>
      </c>
      <c r="BK46" s="99">
        <f t="shared" ref="BK46:BK48" si="320">BJ46</f>
        <v>50</v>
      </c>
      <c r="BL46" s="99">
        <f t="shared" ref="BL46:BL48" si="321">BK46</f>
        <v>50</v>
      </c>
      <c r="BM46" s="99">
        <f t="shared" ref="BM46:BM48" si="322">BL46</f>
        <v>50</v>
      </c>
      <c r="BN46" s="99">
        <f t="shared" ref="BN46:BN48" si="323">BM46</f>
        <v>50</v>
      </c>
      <c r="BO46" s="99">
        <f t="shared" ref="BO46:BO48" si="324">BN46</f>
        <v>50</v>
      </c>
      <c r="BP46" s="99">
        <f t="shared" ref="BP46:BP48" si="325">BO46</f>
        <v>50</v>
      </c>
      <c r="BQ46" s="99">
        <f t="shared" ref="BQ46:BQ48" si="326">BP46</f>
        <v>50</v>
      </c>
      <c r="BR46" s="99">
        <f t="shared" ref="BR46:BR48" si="327">BQ46</f>
        <v>50</v>
      </c>
      <c r="BS46" s="99">
        <f t="shared" ref="BS46:BS48" si="328">BR46</f>
        <v>50</v>
      </c>
      <c r="BT46" s="99">
        <f t="shared" ref="BT46:BT48" si="329">BS46</f>
        <v>50</v>
      </c>
      <c r="BU46" s="99">
        <f t="shared" ref="BU46:BU48" si="330">BT46</f>
        <v>50</v>
      </c>
      <c r="BV46" s="99">
        <f t="shared" ref="BV46:BV48" si="331">BU46</f>
        <v>50</v>
      </c>
      <c r="BW46" s="99">
        <f t="shared" ref="BW46:BW48" si="332">BV46</f>
        <v>50</v>
      </c>
      <c r="BX46" s="99">
        <f t="shared" ref="BX46:BX48" si="333">BW46</f>
        <v>50</v>
      </c>
      <c r="BY46" s="99">
        <f t="shared" ref="BY46:BY48" si="334">BX46</f>
        <v>50</v>
      </c>
      <c r="BZ46" s="99">
        <f t="shared" ref="BZ46:BZ48" si="335">BY46</f>
        <v>50</v>
      </c>
      <c r="CA46" s="99">
        <f t="shared" ref="CA46:CA48" si="336">BZ46</f>
        <v>50</v>
      </c>
      <c r="CB46" s="99">
        <f t="shared" ref="CB46:CB48" si="337">CA46</f>
        <v>50</v>
      </c>
      <c r="CC46" s="99">
        <f t="shared" ref="CC46:CC48" si="338">CB46</f>
        <v>50</v>
      </c>
      <c r="CD46" s="99">
        <f t="shared" ref="CD46:CD48" si="339">CC46</f>
        <v>50</v>
      </c>
      <c r="CE46" s="99">
        <f t="shared" ref="CE46:CE48" si="340">CD46</f>
        <v>50</v>
      </c>
      <c r="CF46" s="99">
        <f t="shared" ref="CF46:CF48" si="341">CE46</f>
        <v>50</v>
      </c>
      <c r="CG46" s="99">
        <f t="shared" ref="CG46:CG48" si="342">CF46</f>
        <v>50</v>
      </c>
      <c r="CH46" s="99">
        <f t="shared" ref="CH46:CH48" si="343">CG46</f>
        <v>50</v>
      </c>
    </row>
    <row r="47" spans="1:86">
      <c r="A47" s="233">
        <v>35</v>
      </c>
      <c r="B47" s="26" t="s">
        <v>541</v>
      </c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99">
        <v>0</v>
      </c>
      <c r="P47" s="99">
        <f t="shared" ref="P47:P48" si="344">O47</f>
        <v>0</v>
      </c>
      <c r="Q47" s="99">
        <f t="shared" si="274"/>
        <v>0</v>
      </c>
      <c r="R47" s="99">
        <f t="shared" si="275"/>
        <v>0</v>
      </c>
      <c r="S47" s="99">
        <f t="shared" si="276"/>
        <v>0</v>
      </c>
      <c r="T47" s="99">
        <f t="shared" si="277"/>
        <v>0</v>
      </c>
      <c r="U47" s="99">
        <f t="shared" si="278"/>
        <v>0</v>
      </c>
      <c r="V47" s="99">
        <f t="shared" si="279"/>
        <v>0</v>
      </c>
      <c r="W47" s="99">
        <f t="shared" si="280"/>
        <v>0</v>
      </c>
      <c r="X47" s="99">
        <f t="shared" si="281"/>
        <v>0</v>
      </c>
      <c r="Y47" s="99">
        <f t="shared" si="282"/>
        <v>0</v>
      </c>
      <c r="Z47" s="99">
        <f t="shared" si="283"/>
        <v>0</v>
      </c>
      <c r="AA47" s="99">
        <f t="shared" si="284"/>
        <v>0</v>
      </c>
      <c r="AB47" s="99">
        <f t="shared" si="285"/>
        <v>0</v>
      </c>
      <c r="AC47" s="99">
        <f t="shared" si="286"/>
        <v>0</v>
      </c>
      <c r="AD47" s="99">
        <f t="shared" si="287"/>
        <v>0</v>
      </c>
      <c r="AE47" s="99">
        <f t="shared" si="288"/>
        <v>0</v>
      </c>
      <c r="AF47" s="99">
        <f t="shared" si="289"/>
        <v>0</v>
      </c>
      <c r="AG47" s="99">
        <f t="shared" si="290"/>
        <v>0</v>
      </c>
      <c r="AH47" s="99">
        <f t="shared" si="291"/>
        <v>0</v>
      </c>
      <c r="AI47" s="99">
        <f t="shared" si="292"/>
        <v>0</v>
      </c>
      <c r="AJ47" s="99">
        <f t="shared" si="293"/>
        <v>0</v>
      </c>
      <c r="AK47" s="99">
        <f t="shared" si="294"/>
        <v>0</v>
      </c>
      <c r="AL47" s="99">
        <f t="shared" si="295"/>
        <v>0</v>
      </c>
      <c r="AM47" s="99">
        <f t="shared" si="296"/>
        <v>0</v>
      </c>
      <c r="AN47" s="99">
        <f t="shared" si="297"/>
        <v>0</v>
      </c>
      <c r="AO47" s="99">
        <f t="shared" si="298"/>
        <v>0</v>
      </c>
      <c r="AP47" s="99">
        <f t="shared" si="299"/>
        <v>0</v>
      </c>
      <c r="AQ47" s="99">
        <f t="shared" si="300"/>
        <v>0</v>
      </c>
      <c r="AR47" s="99">
        <f t="shared" si="301"/>
        <v>0</v>
      </c>
      <c r="AS47" s="99">
        <f t="shared" si="302"/>
        <v>0</v>
      </c>
      <c r="AT47" s="99">
        <f t="shared" si="303"/>
        <v>0</v>
      </c>
      <c r="AU47" s="99">
        <f t="shared" si="304"/>
        <v>0</v>
      </c>
      <c r="AV47" s="99">
        <f t="shared" si="305"/>
        <v>0</v>
      </c>
      <c r="AW47" s="99">
        <f t="shared" si="306"/>
        <v>0</v>
      </c>
      <c r="AX47" s="99">
        <f t="shared" si="307"/>
        <v>0</v>
      </c>
      <c r="AY47" s="99">
        <f t="shared" si="308"/>
        <v>0</v>
      </c>
      <c r="AZ47" s="99">
        <f t="shared" si="309"/>
        <v>0</v>
      </c>
      <c r="BA47" s="99">
        <f t="shared" si="310"/>
        <v>0</v>
      </c>
      <c r="BB47" s="99">
        <f t="shared" si="311"/>
        <v>0</v>
      </c>
      <c r="BC47" s="99">
        <f t="shared" si="312"/>
        <v>0</v>
      </c>
      <c r="BD47" s="99">
        <f t="shared" si="313"/>
        <v>0</v>
      </c>
      <c r="BE47" s="99">
        <f t="shared" si="314"/>
        <v>0</v>
      </c>
      <c r="BF47" s="99">
        <f t="shared" si="315"/>
        <v>0</v>
      </c>
      <c r="BG47" s="99">
        <f t="shared" si="316"/>
        <v>0</v>
      </c>
      <c r="BH47" s="99">
        <f t="shared" si="317"/>
        <v>0</v>
      </c>
      <c r="BI47" s="99">
        <f t="shared" si="318"/>
        <v>0</v>
      </c>
      <c r="BJ47" s="99">
        <f t="shared" si="319"/>
        <v>0</v>
      </c>
      <c r="BK47" s="99">
        <f t="shared" si="320"/>
        <v>0</v>
      </c>
      <c r="BL47" s="99">
        <f t="shared" si="321"/>
        <v>0</v>
      </c>
      <c r="BM47" s="99">
        <f t="shared" si="322"/>
        <v>0</v>
      </c>
      <c r="BN47" s="99">
        <f t="shared" si="323"/>
        <v>0</v>
      </c>
      <c r="BO47" s="99">
        <f t="shared" si="324"/>
        <v>0</v>
      </c>
      <c r="BP47" s="99">
        <f t="shared" si="325"/>
        <v>0</v>
      </c>
      <c r="BQ47" s="99">
        <f t="shared" si="326"/>
        <v>0</v>
      </c>
      <c r="BR47" s="99">
        <f t="shared" si="327"/>
        <v>0</v>
      </c>
      <c r="BS47" s="99">
        <f t="shared" si="328"/>
        <v>0</v>
      </c>
      <c r="BT47" s="99">
        <f t="shared" si="329"/>
        <v>0</v>
      </c>
      <c r="BU47" s="99">
        <f t="shared" si="330"/>
        <v>0</v>
      </c>
      <c r="BV47" s="99">
        <f t="shared" si="331"/>
        <v>0</v>
      </c>
      <c r="BW47" s="99">
        <f t="shared" si="332"/>
        <v>0</v>
      </c>
      <c r="BX47" s="99">
        <f t="shared" si="333"/>
        <v>0</v>
      </c>
      <c r="BY47" s="99">
        <f t="shared" si="334"/>
        <v>0</v>
      </c>
      <c r="BZ47" s="99">
        <f t="shared" si="335"/>
        <v>0</v>
      </c>
      <c r="CA47" s="99">
        <f t="shared" si="336"/>
        <v>0</v>
      </c>
      <c r="CB47" s="99">
        <f t="shared" si="337"/>
        <v>0</v>
      </c>
      <c r="CC47" s="99">
        <f t="shared" si="338"/>
        <v>0</v>
      </c>
      <c r="CD47" s="99">
        <f t="shared" si="339"/>
        <v>0</v>
      </c>
      <c r="CE47" s="99">
        <f t="shared" si="340"/>
        <v>0</v>
      </c>
      <c r="CF47" s="99">
        <f t="shared" si="341"/>
        <v>0</v>
      </c>
      <c r="CG47" s="99">
        <f t="shared" si="342"/>
        <v>0</v>
      </c>
      <c r="CH47" s="99">
        <f t="shared" si="343"/>
        <v>0</v>
      </c>
    </row>
    <row r="48" spans="1:86">
      <c r="A48" s="233">
        <v>36</v>
      </c>
      <c r="B48" s="26" t="s">
        <v>542</v>
      </c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99">
        <v>0</v>
      </c>
      <c r="P48" s="99">
        <f t="shared" si="344"/>
        <v>0</v>
      </c>
      <c r="Q48" s="99">
        <f t="shared" si="274"/>
        <v>0</v>
      </c>
      <c r="R48" s="99">
        <f t="shared" si="275"/>
        <v>0</v>
      </c>
      <c r="S48" s="99">
        <f t="shared" si="276"/>
        <v>0</v>
      </c>
      <c r="T48" s="99">
        <f t="shared" si="277"/>
        <v>0</v>
      </c>
      <c r="U48" s="99">
        <f t="shared" si="278"/>
        <v>0</v>
      </c>
      <c r="V48" s="99">
        <f t="shared" si="279"/>
        <v>0</v>
      </c>
      <c r="W48" s="99">
        <f t="shared" si="280"/>
        <v>0</v>
      </c>
      <c r="X48" s="99">
        <f t="shared" si="281"/>
        <v>0</v>
      </c>
      <c r="Y48" s="99">
        <f t="shared" si="282"/>
        <v>0</v>
      </c>
      <c r="Z48" s="99">
        <f t="shared" si="283"/>
        <v>0</v>
      </c>
      <c r="AA48" s="99">
        <f t="shared" si="284"/>
        <v>0</v>
      </c>
      <c r="AB48" s="99">
        <f t="shared" si="285"/>
        <v>0</v>
      </c>
      <c r="AC48" s="99">
        <f t="shared" si="286"/>
        <v>0</v>
      </c>
      <c r="AD48" s="99">
        <f t="shared" si="287"/>
        <v>0</v>
      </c>
      <c r="AE48" s="99">
        <f t="shared" si="288"/>
        <v>0</v>
      </c>
      <c r="AF48" s="99">
        <f t="shared" si="289"/>
        <v>0</v>
      </c>
      <c r="AG48" s="99">
        <f t="shared" si="290"/>
        <v>0</v>
      </c>
      <c r="AH48" s="99">
        <f t="shared" si="291"/>
        <v>0</v>
      </c>
      <c r="AI48" s="99">
        <f t="shared" si="292"/>
        <v>0</v>
      </c>
      <c r="AJ48" s="99">
        <f t="shared" si="293"/>
        <v>0</v>
      </c>
      <c r="AK48" s="99">
        <f t="shared" si="294"/>
        <v>0</v>
      </c>
      <c r="AL48" s="99">
        <f t="shared" si="295"/>
        <v>0</v>
      </c>
      <c r="AM48" s="99">
        <f t="shared" si="296"/>
        <v>0</v>
      </c>
      <c r="AN48" s="99">
        <f t="shared" si="297"/>
        <v>0</v>
      </c>
      <c r="AO48" s="99">
        <f t="shared" si="298"/>
        <v>0</v>
      </c>
      <c r="AP48" s="99">
        <f t="shared" si="299"/>
        <v>0</v>
      </c>
      <c r="AQ48" s="99">
        <f t="shared" si="300"/>
        <v>0</v>
      </c>
      <c r="AR48" s="99">
        <f t="shared" si="301"/>
        <v>0</v>
      </c>
      <c r="AS48" s="99">
        <f t="shared" si="302"/>
        <v>0</v>
      </c>
      <c r="AT48" s="99">
        <f t="shared" si="303"/>
        <v>0</v>
      </c>
      <c r="AU48" s="99">
        <f t="shared" si="304"/>
        <v>0</v>
      </c>
      <c r="AV48" s="99">
        <f t="shared" si="305"/>
        <v>0</v>
      </c>
      <c r="AW48" s="99">
        <f t="shared" si="306"/>
        <v>0</v>
      </c>
      <c r="AX48" s="99">
        <f t="shared" si="307"/>
        <v>0</v>
      </c>
      <c r="AY48" s="99">
        <f t="shared" si="308"/>
        <v>0</v>
      </c>
      <c r="AZ48" s="99">
        <f t="shared" si="309"/>
        <v>0</v>
      </c>
      <c r="BA48" s="99">
        <f t="shared" si="310"/>
        <v>0</v>
      </c>
      <c r="BB48" s="99">
        <f t="shared" si="311"/>
        <v>0</v>
      </c>
      <c r="BC48" s="99">
        <f t="shared" si="312"/>
        <v>0</v>
      </c>
      <c r="BD48" s="99">
        <f t="shared" si="313"/>
        <v>0</v>
      </c>
      <c r="BE48" s="99">
        <f t="shared" si="314"/>
        <v>0</v>
      </c>
      <c r="BF48" s="99">
        <f t="shared" si="315"/>
        <v>0</v>
      </c>
      <c r="BG48" s="99">
        <f t="shared" si="316"/>
        <v>0</v>
      </c>
      <c r="BH48" s="99">
        <f t="shared" si="317"/>
        <v>0</v>
      </c>
      <c r="BI48" s="99">
        <f t="shared" si="318"/>
        <v>0</v>
      </c>
      <c r="BJ48" s="99">
        <f t="shared" si="319"/>
        <v>0</v>
      </c>
      <c r="BK48" s="99">
        <f t="shared" si="320"/>
        <v>0</v>
      </c>
      <c r="BL48" s="99">
        <f t="shared" si="321"/>
        <v>0</v>
      </c>
      <c r="BM48" s="99">
        <f t="shared" si="322"/>
        <v>0</v>
      </c>
      <c r="BN48" s="99">
        <f t="shared" si="323"/>
        <v>0</v>
      </c>
      <c r="BO48" s="99">
        <f t="shared" si="324"/>
        <v>0</v>
      </c>
      <c r="BP48" s="99">
        <f t="shared" si="325"/>
        <v>0</v>
      </c>
      <c r="BQ48" s="99">
        <f t="shared" si="326"/>
        <v>0</v>
      </c>
      <c r="BR48" s="99">
        <f t="shared" si="327"/>
        <v>0</v>
      </c>
      <c r="BS48" s="99">
        <f t="shared" si="328"/>
        <v>0</v>
      </c>
      <c r="BT48" s="99">
        <f t="shared" si="329"/>
        <v>0</v>
      </c>
      <c r="BU48" s="99">
        <f t="shared" si="330"/>
        <v>0</v>
      </c>
      <c r="BV48" s="99">
        <f t="shared" si="331"/>
        <v>0</v>
      </c>
      <c r="BW48" s="99">
        <f t="shared" si="332"/>
        <v>0</v>
      </c>
      <c r="BX48" s="99">
        <f t="shared" si="333"/>
        <v>0</v>
      </c>
      <c r="BY48" s="99">
        <f t="shared" si="334"/>
        <v>0</v>
      </c>
      <c r="BZ48" s="99">
        <f t="shared" si="335"/>
        <v>0</v>
      </c>
      <c r="CA48" s="99">
        <f t="shared" si="336"/>
        <v>0</v>
      </c>
      <c r="CB48" s="99">
        <f t="shared" si="337"/>
        <v>0</v>
      </c>
      <c r="CC48" s="99">
        <f t="shared" si="338"/>
        <v>0</v>
      </c>
      <c r="CD48" s="99">
        <f t="shared" si="339"/>
        <v>0</v>
      </c>
      <c r="CE48" s="99">
        <f t="shared" si="340"/>
        <v>0</v>
      </c>
      <c r="CF48" s="99">
        <f t="shared" si="341"/>
        <v>0</v>
      </c>
      <c r="CG48" s="99">
        <f t="shared" si="342"/>
        <v>0</v>
      </c>
      <c r="CH48" s="99">
        <f t="shared" si="343"/>
        <v>0</v>
      </c>
    </row>
    <row r="49" spans="1:86">
      <c r="A49" s="233">
        <v>37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</row>
    <row r="50" spans="1:86">
      <c r="A50" s="233">
        <v>38</v>
      </c>
      <c r="B50" s="26" t="s">
        <v>536</v>
      </c>
      <c r="C50" s="28">
        <f t="shared" ref="C50:BN50" si="345">C55*C57</f>
        <v>149838.91476042525</v>
      </c>
      <c r="D50" s="28">
        <f t="shared" si="345"/>
        <v>149384.5004395748</v>
      </c>
      <c r="E50" s="28">
        <f t="shared" si="345"/>
        <v>148366.27575766918</v>
      </c>
      <c r="F50" s="28">
        <f t="shared" si="345"/>
        <v>150082.95208088195</v>
      </c>
      <c r="G50" s="28">
        <f t="shared" si="345"/>
        <v>153659.36108757523</v>
      </c>
      <c r="H50" s="28">
        <f t="shared" si="345"/>
        <v>155981.92317192195</v>
      </c>
      <c r="I50" s="28">
        <f t="shared" si="345"/>
        <v>158195.08921606391</v>
      </c>
      <c r="J50" s="28">
        <f t="shared" si="345"/>
        <v>158043.61777578044</v>
      </c>
      <c r="K50" s="28">
        <f t="shared" si="345"/>
        <v>158153.01381598518</v>
      </c>
      <c r="L50" s="28">
        <f t="shared" si="345"/>
        <v>158489.61701661511</v>
      </c>
      <c r="M50" s="28">
        <f t="shared" si="345"/>
        <v>155981.92317192195</v>
      </c>
      <c r="N50" s="28">
        <f t="shared" si="345"/>
        <v>152876.7586461106</v>
      </c>
      <c r="O50" s="28">
        <f t="shared" si="345"/>
        <v>150259.6687612127</v>
      </c>
      <c r="P50" s="28">
        <f t="shared" si="345"/>
        <v>149805.25444036225</v>
      </c>
      <c r="Q50" s="28">
        <f>Q55*Q57</f>
        <v>148787.02975845663</v>
      </c>
      <c r="R50" s="28">
        <f t="shared" si="345"/>
        <v>150503.7060816694</v>
      </c>
      <c r="S50" s="28">
        <f t="shared" si="345"/>
        <v>154080.11508836268</v>
      </c>
      <c r="T50" s="28">
        <f t="shared" si="345"/>
        <v>156402.6771727094</v>
      </c>
      <c r="U50" s="28">
        <f t="shared" si="345"/>
        <v>158615.84321685135</v>
      </c>
      <c r="V50" s="28">
        <f t="shared" si="345"/>
        <v>158464.37177656789</v>
      </c>
      <c r="W50" s="28">
        <f t="shared" si="345"/>
        <v>158573.76781677263</v>
      </c>
      <c r="X50" s="28">
        <f t="shared" si="345"/>
        <v>158910.37101740256</v>
      </c>
      <c r="Y50" s="28">
        <f t="shared" si="345"/>
        <v>156402.6771727094</v>
      </c>
      <c r="Z50" s="28">
        <f t="shared" si="345"/>
        <v>153297.51264689805</v>
      </c>
      <c r="AA50" s="28">
        <f t="shared" si="345"/>
        <v>150680.42276200012</v>
      </c>
      <c r="AB50" s="28">
        <f t="shared" si="345"/>
        <v>150226.00844114969</v>
      </c>
      <c r="AC50" s="28">
        <f t="shared" si="345"/>
        <v>149207.78375924408</v>
      </c>
      <c r="AD50" s="28">
        <f t="shared" si="345"/>
        <v>150924.46008245685</v>
      </c>
      <c r="AE50" s="28">
        <f t="shared" si="345"/>
        <v>154500.86908915013</v>
      </c>
      <c r="AF50" s="28">
        <f t="shared" si="345"/>
        <v>156823.43117349685</v>
      </c>
      <c r="AG50" s="28">
        <f t="shared" si="345"/>
        <v>159036.5972176388</v>
      </c>
      <c r="AH50" s="28">
        <f t="shared" si="345"/>
        <v>158885.12577735534</v>
      </c>
      <c r="AI50" s="28">
        <f t="shared" si="345"/>
        <v>158994.52181756007</v>
      </c>
      <c r="AJ50" s="28">
        <f t="shared" si="345"/>
        <v>159331.12501819001</v>
      </c>
      <c r="AK50" s="28">
        <f t="shared" si="345"/>
        <v>156823.43117349685</v>
      </c>
      <c r="AL50" s="28">
        <f t="shared" si="345"/>
        <v>153718.26664768549</v>
      </c>
      <c r="AM50" s="28">
        <f t="shared" si="345"/>
        <v>151101.17676278757</v>
      </c>
      <c r="AN50" s="28">
        <f t="shared" si="345"/>
        <v>150646.76244193714</v>
      </c>
      <c r="AO50" s="28">
        <f t="shared" si="345"/>
        <v>149628.53776003153</v>
      </c>
      <c r="AP50" s="28">
        <f t="shared" si="345"/>
        <v>151345.2140832443</v>
      </c>
      <c r="AQ50" s="28">
        <f t="shared" si="345"/>
        <v>154921.62308993758</v>
      </c>
      <c r="AR50" s="28">
        <f t="shared" si="345"/>
        <v>157244.1851742843</v>
      </c>
      <c r="AS50" s="28">
        <f t="shared" si="345"/>
        <v>159457.35121842625</v>
      </c>
      <c r="AT50" s="28">
        <f t="shared" si="345"/>
        <v>159305.87977814279</v>
      </c>
      <c r="AU50" s="28">
        <f t="shared" si="345"/>
        <v>159415.27581834749</v>
      </c>
      <c r="AV50" s="28">
        <f t="shared" si="345"/>
        <v>159751.87901897746</v>
      </c>
      <c r="AW50" s="28">
        <f t="shared" si="345"/>
        <v>157244.1851742843</v>
      </c>
      <c r="AX50" s="28">
        <f t="shared" si="345"/>
        <v>154139.02064847294</v>
      </c>
      <c r="AY50" s="28">
        <f t="shared" si="345"/>
        <v>151521.93076357502</v>
      </c>
      <c r="AZ50" s="28">
        <f t="shared" si="345"/>
        <v>151067.51644272459</v>
      </c>
      <c r="BA50" s="28">
        <f t="shared" si="345"/>
        <v>150049.29176081897</v>
      </c>
      <c r="BB50" s="28">
        <f t="shared" si="345"/>
        <v>151765.96808403175</v>
      </c>
      <c r="BC50" s="28">
        <f t="shared" si="345"/>
        <v>155342.37709072503</v>
      </c>
      <c r="BD50" s="28">
        <f t="shared" si="345"/>
        <v>157664.93917507172</v>
      </c>
      <c r="BE50" s="28">
        <f t="shared" si="345"/>
        <v>159878.1052192137</v>
      </c>
      <c r="BF50" s="28">
        <f t="shared" si="345"/>
        <v>159726.63377893021</v>
      </c>
      <c r="BG50" s="28">
        <f t="shared" si="345"/>
        <v>159836.02981913494</v>
      </c>
      <c r="BH50" s="28">
        <f t="shared" si="345"/>
        <v>160172.63301976491</v>
      </c>
      <c r="BI50" s="28">
        <f t="shared" si="345"/>
        <v>157664.93917507172</v>
      </c>
      <c r="BJ50" s="28">
        <f t="shared" si="345"/>
        <v>154559.77464926039</v>
      </c>
      <c r="BK50" s="28">
        <f t="shared" si="345"/>
        <v>151942.68476436246</v>
      </c>
      <c r="BL50" s="28">
        <f t="shared" si="345"/>
        <v>151488.27044351204</v>
      </c>
      <c r="BM50" s="28">
        <f t="shared" si="345"/>
        <v>150470.04576160639</v>
      </c>
      <c r="BN50" s="28">
        <f t="shared" si="345"/>
        <v>152186.72208481919</v>
      </c>
      <c r="BO50" s="28">
        <f t="shared" ref="BO50:CH50" si="346">BO55*BO57</f>
        <v>155763.13109151248</v>
      </c>
      <c r="BP50" s="28">
        <f t="shared" si="346"/>
        <v>158085.69317585917</v>
      </c>
      <c r="BQ50" s="28">
        <f t="shared" si="346"/>
        <v>160298.85922000115</v>
      </c>
      <c r="BR50" s="28">
        <f t="shared" si="346"/>
        <v>160147.38777971765</v>
      </c>
      <c r="BS50" s="28">
        <f t="shared" si="346"/>
        <v>160256.78381992239</v>
      </c>
      <c r="BT50" s="28">
        <f t="shared" si="346"/>
        <v>160593.38702055236</v>
      </c>
      <c r="BU50" s="28">
        <f t="shared" si="346"/>
        <v>158085.69317585917</v>
      </c>
      <c r="BV50" s="28">
        <f t="shared" si="346"/>
        <v>154980.52865004784</v>
      </c>
      <c r="BW50" s="28">
        <f t="shared" si="346"/>
        <v>152363.43876514991</v>
      </c>
      <c r="BX50" s="28">
        <f t="shared" si="346"/>
        <v>151909.02444429946</v>
      </c>
      <c r="BY50" s="28">
        <f t="shared" si="346"/>
        <v>150890.79976239384</v>
      </c>
      <c r="BZ50" s="28">
        <f t="shared" si="346"/>
        <v>152607.47608560664</v>
      </c>
      <c r="CA50" s="28">
        <f t="shared" si="346"/>
        <v>156183.88509229993</v>
      </c>
      <c r="CB50" s="28">
        <f t="shared" si="346"/>
        <v>158506.44717664662</v>
      </c>
      <c r="CC50" s="28">
        <f t="shared" si="346"/>
        <v>160719.6132207886</v>
      </c>
      <c r="CD50" s="28">
        <f t="shared" si="346"/>
        <v>160568.1417805051</v>
      </c>
      <c r="CE50" s="28">
        <f t="shared" si="346"/>
        <v>160677.53782070984</v>
      </c>
      <c r="CF50" s="28">
        <f t="shared" si="346"/>
        <v>161014.1410213398</v>
      </c>
      <c r="CG50" s="28">
        <f t="shared" si="346"/>
        <v>158506.44717664662</v>
      </c>
      <c r="CH50" s="28">
        <f t="shared" si="346"/>
        <v>155401.28265083529</v>
      </c>
    </row>
    <row r="51" spans="1:86">
      <c r="A51" s="233">
        <v>39</v>
      </c>
      <c r="B51" s="26" t="s">
        <v>537</v>
      </c>
      <c r="C51" s="28">
        <f t="shared" ref="C51:N51" si="347">C59-C50</f>
        <v>11589.936639574764</v>
      </c>
      <c r="D51" s="28">
        <f t="shared" si="347"/>
        <v>-11589.936639574793</v>
      </c>
      <c r="E51" s="28">
        <f t="shared" si="347"/>
        <v>51876.232742330816</v>
      </c>
      <c r="F51" s="28">
        <f t="shared" si="347"/>
        <v>102275.44941911806</v>
      </c>
      <c r="G51" s="28">
        <f t="shared" si="347"/>
        <v>188677.06031242476</v>
      </c>
      <c r="H51" s="28">
        <f t="shared" si="347"/>
        <v>456073.68692807807</v>
      </c>
      <c r="I51" s="28">
        <f t="shared" si="347"/>
        <v>861746.64098393614</v>
      </c>
      <c r="J51" s="28">
        <f t="shared" si="347"/>
        <v>751097.2858242197</v>
      </c>
      <c r="K51" s="28">
        <f t="shared" si="347"/>
        <v>382277.05838401488</v>
      </c>
      <c r="L51" s="28">
        <f t="shared" si="347"/>
        <v>245285.26598338486</v>
      </c>
      <c r="M51" s="28">
        <f t="shared" si="347"/>
        <v>58170.908028078033</v>
      </c>
      <c r="N51" s="28">
        <f t="shared" si="347"/>
        <v>16204.990953889414</v>
      </c>
      <c r="O51" s="29">
        <f>O53*O57*O$14</f>
        <v>0</v>
      </c>
      <c r="P51" s="29">
        <f t="shared" ref="P51:Z51" si="348">P53*P57*P$14</f>
        <v>0</v>
      </c>
      <c r="Q51" s="29">
        <f t="shared" si="348"/>
        <v>1831.7518381747</v>
      </c>
      <c r="R51" s="29">
        <f t="shared" si="348"/>
        <v>65777.461552756358</v>
      </c>
      <c r="S51" s="29">
        <f t="shared" si="348"/>
        <v>343341.84064324159</v>
      </c>
      <c r="T51" s="29">
        <f t="shared" si="348"/>
        <v>632529.98584511445</v>
      </c>
      <c r="U51" s="29">
        <f t="shared" si="348"/>
        <v>786960.93152509653</v>
      </c>
      <c r="V51" s="29">
        <f t="shared" si="348"/>
        <v>857416.9696861878</v>
      </c>
      <c r="W51" s="29">
        <f t="shared" si="348"/>
        <v>573958.16422927601</v>
      </c>
      <c r="X51" s="29">
        <f t="shared" si="348"/>
        <v>337476.00788053294</v>
      </c>
      <c r="Y51" s="29">
        <f t="shared" si="348"/>
        <v>128046.40504931541</v>
      </c>
      <c r="Z51" s="29">
        <f t="shared" si="348"/>
        <v>13210.970117764808</v>
      </c>
      <c r="AA51" s="29">
        <f>AA53*AA57*AA$14</f>
        <v>0</v>
      </c>
      <c r="AB51" s="29">
        <f t="shared" ref="AB51:AL51" si="349">AB53*AB57*AB$14</f>
        <v>0</v>
      </c>
      <c r="AC51" s="29">
        <f t="shared" si="349"/>
        <v>1837.0278631337278</v>
      </c>
      <c r="AD51" s="29">
        <f t="shared" si="349"/>
        <v>65964.79965869218</v>
      </c>
      <c r="AE51" s="29">
        <f t="shared" si="349"/>
        <v>344297.41772328009</v>
      </c>
      <c r="AF51" s="29">
        <f t="shared" si="349"/>
        <v>634264.77006614464</v>
      </c>
      <c r="AG51" s="29">
        <f t="shared" si="349"/>
        <v>789089.71873565065</v>
      </c>
      <c r="AH51" s="29">
        <f t="shared" si="349"/>
        <v>859738.51984334609</v>
      </c>
      <c r="AI51" s="29">
        <f t="shared" si="349"/>
        <v>575511.16728544945</v>
      </c>
      <c r="AJ51" s="29">
        <f t="shared" si="349"/>
        <v>338387.24602103746</v>
      </c>
      <c r="AK51" s="29">
        <f t="shared" si="349"/>
        <v>128397.58663439457</v>
      </c>
      <c r="AL51" s="29">
        <f t="shared" si="349"/>
        <v>13247.922611868853</v>
      </c>
      <c r="AM51" s="29">
        <f>AM53*AM57*AM$14</f>
        <v>0</v>
      </c>
      <c r="AN51" s="29">
        <f t="shared" ref="AN51:AX51" si="350">AN53*AN57*AN$14</f>
        <v>0</v>
      </c>
      <c r="AO51" s="29">
        <f t="shared" si="350"/>
        <v>1842.3044337971596</v>
      </c>
      <c r="AP51" s="29">
        <f t="shared" si="350"/>
        <v>66152.157138821654</v>
      </c>
      <c r="AQ51" s="29">
        <f t="shared" si="350"/>
        <v>345253.09360234143</v>
      </c>
      <c r="AR51" s="29">
        <f t="shared" si="350"/>
        <v>635999.73362033791</v>
      </c>
      <c r="AS51" s="29">
        <f t="shared" si="350"/>
        <v>791218.72597474931</v>
      </c>
      <c r="AT51" s="29">
        <f t="shared" si="350"/>
        <v>862060.30995534919</v>
      </c>
      <c r="AU51" s="29">
        <f t="shared" si="350"/>
        <v>577064.33085838228</v>
      </c>
      <c r="AV51" s="29">
        <f t="shared" si="350"/>
        <v>339298.57834390132</v>
      </c>
      <c r="AW51" s="29">
        <f t="shared" si="350"/>
        <v>128748.80452283857</v>
      </c>
      <c r="AX51" s="29">
        <f t="shared" si="350"/>
        <v>13284.878926777908</v>
      </c>
      <c r="AY51" s="29">
        <f>AY53*AY57*AY$14</f>
        <v>0</v>
      </c>
      <c r="AZ51" s="29">
        <f t="shared" ref="AZ51:BJ51" si="351">AZ53*AZ57*AZ$14</f>
        <v>0</v>
      </c>
      <c r="BA51" s="29">
        <f t="shared" si="351"/>
        <v>1847.5824646309666</v>
      </c>
      <c r="BB51" s="29">
        <f t="shared" si="351"/>
        <v>66339.566828079842</v>
      </c>
      <c r="BC51" s="29">
        <f t="shared" si="351"/>
        <v>346209.03963730938</v>
      </c>
      <c r="BD51" s="29">
        <f t="shared" si="351"/>
        <v>637735.19215588144</v>
      </c>
      <c r="BE51" s="29">
        <f t="shared" si="351"/>
        <v>793348.34591139387</v>
      </c>
      <c r="BF51" s="29">
        <f t="shared" si="351"/>
        <v>864382.76784981135</v>
      </c>
      <c r="BG51" s="29">
        <f t="shared" si="351"/>
        <v>578617.94133593014</v>
      </c>
      <c r="BH51" s="29">
        <f t="shared" si="351"/>
        <v>340210.17323666951</v>
      </c>
      <c r="BI51" s="29">
        <f t="shared" si="351"/>
        <v>129100.12261298666</v>
      </c>
      <c r="BJ51" s="29">
        <f t="shared" si="351"/>
        <v>13321.8456561684</v>
      </c>
      <c r="BK51" s="29">
        <f>BK53*BK57*BK$14</f>
        <v>0</v>
      </c>
      <c r="BL51" s="29">
        <f t="shared" ref="BL51:BV51" si="352">BL53*BL57*BL$14</f>
        <v>0</v>
      </c>
      <c r="BM51" s="29">
        <f t="shared" si="352"/>
        <v>1852.8601292660164</v>
      </c>
      <c r="BN51" s="29">
        <f t="shared" si="352"/>
        <v>66526.963147533403</v>
      </c>
      <c r="BO51" s="29">
        <f t="shared" si="352"/>
        <v>347164.91357760906</v>
      </c>
      <c r="BP51" s="29">
        <f t="shared" si="352"/>
        <v>639470.51521651866</v>
      </c>
      <c r="BQ51" s="29">
        <f t="shared" si="352"/>
        <v>795477.79423759878</v>
      </c>
      <c r="BR51" s="29">
        <f t="shared" si="352"/>
        <v>866705.03899485792</v>
      </c>
      <c r="BS51" s="29">
        <f t="shared" si="352"/>
        <v>580171.4266938176</v>
      </c>
      <c r="BT51" s="29">
        <f t="shared" si="352"/>
        <v>341121.69436510449</v>
      </c>
      <c r="BU51" s="29">
        <f t="shared" si="352"/>
        <v>129451.4132782298</v>
      </c>
      <c r="BV51" s="29">
        <f t="shared" si="352"/>
        <v>13358.809630604865</v>
      </c>
      <c r="BW51" s="29">
        <f>BW53*BW57*BW$14</f>
        <v>0</v>
      </c>
      <c r="BX51" s="29">
        <f t="shared" ref="BX51:CH51" si="353">BX53*BX57*BX$14</f>
        <v>0</v>
      </c>
      <c r="BY51" s="29">
        <f t="shared" si="353"/>
        <v>1858.1355535284729</v>
      </c>
      <c r="BZ51" s="29">
        <f t="shared" si="353"/>
        <v>66714.278810160016</v>
      </c>
      <c r="CA51" s="29">
        <f t="shared" si="353"/>
        <v>348120.36434674088</v>
      </c>
      <c r="CB51" s="29">
        <f t="shared" si="353"/>
        <v>641205.05618968105</v>
      </c>
      <c r="CC51" s="29">
        <f t="shared" si="353"/>
        <v>797606.26666369091</v>
      </c>
      <c r="CD51" s="29">
        <f t="shared" si="353"/>
        <v>869026.24707921199</v>
      </c>
      <c r="CE51" s="29">
        <f t="shared" si="353"/>
        <v>581724.20033279585</v>
      </c>
      <c r="CF51" s="29">
        <f t="shared" si="353"/>
        <v>342032.79683282477</v>
      </c>
      <c r="CG51" s="29">
        <f t="shared" si="353"/>
        <v>129802.54562135095</v>
      </c>
      <c r="CH51" s="29">
        <f t="shared" si="353"/>
        <v>13395.757340308524</v>
      </c>
    </row>
    <row r="52" spans="1:86">
      <c r="A52" s="233">
        <v>40</v>
      </c>
      <c r="B52" s="26" t="s">
        <v>538</v>
      </c>
      <c r="C52" s="480">
        <f t="shared" ref="C52:N52" si="354">C51/C57</f>
        <v>0.65090063122401232</v>
      </c>
      <c r="D52" s="480">
        <f t="shared" si="354"/>
        <v>-0.65288061286473598</v>
      </c>
      <c r="E52" s="480">
        <f t="shared" si="354"/>
        <v>2.9423307096778863</v>
      </c>
      <c r="F52" s="480">
        <f t="shared" si="354"/>
        <v>5.7345359921008159</v>
      </c>
      <c r="G52" s="480">
        <f t="shared" si="354"/>
        <v>10.332807246025451</v>
      </c>
      <c r="H52" s="480">
        <f t="shared" si="354"/>
        <v>24.604752208031833</v>
      </c>
      <c r="I52" s="480">
        <f t="shared" si="354"/>
        <v>45.840025585612857</v>
      </c>
      <c r="J52" s="480">
        <f t="shared" si="354"/>
        <v>39.992401140739027</v>
      </c>
      <c r="K52" s="480">
        <f t="shared" si="354"/>
        <v>20.340377694158501</v>
      </c>
      <c r="L52" s="480">
        <f t="shared" si="354"/>
        <v>13.023535413793399</v>
      </c>
      <c r="M52" s="480">
        <f t="shared" si="354"/>
        <v>3.1382665099308391</v>
      </c>
      <c r="N52" s="480">
        <f t="shared" si="354"/>
        <v>0.89200148367311138</v>
      </c>
      <c r="O52" s="481">
        <f>O51/O57</f>
        <v>0</v>
      </c>
      <c r="P52" s="481">
        <f t="shared" ref="P52:Z52" si="355">P51/P57</f>
        <v>0</v>
      </c>
      <c r="Q52" s="481">
        <f t="shared" si="355"/>
        <v>0.10360001347065777</v>
      </c>
      <c r="R52" s="481">
        <f t="shared" si="355"/>
        <v>3.6778004782083511</v>
      </c>
      <c r="S52" s="481">
        <f t="shared" si="355"/>
        <v>18.751602438189053</v>
      </c>
      <c r="T52" s="481">
        <f t="shared" si="355"/>
        <v>34.032604425111074</v>
      </c>
      <c r="U52" s="481">
        <f t="shared" si="355"/>
        <v>41.750805428675079</v>
      </c>
      <c r="V52" s="481">
        <f t="shared" si="355"/>
        <v>45.532205920354087</v>
      </c>
      <c r="W52" s="481">
        <f t="shared" si="355"/>
        <v>30.458403960373381</v>
      </c>
      <c r="X52" s="481">
        <f t="shared" si="355"/>
        <v>17.871002323688462</v>
      </c>
      <c r="Y52" s="481">
        <f t="shared" si="355"/>
        <v>6.8894008957987412</v>
      </c>
      <c r="Z52" s="481">
        <f t="shared" si="355"/>
        <v>0.7252000942946043</v>
      </c>
      <c r="AA52" s="481">
        <f>AA51/AA57</f>
        <v>0</v>
      </c>
      <c r="AB52" s="481">
        <f t="shared" ref="AB52:AL52" si="356">AB51/AB57</f>
        <v>0</v>
      </c>
      <c r="AC52" s="481">
        <f t="shared" si="356"/>
        <v>0.10360542908655619</v>
      </c>
      <c r="AD52" s="481">
        <f t="shared" si="356"/>
        <v>3.6779927325727448</v>
      </c>
      <c r="AE52" s="481">
        <f t="shared" si="356"/>
        <v>18.752582664666672</v>
      </c>
      <c r="AF52" s="481">
        <f t="shared" si="356"/>
        <v>34.03438345493371</v>
      </c>
      <c r="AG52" s="481">
        <f t="shared" si="356"/>
        <v>41.752987921882145</v>
      </c>
      <c r="AH52" s="481">
        <f t="shared" si="356"/>
        <v>45.534586083541448</v>
      </c>
      <c r="AI52" s="481">
        <f t="shared" si="356"/>
        <v>30.45999615144752</v>
      </c>
      <c r="AJ52" s="481">
        <f t="shared" si="356"/>
        <v>17.871936517430942</v>
      </c>
      <c r="AK52" s="481">
        <f t="shared" si="356"/>
        <v>6.8897610342559865</v>
      </c>
      <c r="AL52" s="481">
        <f t="shared" si="356"/>
        <v>0.7252380036058933</v>
      </c>
      <c r="AM52" s="481">
        <f>AM51/AM57</f>
        <v>0</v>
      </c>
      <c r="AN52" s="481">
        <f t="shared" ref="AN52:AX52" si="357">AN51/AN57</f>
        <v>0</v>
      </c>
      <c r="AO52" s="481">
        <f t="shared" si="357"/>
        <v>0.10361084493544567</v>
      </c>
      <c r="AP52" s="481">
        <f t="shared" si="357"/>
        <v>3.678184995208321</v>
      </c>
      <c r="AQ52" s="481">
        <f t="shared" si="357"/>
        <v>18.753562933315667</v>
      </c>
      <c r="AR52" s="481">
        <f t="shared" si="357"/>
        <v>34.036162561293906</v>
      </c>
      <c r="AS52" s="481">
        <f t="shared" si="357"/>
        <v>41.755170508984605</v>
      </c>
      <c r="AT52" s="481">
        <f t="shared" si="357"/>
        <v>45.53696634912837</v>
      </c>
      <c r="AU52" s="481">
        <f t="shared" si="357"/>
        <v>30.461588411021022</v>
      </c>
      <c r="AV52" s="481">
        <f t="shared" si="357"/>
        <v>17.872870751364378</v>
      </c>
      <c r="AW52" s="481">
        <f t="shared" si="357"/>
        <v>6.8901211882071376</v>
      </c>
      <c r="AX52" s="481">
        <f t="shared" si="357"/>
        <v>0.72527591454811968</v>
      </c>
      <c r="AY52" s="481">
        <f>AY51/AY57</f>
        <v>0</v>
      </c>
      <c r="AZ52" s="481">
        <f t="shared" ref="AZ52:BJ52" si="358">AZ51/AZ57</f>
        <v>0</v>
      </c>
      <c r="BA52" s="481">
        <f t="shared" si="358"/>
        <v>0.10361631230054212</v>
      </c>
      <c r="BB52" s="481">
        <f t="shared" si="358"/>
        <v>3.6783790866692456</v>
      </c>
      <c r="BC52" s="481">
        <f t="shared" si="358"/>
        <v>18.754552526398125</v>
      </c>
      <c r="BD52" s="481">
        <f t="shared" si="358"/>
        <v>34.037958590728088</v>
      </c>
      <c r="BE52" s="481">
        <f t="shared" si="358"/>
        <v>41.757373857118473</v>
      </c>
      <c r="BF52" s="481">
        <f t="shared" si="358"/>
        <v>45.539369256088264</v>
      </c>
      <c r="BG52" s="481">
        <f t="shared" si="358"/>
        <v>30.463195816359384</v>
      </c>
      <c r="BH52" s="481">
        <f t="shared" si="358"/>
        <v>17.873813871843517</v>
      </c>
      <c r="BI52" s="481">
        <f t="shared" si="358"/>
        <v>6.8904847679860515</v>
      </c>
      <c r="BJ52" s="481">
        <f t="shared" si="358"/>
        <v>0.72531418610379483</v>
      </c>
      <c r="BK52" s="481">
        <f>BK51/BK57</f>
        <v>0</v>
      </c>
      <c r="BL52" s="481">
        <f t="shared" ref="BL52:BV52" si="359">BL51/BL57</f>
        <v>0</v>
      </c>
      <c r="BM52" s="481">
        <f t="shared" si="359"/>
        <v>0.10362172860947466</v>
      </c>
      <c r="BN52" s="481">
        <f t="shared" si="359"/>
        <v>3.6785713656363508</v>
      </c>
      <c r="BO52" s="481">
        <f t="shared" si="359"/>
        <v>18.755532878314913</v>
      </c>
      <c r="BP52" s="481">
        <f t="shared" si="359"/>
        <v>34.039737848212425</v>
      </c>
      <c r="BQ52" s="481">
        <f t="shared" si="359"/>
        <v>41.759556629618288</v>
      </c>
      <c r="BR52" s="481">
        <f t="shared" si="359"/>
        <v>45.541749723864115</v>
      </c>
      <c r="BS52" s="481">
        <f t="shared" si="359"/>
        <v>30.464788211185549</v>
      </c>
      <c r="BT52" s="481">
        <f t="shared" si="359"/>
        <v>17.874748185134379</v>
      </c>
      <c r="BU52" s="481">
        <f t="shared" si="359"/>
        <v>6.890844952530065</v>
      </c>
      <c r="BV52" s="481">
        <f t="shared" si="359"/>
        <v>0.72535210026632269</v>
      </c>
      <c r="BW52" s="481">
        <f>BW51/BW57</f>
        <v>0</v>
      </c>
      <c r="BX52" s="481">
        <f t="shared" ref="BX52:CH52" si="360">BX51/BX57</f>
        <v>0</v>
      </c>
      <c r="BY52" s="481">
        <f t="shared" si="360"/>
        <v>0.10362698976791439</v>
      </c>
      <c r="BZ52" s="481">
        <f t="shared" si="360"/>
        <v>3.6787581367609605</v>
      </c>
      <c r="CA52" s="481">
        <f t="shared" si="360"/>
        <v>18.756485147992503</v>
      </c>
      <c r="CB52" s="481">
        <f t="shared" si="360"/>
        <v>34.04146613875988</v>
      </c>
      <c r="CC52" s="481">
        <f t="shared" si="360"/>
        <v>41.761676876469494</v>
      </c>
      <c r="CD52" s="481">
        <f t="shared" si="360"/>
        <v>45.544062002998373</v>
      </c>
      <c r="CE52" s="481">
        <f t="shared" si="360"/>
        <v>30.466334991766828</v>
      </c>
      <c r="CF52" s="481">
        <f t="shared" si="360"/>
        <v>17.875655734965232</v>
      </c>
      <c r="CG52" s="481">
        <f t="shared" si="360"/>
        <v>6.891194819566306</v>
      </c>
      <c r="CH52" s="481">
        <f t="shared" si="360"/>
        <v>0.7253889283754007</v>
      </c>
    </row>
    <row r="53" spans="1:86">
      <c r="A53" s="233">
        <v>41</v>
      </c>
      <c r="B53" s="26" t="s">
        <v>531</v>
      </c>
      <c r="C53" s="355">
        <f>SUM(C52:N52)/SUM(C$13:N$13)</f>
        <v>5.1797284694847255E-2</v>
      </c>
      <c r="D53" s="355">
        <f>C53</f>
        <v>5.1797284694847255E-2</v>
      </c>
      <c r="E53" s="355">
        <f t="shared" ref="E53" si="361">D53</f>
        <v>5.1797284694847255E-2</v>
      </c>
      <c r="F53" s="355">
        <f t="shared" ref="F53" si="362">E53</f>
        <v>5.1797284694847255E-2</v>
      </c>
      <c r="G53" s="355">
        <f t="shared" ref="G53" si="363">F53</f>
        <v>5.1797284694847255E-2</v>
      </c>
      <c r="H53" s="355">
        <f t="shared" ref="H53" si="364">G53</f>
        <v>5.1797284694847255E-2</v>
      </c>
      <c r="I53" s="355">
        <f t="shared" ref="I53" si="365">H53</f>
        <v>5.1797284694847255E-2</v>
      </c>
      <c r="J53" s="355">
        <f t="shared" ref="J53" si="366">I53</f>
        <v>5.1797284694847255E-2</v>
      </c>
      <c r="K53" s="355">
        <f t="shared" ref="K53" si="367">J53</f>
        <v>5.1797284694847255E-2</v>
      </c>
      <c r="L53" s="355">
        <f t="shared" ref="L53" si="368">K53</f>
        <v>5.1797284694847255E-2</v>
      </c>
      <c r="M53" s="355">
        <f t="shared" ref="M53" si="369">L53</f>
        <v>5.1797284694847255E-2</v>
      </c>
      <c r="N53" s="355">
        <f t="shared" ref="N53" si="370">M53</f>
        <v>5.1797284694847255E-2</v>
      </c>
      <c r="O53" s="354">
        <f>((SUM(C58:N58)/AVERAGE(C57:N57)+O48)*AVERAGE(O57:Z57)-SUM(O50:Z50))/(O57*O$14+P57*P$14+Q57*Q$14+R57*R$14+S57*S$14+T57*T$14+U57*U$14+V57*V$14+W57*W$14+X57*X$14+Y57*Y$14+Z57*Z$14)</f>
        <v>5.1800006735328884E-2</v>
      </c>
      <c r="P53" s="355">
        <f>O53</f>
        <v>5.1800006735328884E-2</v>
      </c>
      <c r="Q53" s="355">
        <f t="shared" ref="Q53" si="371">P53</f>
        <v>5.1800006735328884E-2</v>
      </c>
      <c r="R53" s="355">
        <f t="shared" ref="R53" si="372">Q53</f>
        <v>5.1800006735328884E-2</v>
      </c>
      <c r="S53" s="355">
        <f t="shared" ref="S53" si="373">R53</f>
        <v>5.1800006735328884E-2</v>
      </c>
      <c r="T53" s="355">
        <f t="shared" ref="T53" si="374">S53</f>
        <v>5.1800006735328884E-2</v>
      </c>
      <c r="U53" s="355">
        <f t="shared" ref="U53" si="375">T53</f>
        <v>5.1800006735328884E-2</v>
      </c>
      <c r="V53" s="355">
        <f t="shared" ref="V53" si="376">U53</f>
        <v>5.1800006735328884E-2</v>
      </c>
      <c r="W53" s="355">
        <f t="shared" ref="W53" si="377">V53</f>
        <v>5.1800006735328884E-2</v>
      </c>
      <c r="X53" s="355">
        <f t="shared" ref="X53" si="378">W53</f>
        <v>5.1800006735328884E-2</v>
      </c>
      <c r="Y53" s="355">
        <f t="shared" ref="Y53" si="379">X53</f>
        <v>5.1800006735328884E-2</v>
      </c>
      <c r="Z53" s="355">
        <f t="shared" ref="Z53" si="380">Y53</f>
        <v>5.1800006735328884E-2</v>
      </c>
      <c r="AA53" s="354">
        <f>((SUM(O58:Z58)/AVERAGE(O57:Z57)+AA48)*AVERAGE(AA57:AL57)-SUM(AA50:AL50))/(AA57*AA$14+AB57*AB$14+AC57*AC$14+AD57*AD$14+AE57*AE$14+AF57*AF$14+AG57*AG$14+AH57*AH$14+AI57*AI$14+AJ57*AJ$14+AK57*AK$14+AL57*AL$14)</f>
        <v>5.1802714543278096E-2</v>
      </c>
      <c r="AB53" s="355">
        <f>AA53</f>
        <v>5.1802714543278096E-2</v>
      </c>
      <c r="AC53" s="355">
        <f t="shared" ref="AC53" si="381">AB53</f>
        <v>5.1802714543278096E-2</v>
      </c>
      <c r="AD53" s="355">
        <f t="shared" ref="AD53" si="382">AC53</f>
        <v>5.1802714543278096E-2</v>
      </c>
      <c r="AE53" s="355">
        <f t="shared" ref="AE53" si="383">AD53</f>
        <v>5.1802714543278096E-2</v>
      </c>
      <c r="AF53" s="355">
        <f t="shared" ref="AF53" si="384">AE53</f>
        <v>5.1802714543278096E-2</v>
      </c>
      <c r="AG53" s="355">
        <f t="shared" ref="AG53" si="385">AF53</f>
        <v>5.1802714543278096E-2</v>
      </c>
      <c r="AH53" s="355">
        <f t="shared" ref="AH53" si="386">AG53</f>
        <v>5.1802714543278096E-2</v>
      </c>
      <c r="AI53" s="355">
        <f t="shared" ref="AI53" si="387">AH53</f>
        <v>5.1802714543278096E-2</v>
      </c>
      <c r="AJ53" s="355">
        <f t="shared" ref="AJ53" si="388">AI53</f>
        <v>5.1802714543278096E-2</v>
      </c>
      <c r="AK53" s="355">
        <f t="shared" ref="AK53" si="389">AJ53</f>
        <v>5.1802714543278096E-2</v>
      </c>
      <c r="AL53" s="355">
        <f t="shared" ref="AL53" si="390">AK53</f>
        <v>5.1802714543278096E-2</v>
      </c>
      <c r="AM53" s="354">
        <f>((SUM(AA58:AL58)/AVERAGE(AA57:AL57)+AM48)*AVERAGE(AM57:AX57)-SUM(AM50:AX50))/(AM57*AM$14+AN57*AN$14+AO57*AO$14+AP57*AP$14+AQ57*AQ$14+AR57*AR$14+AS57*AS$14+AT57*AT$14+AU57*AU$14+AV57*AV$14+AW57*AW$14+AX57*AX$14)</f>
        <v>5.1805422467722836E-2</v>
      </c>
      <c r="AN53" s="355">
        <f>AM53</f>
        <v>5.1805422467722836E-2</v>
      </c>
      <c r="AO53" s="355">
        <f t="shared" ref="AO53" si="391">AN53</f>
        <v>5.1805422467722836E-2</v>
      </c>
      <c r="AP53" s="355">
        <f t="shared" ref="AP53" si="392">AO53</f>
        <v>5.1805422467722836E-2</v>
      </c>
      <c r="AQ53" s="355">
        <f t="shared" ref="AQ53" si="393">AP53</f>
        <v>5.1805422467722836E-2</v>
      </c>
      <c r="AR53" s="355">
        <f t="shared" ref="AR53" si="394">AQ53</f>
        <v>5.1805422467722836E-2</v>
      </c>
      <c r="AS53" s="355">
        <f t="shared" ref="AS53" si="395">AR53</f>
        <v>5.1805422467722836E-2</v>
      </c>
      <c r="AT53" s="355">
        <f t="shared" ref="AT53" si="396">AS53</f>
        <v>5.1805422467722836E-2</v>
      </c>
      <c r="AU53" s="355">
        <f t="shared" ref="AU53" si="397">AT53</f>
        <v>5.1805422467722836E-2</v>
      </c>
      <c r="AV53" s="355">
        <f t="shared" ref="AV53" si="398">AU53</f>
        <v>5.1805422467722836E-2</v>
      </c>
      <c r="AW53" s="355">
        <f t="shared" ref="AW53" si="399">AV53</f>
        <v>5.1805422467722836E-2</v>
      </c>
      <c r="AX53" s="355">
        <f t="shared" ref="AX53" si="400">AW53</f>
        <v>5.1805422467722836E-2</v>
      </c>
      <c r="AY53" s="354">
        <f>((SUM(AM58:AX58)/AVERAGE(AM57:AX57)+AY48)*AVERAGE(AY57:BJ57)-SUM(AY50:BJ50))/(AY57*AY$14+AZ57*AZ$14+BA57*BA$14+BB57*BB$14+BC57*BC$14+BD57*BD$14+BE57*BE$14+BF57*BF$14+BG57*BG$14+BH57*BH$14+BI57*BI$14+BJ57*BJ$14)</f>
        <v>5.1808156150271061E-2</v>
      </c>
      <c r="AZ53" s="355">
        <f>AY53</f>
        <v>5.1808156150271061E-2</v>
      </c>
      <c r="BA53" s="355">
        <f t="shared" ref="BA53" si="401">AZ53</f>
        <v>5.1808156150271061E-2</v>
      </c>
      <c r="BB53" s="355">
        <f t="shared" ref="BB53" si="402">BA53</f>
        <v>5.1808156150271061E-2</v>
      </c>
      <c r="BC53" s="355">
        <f t="shared" ref="BC53" si="403">BB53</f>
        <v>5.1808156150271061E-2</v>
      </c>
      <c r="BD53" s="355">
        <f t="shared" ref="BD53" si="404">BC53</f>
        <v>5.1808156150271061E-2</v>
      </c>
      <c r="BE53" s="355">
        <f t="shared" ref="BE53" si="405">BD53</f>
        <v>5.1808156150271061E-2</v>
      </c>
      <c r="BF53" s="355">
        <f t="shared" ref="BF53" si="406">BE53</f>
        <v>5.1808156150271061E-2</v>
      </c>
      <c r="BG53" s="355">
        <f t="shared" ref="BG53" si="407">BF53</f>
        <v>5.1808156150271061E-2</v>
      </c>
      <c r="BH53" s="355">
        <f t="shared" ref="BH53" si="408">BG53</f>
        <v>5.1808156150271061E-2</v>
      </c>
      <c r="BI53" s="355">
        <f t="shared" ref="BI53" si="409">BH53</f>
        <v>5.1808156150271061E-2</v>
      </c>
      <c r="BJ53" s="355">
        <f t="shared" ref="BJ53" si="410">BI53</f>
        <v>5.1808156150271061E-2</v>
      </c>
      <c r="BK53" s="354">
        <f>((SUM(AY58:BJ58)/AVERAGE(AY57:BJ57)+BK48)*AVERAGE(BK57:BV57)-SUM(BK50:BV50))/(BK57*BK$14+BL57*BL$14+BM57*BM$14+BN57*BN$14+BO57*BO$14+BP57*BP$14+BQ57*BQ$14+BR57*BR$14+BS57*BS$14+BT57*BT$14+BU57*BU$14+BV57*BV$14)</f>
        <v>5.1810864304737331E-2</v>
      </c>
      <c r="BL53" s="355">
        <f>BK53</f>
        <v>5.1810864304737331E-2</v>
      </c>
      <c r="BM53" s="355">
        <f t="shared" ref="BM53" si="411">BL53</f>
        <v>5.1810864304737331E-2</v>
      </c>
      <c r="BN53" s="355">
        <f t="shared" ref="BN53" si="412">BM53</f>
        <v>5.1810864304737331E-2</v>
      </c>
      <c r="BO53" s="355">
        <f t="shared" ref="BO53" si="413">BN53</f>
        <v>5.1810864304737331E-2</v>
      </c>
      <c r="BP53" s="355">
        <f t="shared" ref="BP53" si="414">BO53</f>
        <v>5.1810864304737331E-2</v>
      </c>
      <c r="BQ53" s="355">
        <f t="shared" ref="BQ53" si="415">BP53</f>
        <v>5.1810864304737331E-2</v>
      </c>
      <c r="BR53" s="355">
        <f t="shared" ref="BR53" si="416">BQ53</f>
        <v>5.1810864304737331E-2</v>
      </c>
      <c r="BS53" s="355">
        <f t="shared" ref="BS53" si="417">BR53</f>
        <v>5.1810864304737331E-2</v>
      </c>
      <c r="BT53" s="355">
        <f t="shared" ref="BT53" si="418">BS53</f>
        <v>5.1810864304737331E-2</v>
      </c>
      <c r="BU53" s="355">
        <f t="shared" ref="BU53" si="419">BT53</f>
        <v>5.1810864304737331E-2</v>
      </c>
      <c r="BV53" s="355">
        <f t="shared" ref="BV53" si="420">BU53</f>
        <v>5.1810864304737331E-2</v>
      </c>
      <c r="BW53" s="354">
        <f>((SUM(BK58:BV58)/AVERAGE(BK57:BV57)+BW48)*AVERAGE(BW57:CH57)-SUM(BW50:CH50))/(BW57*BW$14+BX57*BX$14+BY57*BY$14+BZ57*BZ$14+CA57*CA$14+CB57*CB$14+CC57*CC$14+CD57*CD$14+CE57*CE$14+CF57*CF$14+CG57*CG$14+CH57*CH$14)</f>
        <v>5.1813494883957194E-2</v>
      </c>
      <c r="BX53" s="355">
        <f>BW53</f>
        <v>5.1813494883957194E-2</v>
      </c>
      <c r="BY53" s="355">
        <f t="shared" ref="BY53" si="421">BX53</f>
        <v>5.1813494883957194E-2</v>
      </c>
      <c r="BZ53" s="355">
        <f t="shared" ref="BZ53" si="422">BY53</f>
        <v>5.1813494883957194E-2</v>
      </c>
      <c r="CA53" s="355">
        <f t="shared" ref="CA53" si="423">BZ53</f>
        <v>5.1813494883957194E-2</v>
      </c>
      <c r="CB53" s="355">
        <f t="shared" ref="CB53" si="424">CA53</f>
        <v>5.1813494883957194E-2</v>
      </c>
      <c r="CC53" s="355">
        <f t="shared" ref="CC53" si="425">CB53</f>
        <v>5.1813494883957194E-2</v>
      </c>
      <c r="CD53" s="355">
        <f t="shared" ref="CD53" si="426">CC53</f>
        <v>5.1813494883957194E-2</v>
      </c>
      <c r="CE53" s="355">
        <f t="shared" ref="CE53" si="427">CD53</f>
        <v>5.1813494883957194E-2</v>
      </c>
      <c r="CF53" s="355">
        <f t="shared" ref="CF53" si="428">CE53</f>
        <v>5.1813494883957194E-2</v>
      </c>
      <c r="CG53" s="355">
        <f t="shared" ref="CG53" si="429">CF53</f>
        <v>5.1813494883957194E-2</v>
      </c>
      <c r="CH53" s="355">
        <f t="shared" ref="CH53" si="430">CG53</f>
        <v>5.1813494883957194E-2</v>
      </c>
    </row>
    <row r="54" spans="1:86">
      <c r="A54" s="233">
        <v>42</v>
      </c>
      <c r="B54" s="26" t="s">
        <v>76</v>
      </c>
      <c r="C54" s="26">
        <f>ROUND(C53*C$14,4)</f>
        <v>0</v>
      </c>
      <c r="D54" s="26">
        <f t="shared" ref="D54:BO54" si="431">ROUND(D53*D$14,4)</f>
        <v>0</v>
      </c>
      <c r="E54" s="26">
        <f t="shared" si="431"/>
        <v>0.1036</v>
      </c>
      <c r="F54" s="26">
        <f t="shared" si="431"/>
        <v>3.6776</v>
      </c>
      <c r="G54" s="26">
        <f t="shared" si="431"/>
        <v>18.750599999999999</v>
      </c>
      <c r="H54" s="26">
        <f t="shared" si="431"/>
        <v>34.030799999999999</v>
      </c>
      <c r="I54" s="26">
        <f t="shared" si="431"/>
        <v>41.748600000000003</v>
      </c>
      <c r="J54" s="26">
        <f t="shared" si="431"/>
        <v>45.529800000000002</v>
      </c>
      <c r="K54" s="26">
        <f t="shared" si="431"/>
        <v>30.456800000000001</v>
      </c>
      <c r="L54" s="26">
        <f t="shared" si="431"/>
        <v>17.870100000000001</v>
      </c>
      <c r="M54" s="26">
        <f t="shared" si="431"/>
        <v>6.8890000000000002</v>
      </c>
      <c r="N54" s="26">
        <f t="shared" si="431"/>
        <v>0.72519999999999996</v>
      </c>
      <c r="O54" s="26">
        <f t="shared" si="431"/>
        <v>0</v>
      </c>
      <c r="P54" s="26">
        <f t="shared" si="431"/>
        <v>0</v>
      </c>
      <c r="Q54" s="26">
        <f t="shared" si="431"/>
        <v>0.1036</v>
      </c>
      <c r="R54" s="26">
        <f t="shared" si="431"/>
        <v>3.6778</v>
      </c>
      <c r="S54" s="26">
        <f t="shared" si="431"/>
        <v>18.7516</v>
      </c>
      <c r="T54" s="26">
        <f t="shared" si="431"/>
        <v>34.032600000000002</v>
      </c>
      <c r="U54" s="26">
        <f t="shared" si="431"/>
        <v>41.750799999999998</v>
      </c>
      <c r="V54" s="26">
        <f t="shared" si="431"/>
        <v>45.532200000000003</v>
      </c>
      <c r="W54" s="26">
        <f t="shared" si="431"/>
        <v>30.458400000000001</v>
      </c>
      <c r="X54" s="26">
        <f t="shared" si="431"/>
        <v>17.870999999999999</v>
      </c>
      <c r="Y54" s="26">
        <f t="shared" si="431"/>
        <v>6.8894000000000002</v>
      </c>
      <c r="Z54" s="26">
        <f t="shared" si="431"/>
        <v>0.72519999999999996</v>
      </c>
      <c r="AA54" s="26">
        <f t="shared" si="431"/>
        <v>0</v>
      </c>
      <c r="AB54" s="26">
        <f t="shared" si="431"/>
        <v>0</v>
      </c>
      <c r="AC54" s="26">
        <f t="shared" si="431"/>
        <v>0.1036</v>
      </c>
      <c r="AD54" s="26">
        <f t="shared" si="431"/>
        <v>3.6779999999999999</v>
      </c>
      <c r="AE54" s="26">
        <f t="shared" si="431"/>
        <v>18.752600000000001</v>
      </c>
      <c r="AF54" s="26">
        <f t="shared" si="431"/>
        <v>34.034399999999998</v>
      </c>
      <c r="AG54" s="26">
        <f t="shared" si="431"/>
        <v>41.753</v>
      </c>
      <c r="AH54" s="26">
        <f t="shared" si="431"/>
        <v>45.534599999999998</v>
      </c>
      <c r="AI54" s="26">
        <f t="shared" si="431"/>
        <v>30.46</v>
      </c>
      <c r="AJ54" s="26">
        <f t="shared" si="431"/>
        <v>17.8719</v>
      </c>
      <c r="AK54" s="26">
        <f t="shared" si="431"/>
        <v>6.8898000000000001</v>
      </c>
      <c r="AL54" s="26">
        <f t="shared" si="431"/>
        <v>0.72519999999999996</v>
      </c>
      <c r="AM54" s="26">
        <f t="shared" si="431"/>
        <v>0</v>
      </c>
      <c r="AN54" s="26">
        <f t="shared" si="431"/>
        <v>0</v>
      </c>
      <c r="AO54" s="26">
        <f t="shared" si="431"/>
        <v>0.1036</v>
      </c>
      <c r="AP54" s="26">
        <f t="shared" si="431"/>
        <v>3.6781999999999999</v>
      </c>
      <c r="AQ54" s="26">
        <f t="shared" si="431"/>
        <v>18.753599999999999</v>
      </c>
      <c r="AR54" s="26">
        <f t="shared" si="431"/>
        <v>34.036200000000001</v>
      </c>
      <c r="AS54" s="26">
        <f t="shared" si="431"/>
        <v>41.755200000000002</v>
      </c>
      <c r="AT54" s="26">
        <f t="shared" si="431"/>
        <v>45.536999999999999</v>
      </c>
      <c r="AU54" s="26">
        <f t="shared" si="431"/>
        <v>30.461600000000001</v>
      </c>
      <c r="AV54" s="26">
        <f t="shared" si="431"/>
        <v>17.872900000000001</v>
      </c>
      <c r="AW54" s="26">
        <f t="shared" si="431"/>
        <v>6.8901000000000003</v>
      </c>
      <c r="AX54" s="26">
        <f t="shared" si="431"/>
        <v>0.72529999999999994</v>
      </c>
      <c r="AY54" s="26">
        <f t="shared" si="431"/>
        <v>0</v>
      </c>
      <c r="AZ54" s="26">
        <f t="shared" si="431"/>
        <v>0</v>
      </c>
      <c r="BA54" s="26">
        <f t="shared" si="431"/>
        <v>0.1036</v>
      </c>
      <c r="BB54" s="26">
        <f t="shared" si="431"/>
        <v>3.6783999999999999</v>
      </c>
      <c r="BC54" s="26">
        <f t="shared" si="431"/>
        <v>18.7546</v>
      </c>
      <c r="BD54" s="26">
        <f t="shared" si="431"/>
        <v>34.037999999999997</v>
      </c>
      <c r="BE54" s="26">
        <f t="shared" si="431"/>
        <v>41.757399999999997</v>
      </c>
      <c r="BF54" s="26">
        <f t="shared" si="431"/>
        <v>45.539400000000001</v>
      </c>
      <c r="BG54" s="26">
        <f t="shared" si="431"/>
        <v>30.463200000000001</v>
      </c>
      <c r="BH54" s="26">
        <f t="shared" si="431"/>
        <v>17.873799999999999</v>
      </c>
      <c r="BI54" s="26">
        <f t="shared" si="431"/>
        <v>6.8905000000000003</v>
      </c>
      <c r="BJ54" s="26">
        <f t="shared" si="431"/>
        <v>0.72529999999999994</v>
      </c>
      <c r="BK54" s="26">
        <f t="shared" si="431"/>
        <v>0</v>
      </c>
      <c r="BL54" s="26">
        <f t="shared" si="431"/>
        <v>0</v>
      </c>
      <c r="BM54" s="26">
        <f t="shared" si="431"/>
        <v>0.1036</v>
      </c>
      <c r="BN54" s="26">
        <f t="shared" si="431"/>
        <v>3.6785999999999999</v>
      </c>
      <c r="BO54" s="26">
        <f t="shared" si="431"/>
        <v>18.755500000000001</v>
      </c>
      <c r="BP54" s="26">
        <f t="shared" ref="BP54:CH54" si="432">ROUND(BP53*BP$14,4)</f>
        <v>34.039700000000003</v>
      </c>
      <c r="BQ54" s="26">
        <f t="shared" si="432"/>
        <v>41.759599999999999</v>
      </c>
      <c r="BR54" s="26">
        <f t="shared" si="432"/>
        <v>45.541699999999999</v>
      </c>
      <c r="BS54" s="26">
        <f t="shared" si="432"/>
        <v>30.4648</v>
      </c>
      <c r="BT54" s="26">
        <f t="shared" si="432"/>
        <v>17.874700000000001</v>
      </c>
      <c r="BU54" s="26">
        <f t="shared" si="432"/>
        <v>6.8907999999999996</v>
      </c>
      <c r="BV54" s="26">
        <f t="shared" si="432"/>
        <v>0.72540000000000004</v>
      </c>
      <c r="BW54" s="26">
        <f t="shared" si="432"/>
        <v>0</v>
      </c>
      <c r="BX54" s="26">
        <f t="shared" si="432"/>
        <v>0</v>
      </c>
      <c r="BY54" s="26">
        <f t="shared" si="432"/>
        <v>0.1036</v>
      </c>
      <c r="BZ54" s="26">
        <f t="shared" si="432"/>
        <v>3.6787999999999998</v>
      </c>
      <c r="CA54" s="26">
        <f t="shared" si="432"/>
        <v>18.756499999999999</v>
      </c>
      <c r="CB54" s="26">
        <f t="shared" si="432"/>
        <v>34.041499999999999</v>
      </c>
      <c r="CC54" s="26">
        <f t="shared" si="432"/>
        <v>41.761699999999998</v>
      </c>
      <c r="CD54" s="26">
        <f t="shared" si="432"/>
        <v>45.5441</v>
      </c>
      <c r="CE54" s="26">
        <f t="shared" si="432"/>
        <v>30.4663</v>
      </c>
      <c r="CF54" s="26">
        <f t="shared" si="432"/>
        <v>17.875699999999998</v>
      </c>
      <c r="CG54" s="26">
        <f t="shared" si="432"/>
        <v>6.8912000000000004</v>
      </c>
      <c r="CH54" s="26">
        <f t="shared" si="432"/>
        <v>0.72540000000000004</v>
      </c>
    </row>
    <row r="55" spans="1:86">
      <c r="A55" s="233">
        <v>43</v>
      </c>
      <c r="B55" s="26" t="s">
        <v>532</v>
      </c>
      <c r="C55" s="354">
        <f>(_xlfn.XLOOKUP($C$102,$C$101:$N$101,C59:N59,"#NA",0,1)+_xlfn.XLOOKUP($D$102,$C$101:$N$101,C59:N59,"#NA",0,1))/(_xlfn.XLOOKUP($C$102,$C$101:$N$101,C57:N57,"#NA",0,1)+_xlfn.XLOOKUP($D$102,$C$101:$N$101,C57:N57,"#NA",0,1))</f>
        <v>8.4150800157489183</v>
      </c>
      <c r="D55" s="482">
        <f t="shared" ref="D55" si="433">C55</f>
        <v>8.4150800157489183</v>
      </c>
      <c r="E55" s="482">
        <f t="shared" ref="E55" si="434">D55</f>
        <v>8.4150800157489183</v>
      </c>
      <c r="F55" s="482">
        <f t="shared" ref="F55" si="435">E55</f>
        <v>8.4150800157489183</v>
      </c>
      <c r="G55" s="482">
        <f t="shared" ref="G55" si="436">F55</f>
        <v>8.4150800157489183</v>
      </c>
      <c r="H55" s="482">
        <f t="shared" ref="H55" si="437">G55</f>
        <v>8.4150800157489183</v>
      </c>
      <c r="I55" s="482">
        <f t="shared" ref="I55" si="438">H55</f>
        <v>8.4150800157489183</v>
      </c>
      <c r="J55" s="482">
        <f t="shared" ref="J55" si="439">I55</f>
        <v>8.4150800157489183</v>
      </c>
      <c r="K55" s="482">
        <f t="shared" ref="K55" si="440">J55</f>
        <v>8.4150800157489183</v>
      </c>
      <c r="L55" s="482">
        <f t="shared" ref="L55" si="441">K55</f>
        <v>8.4150800157489183</v>
      </c>
      <c r="M55" s="482">
        <f t="shared" ref="M55" si="442">L55</f>
        <v>8.4150800157489183</v>
      </c>
      <c r="N55" s="482">
        <f t="shared" ref="N55" si="443">M55</f>
        <v>8.4150800157489183</v>
      </c>
      <c r="O55" s="482">
        <f>C55+O47</f>
        <v>8.4150800157489183</v>
      </c>
      <c r="P55" s="482">
        <f t="shared" ref="P55" si="444">D55+P47</f>
        <v>8.4150800157489183</v>
      </c>
      <c r="Q55" s="482">
        <f t="shared" ref="Q55" si="445">E55+Q47</f>
        <v>8.4150800157489183</v>
      </c>
      <c r="R55" s="482">
        <f t="shared" ref="R55" si="446">F55+R47</f>
        <v>8.4150800157489183</v>
      </c>
      <c r="S55" s="482">
        <f t="shared" ref="S55" si="447">G55+S47</f>
        <v>8.4150800157489183</v>
      </c>
      <c r="T55" s="482">
        <f t="shared" ref="T55" si="448">H55+T47</f>
        <v>8.4150800157489183</v>
      </c>
      <c r="U55" s="482">
        <f t="shared" ref="U55" si="449">I55+U47</f>
        <v>8.4150800157489183</v>
      </c>
      <c r="V55" s="482">
        <f t="shared" ref="V55" si="450">J55+V47</f>
        <v>8.4150800157489183</v>
      </c>
      <c r="W55" s="482">
        <f t="shared" ref="W55" si="451">K55+W47</f>
        <v>8.4150800157489183</v>
      </c>
      <c r="X55" s="482">
        <f t="shared" ref="X55" si="452">L55+X47</f>
        <v>8.4150800157489183</v>
      </c>
      <c r="Y55" s="482">
        <f t="shared" ref="Y55" si="453">M55+Y47</f>
        <v>8.4150800157489183</v>
      </c>
      <c r="Z55" s="482">
        <f t="shared" ref="Z55" si="454">N55+Z47</f>
        <v>8.4150800157489183</v>
      </c>
      <c r="AA55" s="482">
        <f>O55+AA47</f>
        <v>8.4150800157489183</v>
      </c>
      <c r="AB55" s="482">
        <f t="shared" ref="AB55" si="455">P55+AB47</f>
        <v>8.4150800157489183</v>
      </c>
      <c r="AC55" s="482">
        <f t="shared" ref="AC55" si="456">Q55+AC47</f>
        <v>8.4150800157489183</v>
      </c>
      <c r="AD55" s="482">
        <f t="shared" ref="AD55" si="457">R55+AD47</f>
        <v>8.4150800157489183</v>
      </c>
      <c r="AE55" s="482">
        <f t="shared" ref="AE55" si="458">S55+AE47</f>
        <v>8.4150800157489183</v>
      </c>
      <c r="AF55" s="482">
        <f t="shared" ref="AF55" si="459">T55+AF47</f>
        <v>8.4150800157489183</v>
      </c>
      <c r="AG55" s="482">
        <f t="shared" ref="AG55" si="460">U55+AG47</f>
        <v>8.4150800157489183</v>
      </c>
      <c r="AH55" s="482">
        <f t="shared" ref="AH55" si="461">V55+AH47</f>
        <v>8.4150800157489183</v>
      </c>
      <c r="AI55" s="482">
        <f t="shared" ref="AI55" si="462">W55+AI47</f>
        <v>8.4150800157489183</v>
      </c>
      <c r="AJ55" s="482">
        <f t="shared" ref="AJ55" si="463">X55+AJ47</f>
        <v>8.4150800157489183</v>
      </c>
      <c r="AK55" s="482">
        <f t="shared" ref="AK55" si="464">Y55+AK47</f>
        <v>8.4150800157489183</v>
      </c>
      <c r="AL55" s="482">
        <f t="shared" ref="AL55" si="465">Z55+AL47</f>
        <v>8.4150800157489183</v>
      </c>
      <c r="AM55" s="482">
        <f>AA55+AM47</f>
        <v>8.4150800157489183</v>
      </c>
      <c r="AN55" s="482">
        <f t="shared" ref="AN55" si="466">AB55+AN47</f>
        <v>8.4150800157489183</v>
      </c>
      <c r="AO55" s="482">
        <f t="shared" ref="AO55" si="467">AC55+AO47</f>
        <v>8.4150800157489183</v>
      </c>
      <c r="AP55" s="482">
        <f t="shared" ref="AP55" si="468">AD55+AP47</f>
        <v>8.4150800157489183</v>
      </c>
      <c r="AQ55" s="482">
        <f t="shared" ref="AQ55" si="469">AE55+AQ47</f>
        <v>8.4150800157489183</v>
      </c>
      <c r="AR55" s="482">
        <f t="shared" ref="AR55" si="470">AF55+AR47</f>
        <v>8.4150800157489183</v>
      </c>
      <c r="AS55" s="482">
        <f t="shared" ref="AS55" si="471">AG55+AS47</f>
        <v>8.4150800157489183</v>
      </c>
      <c r="AT55" s="482">
        <f t="shared" ref="AT55" si="472">AH55+AT47</f>
        <v>8.4150800157489183</v>
      </c>
      <c r="AU55" s="482">
        <f t="shared" ref="AU55" si="473">AI55+AU47</f>
        <v>8.4150800157489183</v>
      </c>
      <c r="AV55" s="482">
        <f t="shared" ref="AV55" si="474">AJ55+AV47</f>
        <v>8.4150800157489183</v>
      </c>
      <c r="AW55" s="482">
        <f t="shared" ref="AW55" si="475">AK55+AW47</f>
        <v>8.4150800157489183</v>
      </c>
      <c r="AX55" s="482">
        <f t="shared" ref="AX55" si="476">AL55+AX47</f>
        <v>8.4150800157489183</v>
      </c>
      <c r="AY55" s="482">
        <f>AM55+AY47</f>
        <v>8.4150800157489183</v>
      </c>
      <c r="AZ55" s="482">
        <f t="shared" ref="AZ55" si="477">AN55+AZ47</f>
        <v>8.4150800157489183</v>
      </c>
      <c r="BA55" s="482">
        <f t="shared" ref="BA55" si="478">AO55+BA47</f>
        <v>8.4150800157489183</v>
      </c>
      <c r="BB55" s="482">
        <f t="shared" ref="BB55" si="479">AP55+BB47</f>
        <v>8.4150800157489183</v>
      </c>
      <c r="BC55" s="482">
        <f t="shared" ref="BC55" si="480">AQ55+BC47</f>
        <v>8.4150800157489183</v>
      </c>
      <c r="BD55" s="482">
        <f t="shared" ref="BD55" si="481">AR55+BD47</f>
        <v>8.4150800157489183</v>
      </c>
      <c r="BE55" s="482">
        <f t="shared" ref="BE55" si="482">AS55+BE47</f>
        <v>8.4150800157489183</v>
      </c>
      <c r="BF55" s="482">
        <f t="shared" ref="BF55" si="483">AT55+BF47</f>
        <v>8.4150800157489183</v>
      </c>
      <c r="BG55" s="482">
        <f t="shared" ref="BG55" si="484">AU55+BG47</f>
        <v>8.4150800157489183</v>
      </c>
      <c r="BH55" s="482">
        <f t="shared" ref="BH55" si="485">AV55+BH47</f>
        <v>8.4150800157489183</v>
      </c>
      <c r="BI55" s="482">
        <f t="shared" ref="BI55" si="486">AW55+BI47</f>
        <v>8.4150800157489183</v>
      </c>
      <c r="BJ55" s="482">
        <f t="shared" ref="BJ55" si="487">AX55+BJ47</f>
        <v>8.4150800157489183</v>
      </c>
      <c r="BK55" s="482">
        <f>AY55+BK47</f>
        <v>8.4150800157489183</v>
      </c>
      <c r="BL55" s="482">
        <f t="shared" ref="BL55" si="488">AZ55+BL47</f>
        <v>8.4150800157489183</v>
      </c>
      <c r="BM55" s="482">
        <f t="shared" ref="BM55" si="489">BA55+BM47</f>
        <v>8.4150800157489183</v>
      </c>
      <c r="BN55" s="482">
        <f t="shared" ref="BN55" si="490">BB55+BN47</f>
        <v>8.4150800157489183</v>
      </c>
      <c r="BO55" s="482">
        <f t="shared" ref="BO55" si="491">BC55+BO47</f>
        <v>8.4150800157489183</v>
      </c>
      <c r="BP55" s="482">
        <f t="shared" ref="BP55" si="492">BD55+BP47</f>
        <v>8.4150800157489183</v>
      </c>
      <c r="BQ55" s="482">
        <f t="shared" ref="BQ55" si="493">BE55+BQ47</f>
        <v>8.4150800157489183</v>
      </c>
      <c r="BR55" s="482">
        <f t="shared" ref="BR55" si="494">BF55+BR47</f>
        <v>8.4150800157489183</v>
      </c>
      <c r="BS55" s="482">
        <f t="shared" ref="BS55" si="495">BG55+BS47</f>
        <v>8.4150800157489183</v>
      </c>
      <c r="BT55" s="482">
        <f t="shared" ref="BT55" si="496">BH55+BT47</f>
        <v>8.4150800157489183</v>
      </c>
      <c r="BU55" s="482">
        <f t="shared" ref="BU55" si="497">BI55+BU47</f>
        <v>8.4150800157489183</v>
      </c>
      <c r="BV55" s="482">
        <f t="shared" ref="BV55" si="498">BJ55+BV47</f>
        <v>8.4150800157489183</v>
      </c>
      <c r="BW55" s="482">
        <f>BK55+BW47</f>
        <v>8.4150800157489183</v>
      </c>
      <c r="BX55" s="482">
        <f t="shared" ref="BX55" si="499">BL55+BX47</f>
        <v>8.4150800157489183</v>
      </c>
      <c r="BY55" s="482">
        <f t="shared" ref="BY55" si="500">BM55+BY47</f>
        <v>8.4150800157489183</v>
      </c>
      <c r="BZ55" s="482">
        <f t="shared" ref="BZ55" si="501">BN55+BZ47</f>
        <v>8.4150800157489183</v>
      </c>
      <c r="CA55" s="482">
        <f t="shared" ref="CA55" si="502">BO55+CA47</f>
        <v>8.4150800157489183</v>
      </c>
      <c r="CB55" s="482">
        <f t="shared" ref="CB55" si="503">BP55+CB47</f>
        <v>8.4150800157489183</v>
      </c>
      <c r="CC55" s="482">
        <f t="shared" ref="CC55" si="504">BQ55+CC47</f>
        <v>8.4150800157489183</v>
      </c>
      <c r="CD55" s="482">
        <f t="shared" ref="CD55" si="505">BR55+CD47</f>
        <v>8.4150800157489183</v>
      </c>
      <c r="CE55" s="482">
        <f t="shared" ref="CE55" si="506">BS55+CE47</f>
        <v>8.4150800157489183</v>
      </c>
      <c r="CF55" s="482">
        <f t="shared" ref="CF55" si="507">BT55+CF47</f>
        <v>8.4150800157489183</v>
      </c>
      <c r="CG55" s="482">
        <f t="shared" ref="CG55" si="508">BU55+CG47</f>
        <v>8.4150800157489183</v>
      </c>
      <c r="CH55" s="482">
        <f t="shared" ref="CH55" si="509">BV55+CH47</f>
        <v>8.4150800157489183</v>
      </c>
    </row>
    <row r="56" spans="1:86">
      <c r="A56" s="233">
        <v>44</v>
      </c>
      <c r="B56" s="26" t="s">
        <v>545</v>
      </c>
      <c r="C56" s="482">
        <f t="shared" ref="C56:BN56" si="510">C55+C54</f>
        <v>8.4150800157489183</v>
      </c>
      <c r="D56" s="482">
        <f t="shared" si="510"/>
        <v>8.4150800157489183</v>
      </c>
      <c r="E56" s="482">
        <f t="shared" si="510"/>
        <v>8.5186800157489184</v>
      </c>
      <c r="F56" s="482">
        <f t="shared" si="510"/>
        <v>12.092680015748918</v>
      </c>
      <c r="G56" s="482">
        <f t="shared" si="510"/>
        <v>27.165680015748919</v>
      </c>
      <c r="H56" s="482">
        <f t="shared" si="510"/>
        <v>42.445880015748919</v>
      </c>
      <c r="I56" s="482">
        <f t="shared" si="510"/>
        <v>50.163680015748923</v>
      </c>
      <c r="J56" s="482">
        <f t="shared" si="510"/>
        <v>53.944880015748922</v>
      </c>
      <c r="K56" s="482">
        <f t="shared" si="510"/>
        <v>38.871880015748921</v>
      </c>
      <c r="L56" s="482">
        <f t="shared" si="510"/>
        <v>26.285180015748921</v>
      </c>
      <c r="M56" s="482">
        <f t="shared" si="510"/>
        <v>15.304080015748919</v>
      </c>
      <c r="N56" s="482">
        <f t="shared" si="510"/>
        <v>9.1402800157489175</v>
      </c>
      <c r="O56" s="482">
        <f t="shared" si="510"/>
        <v>8.4150800157489183</v>
      </c>
      <c r="P56" s="482">
        <f t="shared" si="510"/>
        <v>8.4150800157489183</v>
      </c>
      <c r="Q56" s="482">
        <f t="shared" si="510"/>
        <v>8.5186800157489184</v>
      </c>
      <c r="R56" s="482">
        <f t="shared" si="510"/>
        <v>12.092880015748918</v>
      </c>
      <c r="S56" s="482">
        <f t="shared" si="510"/>
        <v>27.166680015748916</v>
      </c>
      <c r="T56" s="482">
        <f t="shared" si="510"/>
        <v>42.447680015748922</v>
      </c>
      <c r="U56" s="482">
        <f t="shared" si="510"/>
        <v>50.165880015748918</v>
      </c>
      <c r="V56" s="482">
        <f t="shared" si="510"/>
        <v>53.947280015748923</v>
      </c>
      <c r="W56" s="482">
        <f t="shared" si="510"/>
        <v>38.873480015748918</v>
      </c>
      <c r="X56" s="482">
        <f t="shared" si="510"/>
        <v>26.286080015748915</v>
      </c>
      <c r="Y56" s="482">
        <f t="shared" si="510"/>
        <v>15.304480015748918</v>
      </c>
      <c r="Z56" s="482">
        <f t="shared" si="510"/>
        <v>9.1402800157489175</v>
      </c>
      <c r="AA56" s="482">
        <f t="shared" si="510"/>
        <v>8.4150800157489183</v>
      </c>
      <c r="AB56" s="482">
        <f t="shared" si="510"/>
        <v>8.4150800157489183</v>
      </c>
      <c r="AC56" s="482">
        <f t="shared" si="510"/>
        <v>8.5186800157489184</v>
      </c>
      <c r="AD56" s="482">
        <f t="shared" si="510"/>
        <v>12.093080015748917</v>
      </c>
      <c r="AE56" s="482">
        <f t="shared" si="510"/>
        <v>27.167680015748921</v>
      </c>
      <c r="AF56" s="482">
        <f t="shared" si="510"/>
        <v>42.449480015748918</v>
      </c>
      <c r="AG56" s="482">
        <f t="shared" si="510"/>
        <v>50.16808001574892</v>
      </c>
      <c r="AH56" s="482">
        <f t="shared" si="510"/>
        <v>53.949680015748918</v>
      </c>
      <c r="AI56" s="482">
        <f t="shared" si="510"/>
        <v>38.875080015748921</v>
      </c>
      <c r="AJ56" s="482">
        <f t="shared" si="510"/>
        <v>26.286980015748917</v>
      </c>
      <c r="AK56" s="482">
        <f t="shared" si="510"/>
        <v>15.304880015748918</v>
      </c>
      <c r="AL56" s="482">
        <f t="shared" si="510"/>
        <v>9.1402800157489175</v>
      </c>
      <c r="AM56" s="482">
        <f t="shared" si="510"/>
        <v>8.4150800157489183</v>
      </c>
      <c r="AN56" s="482">
        <f t="shared" si="510"/>
        <v>8.4150800157489183</v>
      </c>
      <c r="AO56" s="482">
        <f t="shared" si="510"/>
        <v>8.5186800157489184</v>
      </c>
      <c r="AP56" s="482">
        <f t="shared" si="510"/>
        <v>12.093280015748919</v>
      </c>
      <c r="AQ56" s="482">
        <f t="shared" si="510"/>
        <v>27.168680015748919</v>
      </c>
      <c r="AR56" s="482">
        <f t="shared" si="510"/>
        <v>42.451280015748921</v>
      </c>
      <c r="AS56" s="482">
        <f t="shared" si="510"/>
        <v>50.170280015748922</v>
      </c>
      <c r="AT56" s="482">
        <f t="shared" si="510"/>
        <v>53.952080015748919</v>
      </c>
      <c r="AU56" s="482">
        <f t="shared" si="510"/>
        <v>38.876680015748917</v>
      </c>
      <c r="AV56" s="482">
        <f t="shared" si="510"/>
        <v>26.287980015748921</v>
      </c>
      <c r="AW56" s="482">
        <f t="shared" si="510"/>
        <v>15.305180015748919</v>
      </c>
      <c r="AX56" s="482">
        <f t="shared" si="510"/>
        <v>9.140380015748919</v>
      </c>
      <c r="AY56" s="482">
        <f t="shared" si="510"/>
        <v>8.4150800157489183</v>
      </c>
      <c r="AZ56" s="482">
        <f t="shared" si="510"/>
        <v>8.4150800157489183</v>
      </c>
      <c r="BA56" s="482">
        <f t="shared" si="510"/>
        <v>8.5186800157489184</v>
      </c>
      <c r="BB56" s="482">
        <f t="shared" si="510"/>
        <v>12.093480015748918</v>
      </c>
      <c r="BC56" s="482">
        <f t="shared" si="510"/>
        <v>27.169680015748916</v>
      </c>
      <c r="BD56" s="482">
        <f t="shared" si="510"/>
        <v>42.453080015748917</v>
      </c>
      <c r="BE56" s="482">
        <f t="shared" si="510"/>
        <v>50.172480015748917</v>
      </c>
      <c r="BF56" s="482">
        <f t="shared" si="510"/>
        <v>53.954480015748921</v>
      </c>
      <c r="BG56" s="482">
        <f t="shared" si="510"/>
        <v>38.878280015748921</v>
      </c>
      <c r="BH56" s="482">
        <f t="shared" si="510"/>
        <v>26.288880015748916</v>
      </c>
      <c r="BI56" s="482">
        <f t="shared" si="510"/>
        <v>15.305580015748919</v>
      </c>
      <c r="BJ56" s="482">
        <f t="shared" si="510"/>
        <v>9.140380015748919</v>
      </c>
      <c r="BK56" s="482">
        <f t="shared" si="510"/>
        <v>8.4150800157489183</v>
      </c>
      <c r="BL56" s="482">
        <f t="shared" si="510"/>
        <v>8.4150800157489183</v>
      </c>
      <c r="BM56" s="482">
        <f t="shared" si="510"/>
        <v>8.5186800157489184</v>
      </c>
      <c r="BN56" s="482">
        <f t="shared" si="510"/>
        <v>12.093680015748918</v>
      </c>
      <c r="BO56" s="482">
        <f t="shared" ref="BO56:CH56" si="511">BO55+BO54</f>
        <v>27.170580015748918</v>
      </c>
      <c r="BP56" s="482">
        <f t="shared" si="511"/>
        <v>42.454780015748923</v>
      </c>
      <c r="BQ56" s="482">
        <f t="shared" si="511"/>
        <v>50.174680015748919</v>
      </c>
      <c r="BR56" s="482">
        <f t="shared" si="511"/>
        <v>53.956780015748919</v>
      </c>
      <c r="BS56" s="482">
        <f t="shared" si="511"/>
        <v>38.879880015748917</v>
      </c>
      <c r="BT56" s="482">
        <f t="shared" si="511"/>
        <v>26.289780015748917</v>
      </c>
      <c r="BU56" s="482">
        <f t="shared" si="511"/>
        <v>15.305880015748919</v>
      </c>
      <c r="BV56" s="482">
        <f t="shared" si="511"/>
        <v>9.1404800157489188</v>
      </c>
      <c r="BW56" s="482">
        <f t="shared" si="511"/>
        <v>8.4150800157489183</v>
      </c>
      <c r="BX56" s="482">
        <f t="shared" si="511"/>
        <v>8.4150800157489183</v>
      </c>
      <c r="BY56" s="482">
        <f t="shared" si="511"/>
        <v>8.5186800157489184</v>
      </c>
      <c r="BZ56" s="482">
        <f t="shared" si="511"/>
        <v>12.093880015748919</v>
      </c>
      <c r="CA56" s="482">
        <f t="shared" si="511"/>
        <v>27.171580015748916</v>
      </c>
      <c r="CB56" s="482">
        <f t="shared" si="511"/>
        <v>42.456580015748919</v>
      </c>
      <c r="CC56" s="482">
        <f t="shared" si="511"/>
        <v>50.176780015748918</v>
      </c>
      <c r="CD56" s="482">
        <f t="shared" si="511"/>
        <v>53.95918001574892</v>
      </c>
      <c r="CE56" s="482">
        <f t="shared" si="511"/>
        <v>38.881380015748917</v>
      </c>
      <c r="CF56" s="482">
        <f t="shared" si="511"/>
        <v>26.290780015748915</v>
      </c>
      <c r="CG56" s="482">
        <f t="shared" si="511"/>
        <v>15.306280015748918</v>
      </c>
      <c r="CH56" s="482">
        <f t="shared" si="511"/>
        <v>9.1404800157489188</v>
      </c>
    </row>
    <row r="57" spans="1:86">
      <c r="A57" s="233">
        <v>45</v>
      </c>
      <c r="B57" s="26" t="s">
        <v>527</v>
      </c>
      <c r="C57" s="483">
        <f>'Bill Frequency'!C$20</f>
        <v>17806</v>
      </c>
      <c r="D57" s="484">
        <f>'Bill Frequency'!D$20</f>
        <v>17752</v>
      </c>
      <c r="E57" s="484">
        <f>'Bill Frequency'!E$20</f>
        <v>17631</v>
      </c>
      <c r="F57" s="484">
        <f>'Bill Frequency'!F$20</f>
        <v>17835</v>
      </c>
      <c r="G57" s="484">
        <f>'Bill Frequency'!G$20</f>
        <v>18260</v>
      </c>
      <c r="H57" s="484">
        <f>'Bill Frequency'!H$20</f>
        <v>18536</v>
      </c>
      <c r="I57" s="484">
        <f>'Bill Frequency'!I$20</f>
        <v>18799</v>
      </c>
      <c r="J57" s="484">
        <f>'Bill Frequency'!J$20</f>
        <v>18781</v>
      </c>
      <c r="K57" s="484">
        <f>'Bill Frequency'!K$20</f>
        <v>18794</v>
      </c>
      <c r="L57" s="484">
        <f>'Bill Frequency'!L$20</f>
        <v>18834</v>
      </c>
      <c r="M57" s="484">
        <f>'Bill Frequency'!M$20</f>
        <v>18536</v>
      </c>
      <c r="N57" s="485">
        <f>'Bill Frequency'!N$20</f>
        <v>18167</v>
      </c>
      <c r="O57" s="100">
        <f>C57+O46</f>
        <v>17856</v>
      </c>
      <c r="P57" s="100">
        <f t="shared" ref="P57" si="512">D57+P46</f>
        <v>17802</v>
      </c>
      <c r="Q57" s="100">
        <f t="shared" ref="Q57" si="513">E57+Q46</f>
        <v>17681</v>
      </c>
      <c r="R57" s="100">
        <f t="shared" ref="R57" si="514">F57+R46</f>
        <v>17885</v>
      </c>
      <c r="S57" s="100">
        <f t="shared" ref="S57" si="515">G57+S46</f>
        <v>18310</v>
      </c>
      <c r="T57" s="100">
        <f t="shared" ref="T57" si="516">H57+T46</f>
        <v>18586</v>
      </c>
      <c r="U57" s="100">
        <f t="shared" ref="U57" si="517">I57+U46</f>
        <v>18849</v>
      </c>
      <c r="V57" s="100">
        <f t="shared" ref="V57" si="518">J57+V46</f>
        <v>18831</v>
      </c>
      <c r="W57" s="100">
        <f t="shared" ref="W57" si="519">K57+W46</f>
        <v>18844</v>
      </c>
      <c r="X57" s="100">
        <f t="shared" ref="X57" si="520">L57+X46</f>
        <v>18884</v>
      </c>
      <c r="Y57" s="100">
        <f t="shared" ref="Y57" si="521">M57+Y46</f>
        <v>18586</v>
      </c>
      <c r="Z57" s="100">
        <f t="shared" ref="Z57" si="522">N57+Z46</f>
        <v>18217</v>
      </c>
      <c r="AA57" s="100">
        <f>O57+AA46</f>
        <v>17906</v>
      </c>
      <c r="AB57" s="100">
        <f t="shared" ref="AB57" si="523">P57+AB46</f>
        <v>17852</v>
      </c>
      <c r="AC57" s="100">
        <f t="shared" ref="AC57" si="524">Q57+AC46</f>
        <v>17731</v>
      </c>
      <c r="AD57" s="100">
        <f t="shared" ref="AD57" si="525">R57+AD46</f>
        <v>17935</v>
      </c>
      <c r="AE57" s="100">
        <f t="shared" ref="AE57" si="526">S57+AE46</f>
        <v>18360</v>
      </c>
      <c r="AF57" s="100">
        <f t="shared" ref="AF57" si="527">T57+AF46</f>
        <v>18636</v>
      </c>
      <c r="AG57" s="100">
        <f t="shared" ref="AG57" si="528">U57+AG46</f>
        <v>18899</v>
      </c>
      <c r="AH57" s="100">
        <f t="shared" ref="AH57" si="529">V57+AH46</f>
        <v>18881</v>
      </c>
      <c r="AI57" s="100">
        <f t="shared" ref="AI57" si="530">W57+AI46</f>
        <v>18894</v>
      </c>
      <c r="AJ57" s="100">
        <f t="shared" ref="AJ57" si="531">X57+AJ46</f>
        <v>18934</v>
      </c>
      <c r="AK57" s="100">
        <f t="shared" ref="AK57" si="532">Y57+AK46</f>
        <v>18636</v>
      </c>
      <c r="AL57" s="100">
        <f t="shared" ref="AL57" si="533">Z57+AL46</f>
        <v>18267</v>
      </c>
      <c r="AM57" s="100">
        <f>AA57+AM46</f>
        <v>17956</v>
      </c>
      <c r="AN57" s="100">
        <f t="shared" ref="AN57" si="534">AB57+AN46</f>
        <v>17902</v>
      </c>
      <c r="AO57" s="100">
        <f t="shared" ref="AO57" si="535">AC57+AO46</f>
        <v>17781</v>
      </c>
      <c r="AP57" s="100">
        <f t="shared" ref="AP57" si="536">AD57+AP46</f>
        <v>17985</v>
      </c>
      <c r="AQ57" s="100">
        <f t="shared" ref="AQ57" si="537">AE57+AQ46</f>
        <v>18410</v>
      </c>
      <c r="AR57" s="100">
        <f t="shared" ref="AR57" si="538">AF57+AR46</f>
        <v>18686</v>
      </c>
      <c r="AS57" s="100">
        <f t="shared" ref="AS57" si="539">AG57+AS46</f>
        <v>18949</v>
      </c>
      <c r="AT57" s="100">
        <f t="shared" ref="AT57" si="540">AH57+AT46</f>
        <v>18931</v>
      </c>
      <c r="AU57" s="100">
        <f t="shared" ref="AU57" si="541">AI57+AU46</f>
        <v>18944</v>
      </c>
      <c r="AV57" s="100">
        <f t="shared" ref="AV57" si="542">AJ57+AV46</f>
        <v>18984</v>
      </c>
      <c r="AW57" s="100">
        <f t="shared" ref="AW57" si="543">AK57+AW46</f>
        <v>18686</v>
      </c>
      <c r="AX57" s="100">
        <f t="shared" ref="AX57" si="544">AL57+AX46</f>
        <v>18317</v>
      </c>
      <c r="AY57" s="100">
        <f>AM57+AY46</f>
        <v>18006</v>
      </c>
      <c r="AZ57" s="100">
        <f t="shared" ref="AZ57" si="545">AN57+AZ46</f>
        <v>17952</v>
      </c>
      <c r="BA57" s="100">
        <f t="shared" ref="BA57" si="546">AO57+BA46</f>
        <v>17831</v>
      </c>
      <c r="BB57" s="100">
        <f t="shared" ref="BB57" si="547">AP57+BB46</f>
        <v>18035</v>
      </c>
      <c r="BC57" s="100">
        <f t="shared" ref="BC57" si="548">AQ57+BC46</f>
        <v>18460</v>
      </c>
      <c r="BD57" s="100">
        <f t="shared" ref="BD57" si="549">AR57+BD46</f>
        <v>18736</v>
      </c>
      <c r="BE57" s="100">
        <f t="shared" ref="BE57" si="550">AS57+BE46</f>
        <v>18999</v>
      </c>
      <c r="BF57" s="100">
        <f t="shared" ref="BF57" si="551">AT57+BF46</f>
        <v>18981</v>
      </c>
      <c r="BG57" s="100">
        <f t="shared" ref="BG57" si="552">AU57+BG46</f>
        <v>18994</v>
      </c>
      <c r="BH57" s="100">
        <f t="shared" ref="BH57" si="553">AV57+BH46</f>
        <v>19034</v>
      </c>
      <c r="BI57" s="100">
        <f t="shared" ref="BI57" si="554">AW57+BI46</f>
        <v>18736</v>
      </c>
      <c r="BJ57" s="100">
        <f t="shared" ref="BJ57" si="555">AX57+BJ46</f>
        <v>18367</v>
      </c>
      <c r="BK57" s="100">
        <f>AY57+BK46</f>
        <v>18056</v>
      </c>
      <c r="BL57" s="100">
        <f t="shared" ref="BL57" si="556">AZ57+BL46</f>
        <v>18002</v>
      </c>
      <c r="BM57" s="100">
        <f t="shared" ref="BM57" si="557">BA57+BM46</f>
        <v>17881</v>
      </c>
      <c r="BN57" s="100">
        <f t="shared" ref="BN57" si="558">BB57+BN46</f>
        <v>18085</v>
      </c>
      <c r="BO57" s="100">
        <f t="shared" ref="BO57" si="559">BC57+BO46</f>
        <v>18510</v>
      </c>
      <c r="BP57" s="100">
        <f t="shared" ref="BP57" si="560">BD57+BP46</f>
        <v>18786</v>
      </c>
      <c r="BQ57" s="100">
        <f t="shared" ref="BQ57" si="561">BE57+BQ46</f>
        <v>19049</v>
      </c>
      <c r="BR57" s="100">
        <f t="shared" ref="BR57" si="562">BF57+BR46</f>
        <v>19031</v>
      </c>
      <c r="BS57" s="100">
        <f t="shared" ref="BS57" si="563">BG57+BS46</f>
        <v>19044</v>
      </c>
      <c r="BT57" s="100">
        <f t="shared" ref="BT57" si="564">BH57+BT46</f>
        <v>19084</v>
      </c>
      <c r="BU57" s="100">
        <f t="shared" ref="BU57" si="565">BI57+BU46</f>
        <v>18786</v>
      </c>
      <c r="BV57" s="100">
        <f t="shared" ref="BV57" si="566">BJ57+BV46</f>
        <v>18417</v>
      </c>
      <c r="BW57" s="100">
        <f>BK57+BW46</f>
        <v>18106</v>
      </c>
      <c r="BX57" s="100">
        <f t="shared" ref="BX57" si="567">BL57+BX46</f>
        <v>18052</v>
      </c>
      <c r="BY57" s="100">
        <f t="shared" ref="BY57" si="568">BM57+BY46</f>
        <v>17931</v>
      </c>
      <c r="BZ57" s="100">
        <f t="shared" ref="BZ57" si="569">BN57+BZ46</f>
        <v>18135</v>
      </c>
      <c r="CA57" s="100">
        <f t="shared" ref="CA57" si="570">BO57+CA46</f>
        <v>18560</v>
      </c>
      <c r="CB57" s="100">
        <f t="shared" ref="CB57" si="571">BP57+CB46</f>
        <v>18836</v>
      </c>
      <c r="CC57" s="100">
        <f t="shared" ref="CC57" si="572">BQ57+CC46</f>
        <v>19099</v>
      </c>
      <c r="CD57" s="100">
        <f t="shared" ref="CD57" si="573">BR57+CD46</f>
        <v>19081</v>
      </c>
      <c r="CE57" s="100">
        <f t="shared" ref="CE57" si="574">BS57+CE46</f>
        <v>19094</v>
      </c>
      <c r="CF57" s="100">
        <f t="shared" ref="CF57" si="575">BT57+CF46</f>
        <v>19134</v>
      </c>
      <c r="CG57" s="100">
        <f t="shared" ref="CG57" si="576">BU57+CG46</f>
        <v>18836</v>
      </c>
      <c r="CH57" s="100">
        <f t="shared" ref="CH57" si="577">BV57+CH46</f>
        <v>18467</v>
      </c>
    </row>
    <row r="58" spans="1:86">
      <c r="A58" s="233">
        <v>46</v>
      </c>
      <c r="B58" s="26" t="s">
        <v>528</v>
      </c>
      <c r="C58" s="28">
        <f t="shared" ref="C58:N58" si="578">C57*C56</f>
        <v>149838.91476042525</v>
      </c>
      <c r="D58" s="28">
        <f t="shared" si="578"/>
        <v>149384.5004395748</v>
      </c>
      <c r="E58" s="28">
        <f t="shared" si="578"/>
        <v>150192.84735766918</v>
      </c>
      <c r="F58" s="28">
        <f t="shared" si="578"/>
        <v>215672.94808088196</v>
      </c>
      <c r="G58" s="28">
        <f t="shared" si="578"/>
        <v>496045.31708757527</v>
      </c>
      <c r="H58" s="28">
        <f t="shared" si="578"/>
        <v>786776.83197192196</v>
      </c>
      <c r="I58" s="28">
        <f t="shared" si="578"/>
        <v>943027.02061606396</v>
      </c>
      <c r="J58" s="28">
        <f t="shared" si="578"/>
        <v>1013138.7915757805</v>
      </c>
      <c r="K58" s="28">
        <f t="shared" si="578"/>
        <v>730558.11301598523</v>
      </c>
      <c r="L58" s="28">
        <f t="shared" si="578"/>
        <v>495055.08041661518</v>
      </c>
      <c r="M58" s="28">
        <f t="shared" si="578"/>
        <v>283676.427171922</v>
      </c>
      <c r="N58" s="28">
        <f t="shared" si="578"/>
        <v>166051.46704611057</v>
      </c>
      <c r="O58" s="81">
        <f>O57*O56</f>
        <v>150259.6687612127</v>
      </c>
      <c r="P58" s="81">
        <f t="shared" ref="P58:Z58" si="579">P57*P56</f>
        <v>149805.25444036225</v>
      </c>
      <c r="Q58" s="81">
        <f t="shared" si="579"/>
        <v>150618.78135845662</v>
      </c>
      <c r="R58" s="81">
        <f t="shared" si="579"/>
        <v>216281.15908166941</v>
      </c>
      <c r="S58" s="81">
        <f t="shared" si="579"/>
        <v>497421.91108836269</v>
      </c>
      <c r="T58" s="81">
        <f t="shared" si="579"/>
        <v>788932.58077270945</v>
      </c>
      <c r="U58" s="81">
        <f t="shared" si="579"/>
        <v>945576.67241685139</v>
      </c>
      <c r="V58" s="81">
        <f t="shared" si="579"/>
        <v>1015881.229976568</v>
      </c>
      <c r="W58" s="81">
        <f t="shared" si="579"/>
        <v>732531.85741677263</v>
      </c>
      <c r="X58" s="81">
        <f t="shared" si="579"/>
        <v>496386.33501740254</v>
      </c>
      <c r="Y58" s="81">
        <f t="shared" si="579"/>
        <v>284449.06557270943</v>
      </c>
      <c r="Z58" s="81">
        <f t="shared" si="579"/>
        <v>166508.48104689803</v>
      </c>
      <c r="AA58" s="81">
        <f>AA57*AA56</f>
        <v>150680.42276200012</v>
      </c>
      <c r="AB58" s="81">
        <f t="shared" ref="AB58:AL58" si="580">AB57*AB56</f>
        <v>150226.00844114969</v>
      </c>
      <c r="AC58" s="81">
        <f t="shared" si="580"/>
        <v>151044.71535924406</v>
      </c>
      <c r="AD58" s="81">
        <f t="shared" si="580"/>
        <v>216889.39008245684</v>
      </c>
      <c r="AE58" s="81">
        <f t="shared" si="580"/>
        <v>498798.60508915019</v>
      </c>
      <c r="AF58" s="81">
        <f t="shared" si="580"/>
        <v>791088.50957349688</v>
      </c>
      <c r="AG58" s="81">
        <f t="shared" si="580"/>
        <v>948126.54421763879</v>
      </c>
      <c r="AH58" s="81">
        <f t="shared" si="580"/>
        <v>1018623.9083773553</v>
      </c>
      <c r="AI58" s="81">
        <f t="shared" si="580"/>
        <v>734505.76181756007</v>
      </c>
      <c r="AJ58" s="81">
        <f t="shared" si="580"/>
        <v>497717.67961818998</v>
      </c>
      <c r="AK58" s="81">
        <f t="shared" si="580"/>
        <v>285221.74397349684</v>
      </c>
      <c r="AL58" s="81">
        <f t="shared" si="580"/>
        <v>166965.49504768549</v>
      </c>
      <c r="AM58" s="81">
        <f>AM57*AM56</f>
        <v>151101.17676278757</v>
      </c>
      <c r="AN58" s="81">
        <f t="shared" ref="AN58:AX58" si="581">AN57*AN56</f>
        <v>150646.76244193714</v>
      </c>
      <c r="AO58" s="81">
        <f t="shared" si="581"/>
        <v>151470.64936003153</v>
      </c>
      <c r="AP58" s="81">
        <f t="shared" si="581"/>
        <v>217497.64108324429</v>
      </c>
      <c r="AQ58" s="81">
        <f t="shared" si="581"/>
        <v>500175.39908993762</v>
      </c>
      <c r="AR58" s="81">
        <f t="shared" si="581"/>
        <v>793244.61837428436</v>
      </c>
      <c r="AS58" s="81">
        <f t="shared" si="581"/>
        <v>950676.63601842627</v>
      </c>
      <c r="AT58" s="81">
        <f t="shared" si="581"/>
        <v>1021366.8267781428</v>
      </c>
      <c r="AU58" s="81">
        <f t="shared" si="581"/>
        <v>736479.82621834753</v>
      </c>
      <c r="AV58" s="81">
        <f t="shared" si="581"/>
        <v>499051.01261897752</v>
      </c>
      <c r="AW58" s="81">
        <f t="shared" si="581"/>
        <v>285992.59377428429</v>
      </c>
      <c r="AX58" s="81">
        <f t="shared" si="581"/>
        <v>167424.34074847295</v>
      </c>
      <c r="AY58" s="81">
        <f>AY57*AY56</f>
        <v>151521.93076357502</v>
      </c>
      <c r="AZ58" s="81">
        <f t="shared" ref="AZ58:BJ58" si="582">AZ57*AZ56</f>
        <v>151067.51644272459</v>
      </c>
      <c r="BA58" s="81">
        <f t="shared" si="582"/>
        <v>151896.58336081897</v>
      </c>
      <c r="BB58" s="81">
        <f t="shared" si="582"/>
        <v>218105.91208403173</v>
      </c>
      <c r="BC58" s="81">
        <f t="shared" si="582"/>
        <v>501552.29309072503</v>
      </c>
      <c r="BD58" s="81">
        <f t="shared" si="582"/>
        <v>795400.90717507165</v>
      </c>
      <c r="BE58" s="81">
        <f t="shared" si="582"/>
        <v>953226.94781921373</v>
      </c>
      <c r="BF58" s="81">
        <f t="shared" si="582"/>
        <v>1024109.9851789302</v>
      </c>
      <c r="BG58" s="81">
        <f t="shared" si="582"/>
        <v>738454.05061913503</v>
      </c>
      <c r="BH58" s="81">
        <f t="shared" si="582"/>
        <v>500382.54221976484</v>
      </c>
      <c r="BI58" s="81">
        <f t="shared" si="582"/>
        <v>286765.34717507177</v>
      </c>
      <c r="BJ58" s="81">
        <f t="shared" si="582"/>
        <v>167881.35974926039</v>
      </c>
      <c r="BK58" s="81">
        <f>BK57*BK56</f>
        <v>151942.68476436246</v>
      </c>
      <c r="BL58" s="81">
        <f t="shared" ref="BL58:BV58" si="583">BL57*BL56</f>
        <v>151488.27044351204</v>
      </c>
      <c r="BM58" s="81">
        <f t="shared" si="583"/>
        <v>152322.51736160641</v>
      </c>
      <c r="BN58" s="81">
        <f t="shared" si="583"/>
        <v>218714.20308481916</v>
      </c>
      <c r="BO58" s="81">
        <f t="shared" si="583"/>
        <v>502927.43609151244</v>
      </c>
      <c r="BP58" s="81">
        <f t="shared" si="583"/>
        <v>797555.4973758593</v>
      </c>
      <c r="BQ58" s="81">
        <f t="shared" si="583"/>
        <v>955777.47962000116</v>
      </c>
      <c r="BR58" s="81">
        <f t="shared" si="583"/>
        <v>1026851.4804797177</v>
      </c>
      <c r="BS58" s="81">
        <f t="shared" si="583"/>
        <v>740428.43501992233</v>
      </c>
      <c r="BT58" s="81">
        <f t="shared" si="583"/>
        <v>501714.16182055231</v>
      </c>
      <c r="BU58" s="81">
        <f t="shared" si="583"/>
        <v>287536.26197585918</v>
      </c>
      <c r="BV58" s="81">
        <f t="shared" si="583"/>
        <v>168340.22045004784</v>
      </c>
      <c r="BW58" s="81">
        <f>BW57*BW56</f>
        <v>152363.43876514991</v>
      </c>
      <c r="BX58" s="81">
        <f t="shared" ref="BX58:CH58" si="584">BX57*BX56</f>
        <v>151909.02444429946</v>
      </c>
      <c r="BY58" s="81">
        <f t="shared" si="584"/>
        <v>152748.45136239385</v>
      </c>
      <c r="BZ58" s="81">
        <f t="shared" si="584"/>
        <v>219322.51408560664</v>
      </c>
      <c r="CA58" s="81">
        <f t="shared" si="584"/>
        <v>504304.52509229985</v>
      </c>
      <c r="CB58" s="81">
        <f t="shared" si="584"/>
        <v>799712.14117664669</v>
      </c>
      <c r="CC58" s="81">
        <f t="shared" si="584"/>
        <v>958326.3215207886</v>
      </c>
      <c r="CD58" s="81">
        <f t="shared" si="584"/>
        <v>1029595.1138805052</v>
      </c>
      <c r="CE58" s="81">
        <f t="shared" si="584"/>
        <v>742401.07002070977</v>
      </c>
      <c r="CF58" s="81">
        <f t="shared" si="584"/>
        <v>503047.78482133971</v>
      </c>
      <c r="CG58" s="81">
        <f t="shared" si="584"/>
        <v>288309.09037664661</v>
      </c>
      <c r="CH58" s="81">
        <f t="shared" si="584"/>
        <v>168797.24445083528</v>
      </c>
    </row>
    <row r="59" spans="1:86">
      <c r="A59" s="233">
        <v>47</v>
      </c>
      <c r="B59" s="26" t="s">
        <v>529</v>
      </c>
      <c r="C59" s="486">
        <f>'Bill Frequency'!C$24+'Contract &amp; Vol Adj'!C24</f>
        <v>161428.85140000001</v>
      </c>
      <c r="D59" s="309">
        <f>'Bill Frequency'!D$24+'Contract &amp; Vol Adj'!D24</f>
        <v>137794.5638</v>
      </c>
      <c r="E59" s="309">
        <f>'Bill Frequency'!E$24+'Contract &amp; Vol Adj'!E24</f>
        <v>200242.5085</v>
      </c>
      <c r="F59" s="309">
        <f>'Bill Frequency'!F$24+'Contract &amp; Vol Adj'!F24</f>
        <v>252358.40150000001</v>
      </c>
      <c r="G59" s="309">
        <f>'Bill Frequency'!G$24+'Contract &amp; Vol Adj'!G24</f>
        <v>342336.42139999999</v>
      </c>
      <c r="H59" s="309">
        <f>'Bill Frequency'!H$24+'Contract &amp; Vol Adj'!H24</f>
        <v>612055.61010000005</v>
      </c>
      <c r="I59" s="309">
        <f>'Bill Frequency'!I$24+'Contract &amp; Vol Adj'!I24</f>
        <v>1019941.7302</v>
      </c>
      <c r="J59" s="309">
        <f>'Bill Frequency'!J$24+'Contract &amp; Vol Adj'!J24</f>
        <v>909140.90360000008</v>
      </c>
      <c r="K59" s="309">
        <f>'Bill Frequency'!K$24+'Contract &amp; Vol Adj'!K24</f>
        <v>540430.07220000005</v>
      </c>
      <c r="L59" s="309">
        <f>'Bill Frequency'!L$24+'Contract &amp; Vol Adj'!L24</f>
        <v>403774.88299999997</v>
      </c>
      <c r="M59" s="309">
        <f>'Bill Frequency'!M$24+'Contract &amp; Vol Adj'!M24</f>
        <v>214152.83119999999</v>
      </c>
      <c r="N59" s="487">
        <f>'Bill Frequency'!N$24+'Contract &amp; Vol Adj'!N24</f>
        <v>169081.74960000001</v>
      </c>
      <c r="O59" s="228" t="s">
        <v>539</v>
      </c>
      <c r="P59" s="228" t="s">
        <v>539</v>
      </c>
      <c r="Q59" s="228" t="s">
        <v>539</v>
      </c>
      <c r="R59" s="228" t="s">
        <v>539</v>
      </c>
      <c r="S59" s="228" t="s">
        <v>539</v>
      </c>
      <c r="T59" s="228" t="s">
        <v>539</v>
      </c>
      <c r="U59" s="228" t="s">
        <v>539</v>
      </c>
      <c r="V59" s="228" t="s">
        <v>539</v>
      </c>
      <c r="W59" s="228" t="s">
        <v>539</v>
      </c>
      <c r="X59" s="228" t="s">
        <v>539</v>
      </c>
      <c r="Y59" s="228" t="s">
        <v>539</v>
      </c>
      <c r="Z59" s="228" t="s">
        <v>539</v>
      </c>
      <c r="AA59" s="228" t="s">
        <v>539</v>
      </c>
      <c r="AB59" s="228" t="s">
        <v>539</v>
      </c>
      <c r="AC59" s="228" t="s">
        <v>539</v>
      </c>
      <c r="AD59" s="228" t="s">
        <v>539</v>
      </c>
      <c r="AE59" s="228" t="s">
        <v>539</v>
      </c>
      <c r="AF59" s="228" t="s">
        <v>539</v>
      </c>
      <c r="AG59" s="228" t="s">
        <v>539</v>
      </c>
      <c r="AH59" s="228" t="s">
        <v>539</v>
      </c>
      <c r="AI59" s="228" t="s">
        <v>539</v>
      </c>
      <c r="AJ59" s="228" t="s">
        <v>539</v>
      </c>
      <c r="AK59" s="228" t="s">
        <v>539</v>
      </c>
      <c r="AL59" s="228" t="s">
        <v>539</v>
      </c>
      <c r="AM59" s="228" t="s">
        <v>539</v>
      </c>
      <c r="AN59" s="228" t="s">
        <v>539</v>
      </c>
      <c r="AO59" s="228" t="s">
        <v>539</v>
      </c>
      <c r="AP59" s="228" t="s">
        <v>539</v>
      </c>
      <c r="AQ59" s="228" t="s">
        <v>539</v>
      </c>
      <c r="AR59" s="228" t="s">
        <v>539</v>
      </c>
      <c r="AS59" s="228" t="s">
        <v>539</v>
      </c>
      <c r="AT59" s="228" t="s">
        <v>539</v>
      </c>
      <c r="AU59" s="228" t="s">
        <v>539</v>
      </c>
      <c r="AV59" s="228" t="s">
        <v>539</v>
      </c>
      <c r="AW59" s="228" t="s">
        <v>539</v>
      </c>
      <c r="AX59" s="228" t="s">
        <v>539</v>
      </c>
      <c r="AY59" s="228" t="s">
        <v>539</v>
      </c>
      <c r="AZ59" s="228" t="s">
        <v>539</v>
      </c>
      <c r="BA59" s="228" t="s">
        <v>539</v>
      </c>
      <c r="BB59" s="228" t="s">
        <v>539</v>
      </c>
      <c r="BC59" s="228" t="s">
        <v>539</v>
      </c>
      <c r="BD59" s="228" t="s">
        <v>539</v>
      </c>
      <c r="BE59" s="228" t="s">
        <v>539</v>
      </c>
      <c r="BF59" s="228" t="s">
        <v>539</v>
      </c>
      <c r="BG59" s="228" t="s">
        <v>539</v>
      </c>
      <c r="BH59" s="228" t="s">
        <v>539</v>
      </c>
      <c r="BI59" s="228" t="s">
        <v>539</v>
      </c>
      <c r="BJ59" s="228" t="s">
        <v>539</v>
      </c>
      <c r="BK59" s="228" t="s">
        <v>539</v>
      </c>
      <c r="BL59" s="228" t="s">
        <v>539</v>
      </c>
      <c r="BM59" s="228" t="s">
        <v>539</v>
      </c>
      <c r="BN59" s="228" t="s">
        <v>539</v>
      </c>
      <c r="BO59" s="228" t="s">
        <v>539</v>
      </c>
      <c r="BP59" s="228" t="s">
        <v>539</v>
      </c>
      <c r="BQ59" s="228" t="s">
        <v>539</v>
      </c>
      <c r="BR59" s="228" t="s">
        <v>539</v>
      </c>
      <c r="BS59" s="228" t="s">
        <v>539</v>
      </c>
      <c r="BT59" s="228" t="s">
        <v>539</v>
      </c>
      <c r="BU59" s="228" t="s">
        <v>539</v>
      </c>
      <c r="BV59" s="228" t="s">
        <v>539</v>
      </c>
      <c r="BW59" s="228" t="s">
        <v>539</v>
      </c>
      <c r="BX59" s="228" t="s">
        <v>539</v>
      </c>
      <c r="BY59" s="228" t="s">
        <v>539</v>
      </c>
      <c r="BZ59" s="228" t="s">
        <v>539</v>
      </c>
      <c r="CA59" s="228" t="s">
        <v>539</v>
      </c>
      <c r="CB59" s="228" t="s">
        <v>539</v>
      </c>
      <c r="CC59" s="228" t="s">
        <v>539</v>
      </c>
      <c r="CD59" s="228" t="s">
        <v>539</v>
      </c>
      <c r="CE59" s="228" t="s">
        <v>539</v>
      </c>
      <c r="CF59" s="228" t="s">
        <v>539</v>
      </c>
      <c r="CG59" s="228" t="s">
        <v>539</v>
      </c>
      <c r="CH59" s="228" t="s">
        <v>539</v>
      </c>
    </row>
    <row r="60" spans="1:86">
      <c r="A60" s="233">
        <v>48</v>
      </c>
      <c r="B60" s="26" t="s">
        <v>544</v>
      </c>
      <c r="C60" s="29">
        <f>C57*(C53*C$15+C55)</f>
        <v>149838.91476042525</v>
      </c>
      <c r="D60" s="29">
        <f t="shared" ref="D60:BO60" si="585">D57*(D53*D$15+D55)</f>
        <v>149384.5004395748</v>
      </c>
      <c r="E60" s="29">
        <f t="shared" si="585"/>
        <v>162978.08258094679</v>
      </c>
      <c r="F60" s="29">
        <f t="shared" si="585"/>
        <v>339462.88945006509</v>
      </c>
      <c r="G60" s="29">
        <f t="shared" si="585"/>
        <v>636972.57295533782</v>
      </c>
      <c r="H60" s="29">
        <f t="shared" si="585"/>
        <v>922153.26951666549</v>
      </c>
      <c r="I60" s="29">
        <f t="shared" si="585"/>
        <v>974186.82508799119</v>
      </c>
      <c r="J60" s="29">
        <f t="shared" si="585"/>
        <v>866245.51498143876</v>
      </c>
      <c r="K60" s="29">
        <f t="shared" si="585"/>
        <v>627369.49105947558</v>
      </c>
      <c r="L60" s="29">
        <f t="shared" si="585"/>
        <v>373110.63020402082</v>
      </c>
      <c r="M60" s="29">
        <f t="shared" si="585"/>
        <v>212628.67684903956</v>
      </c>
      <c r="N60" s="29">
        <f t="shared" si="585"/>
        <v>152876.7586461106</v>
      </c>
      <c r="O60" s="29">
        <f t="shared" si="585"/>
        <v>150259.6687612127</v>
      </c>
      <c r="P60" s="29">
        <f t="shared" si="585"/>
        <v>149805.25444036225</v>
      </c>
      <c r="Q60" s="29">
        <f t="shared" si="585"/>
        <v>163441.04446385422</v>
      </c>
      <c r="R60" s="29">
        <f t="shared" si="585"/>
        <v>340424.54577624757</v>
      </c>
      <c r="S60" s="29">
        <f t="shared" si="585"/>
        <v>638742.21610686125</v>
      </c>
      <c r="T60" s="29">
        <f t="shared" si="585"/>
        <v>924681.1074686019</v>
      </c>
      <c r="U60" s="29">
        <f t="shared" si="585"/>
        <v>976820.88120448287</v>
      </c>
      <c r="V60" s="29">
        <f t="shared" si="585"/>
        <v>868589.00651097612</v>
      </c>
      <c r="W60" s="29">
        <f t="shared" si="585"/>
        <v>629063.28339247161</v>
      </c>
      <c r="X60" s="29">
        <f t="shared" si="585"/>
        <v>374112.46299919172</v>
      </c>
      <c r="Y60" s="29">
        <f t="shared" si="585"/>
        <v>213205.21775849591</v>
      </c>
      <c r="Z60" s="29">
        <f t="shared" si="585"/>
        <v>153297.51264689805</v>
      </c>
      <c r="AA60" s="29">
        <f t="shared" si="585"/>
        <v>150680.42276200012</v>
      </c>
      <c r="AB60" s="29">
        <f t="shared" si="585"/>
        <v>150226.00844114969</v>
      </c>
      <c r="AC60" s="29">
        <f t="shared" si="585"/>
        <v>163904.0066643139</v>
      </c>
      <c r="AD60" s="29">
        <f t="shared" si="585"/>
        <v>341386.20557586383</v>
      </c>
      <c r="AE60" s="29">
        <f t="shared" si="585"/>
        <v>640511.86482560344</v>
      </c>
      <c r="AF60" s="29">
        <f t="shared" si="585"/>
        <v>927208.95097986422</v>
      </c>
      <c r="AG60" s="29">
        <f t="shared" si="585"/>
        <v>979454.9400221986</v>
      </c>
      <c r="AH60" s="29">
        <f t="shared" si="585"/>
        <v>870932.50057366467</v>
      </c>
      <c r="AI60" s="29">
        <f t="shared" si="585"/>
        <v>630757.07731345575</v>
      </c>
      <c r="AJ60" s="29">
        <f t="shared" si="585"/>
        <v>375114.2963939241</v>
      </c>
      <c r="AK60" s="29">
        <f t="shared" si="585"/>
        <v>213781.75907898013</v>
      </c>
      <c r="AL60" s="29">
        <f t="shared" si="585"/>
        <v>153718.26664768549</v>
      </c>
      <c r="AM60" s="29">
        <f t="shared" si="585"/>
        <v>151101.17676278757</v>
      </c>
      <c r="AN60" s="29">
        <f t="shared" si="585"/>
        <v>150646.76244193714</v>
      </c>
      <c r="AO60" s="29">
        <f t="shared" si="585"/>
        <v>164366.97323040877</v>
      </c>
      <c r="AP60" s="29">
        <f t="shared" si="585"/>
        <v>342347.92131505336</v>
      </c>
      <c r="AQ60" s="29">
        <f t="shared" si="585"/>
        <v>642281.65300926485</v>
      </c>
      <c r="AR60" s="29">
        <f t="shared" si="585"/>
        <v>929737.01231131575</v>
      </c>
      <c r="AS60" s="29">
        <f t="shared" si="585"/>
        <v>982089.22760408372</v>
      </c>
      <c r="AT60" s="29">
        <f t="shared" si="585"/>
        <v>873276.19337028649</v>
      </c>
      <c r="AU60" s="29">
        <f t="shared" si="585"/>
        <v>632451.00281450443</v>
      </c>
      <c r="AV60" s="29">
        <f t="shared" si="585"/>
        <v>376116.18984697253</v>
      </c>
      <c r="AW60" s="29">
        <f t="shared" si="585"/>
        <v>214358.31650396457</v>
      </c>
      <c r="AX60" s="29">
        <f t="shared" si="585"/>
        <v>154139.02064847294</v>
      </c>
      <c r="AY60" s="29">
        <f t="shared" si="585"/>
        <v>151521.93076357502</v>
      </c>
      <c r="AZ60" s="29">
        <f t="shared" si="585"/>
        <v>151067.51644272459</v>
      </c>
      <c r="BA60" s="29">
        <f t="shared" si="585"/>
        <v>164829.95147786668</v>
      </c>
      <c r="BB60" s="29">
        <f t="shared" si="585"/>
        <v>343309.78779891011</v>
      </c>
      <c r="BC60" s="29">
        <f t="shared" si="585"/>
        <v>644051.82254560094</v>
      </c>
      <c r="BD60" s="29">
        <f t="shared" si="585"/>
        <v>932265.67485299171</v>
      </c>
      <c r="BE60" s="29">
        <f t="shared" si="585"/>
        <v>984724.15220897563</v>
      </c>
      <c r="BF60" s="29">
        <f t="shared" si="585"/>
        <v>875620.43923360901</v>
      </c>
      <c r="BG60" s="29">
        <f t="shared" si="585"/>
        <v>634145.29465573083</v>
      </c>
      <c r="BH60" s="29">
        <f t="shared" si="585"/>
        <v>377118.25073590194</v>
      </c>
      <c r="BI60" s="29">
        <f t="shared" si="585"/>
        <v>214934.91837932897</v>
      </c>
      <c r="BJ60" s="29">
        <f t="shared" si="585"/>
        <v>154559.77464926039</v>
      </c>
      <c r="BK60" s="29">
        <f t="shared" si="585"/>
        <v>151942.68476436246</v>
      </c>
      <c r="BL60" s="29">
        <f t="shared" si="585"/>
        <v>151488.27044351204</v>
      </c>
      <c r="BM60" s="29">
        <f t="shared" si="585"/>
        <v>165292.92679573456</v>
      </c>
      <c r="BN60" s="29">
        <f t="shared" si="585"/>
        <v>344271.61567981</v>
      </c>
      <c r="BO60" s="29">
        <f t="shared" si="585"/>
        <v>645821.89031294396</v>
      </c>
      <c r="BP60" s="29">
        <f t="shared" ref="BP60:CH60" si="586">BP57*(BP53*BP$15+BP55)</f>
        <v>934794.172845238</v>
      </c>
      <c r="BQ60" s="29">
        <f t="shared" si="586"/>
        <v>987358.89839011</v>
      </c>
      <c r="BR60" s="29">
        <f t="shared" si="586"/>
        <v>877964.53042847372</v>
      </c>
      <c r="BS60" s="29">
        <f t="shared" si="586"/>
        <v>635839.48393288173</v>
      </c>
      <c r="BT60" s="29">
        <f t="shared" si="586"/>
        <v>378120.26458670595</v>
      </c>
      <c r="BU60" s="29">
        <f t="shared" si="586"/>
        <v>215511.5080887581</v>
      </c>
      <c r="BV60" s="29">
        <f t="shared" si="586"/>
        <v>154980.52865004784</v>
      </c>
      <c r="BW60" s="29">
        <f t="shared" si="586"/>
        <v>152363.43876514991</v>
      </c>
      <c r="BX60" s="29">
        <f t="shared" si="586"/>
        <v>151909.02444429946</v>
      </c>
      <c r="BY60" s="29">
        <f t="shared" si="586"/>
        <v>165755.88419062161</v>
      </c>
      <c r="BZ60" s="29">
        <f t="shared" si="586"/>
        <v>345233.21067832218</v>
      </c>
      <c r="CA60" s="29">
        <f t="shared" si="586"/>
        <v>647591.36073093128</v>
      </c>
      <c r="CB60" s="29">
        <f t="shared" si="586"/>
        <v>937321.72090475238</v>
      </c>
      <c r="CC60" s="29">
        <f t="shared" si="586"/>
        <v>989992.62992571783</v>
      </c>
      <c r="CD60" s="29">
        <f t="shared" si="586"/>
        <v>880307.74118171819</v>
      </c>
      <c r="CE60" s="29">
        <f t="shared" si="586"/>
        <v>637533.08979419211</v>
      </c>
      <c r="CF60" s="29">
        <f t="shared" si="586"/>
        <v>379122.01146545995</v>
      </c>
      <c r="CG60" s="29">
        <f t="shared" si="586"/>
        <v>216088.02756506545</v>
      </c>
      <c r="CH60" s="29">
        <f t="shared" si="586"/>
        <v>155401.28265083529</v>
      </c>
    </row>
    <row r="61" spans="1:86">
      <c r="A61" s="233">
        <v>49</v>
      </c>
      <c r="B61" s="26" t="s">
        <v>546</v>
      </c>
      <c r="C61" s="29">
        <f>C60/SUM(C60:N60)*SUM(C58:N58)</f>
        <v>150167.54502493705</v>
      </c>
      <c r="D61" s="29">
        <f>D60/SUM(C60:N60)*SUM(C58:N58)</f>
        <v>149712.13407181189</v>
      </c>
      <c r="E61" s="29">
        <f>E60/SUM(C60:N60)*SUM(C58:N58)</f>
        <v>163335.5299802011</v>
      </c>
      <c r="F61" s="29">
        <f>F60/SUM(C60:N60)*SUM(C58:N58)</f>
        <v>340207.40751688561</v>
      </c>
      <c r="G61" s="29">
        <f>G60/SUM(C60:N60)*SUM(C58:N58)</f>
        <v>638369.59632187628</v>
      </c>
      <c r="H61" s="29">
        <f>H60/SUM(C60:N60)*SUM(C58:N58)</f>
        <v>924175.75795610866</v>
      </c>
      <c r="I61" s="29">
        <f>I60/SUM(C60:N60)*SUM(C58:N58)</f>
        <v>976323.43475661066</v>
      </c>
      <c r="J61" s="29">
        <f>J60/SUM(C60:N60)*SUM(C58:N58)</f>
        <v>868145.38520657795</v>
      </c>
      <c r="K61" s="29">
        <f>K60/SUM(C60:N60)*SUM(C58:N58)</f>
        <v>628745.45271885593</v>
      </c>
      <c r="L61" s="29">
        <f>L60/SUM(C60:N60)*SUM(C58:N58)</f>
        <v>373928.94529454422</v>
      </c>
      <c r="M61" s="29">
        <f>M60/SUM(C60:N60)*SUM(C58:N58)</f>
        <v>213095.0191101766</v>
      </c>
      <c r="N61" s="29">
        <f>N60/SUM(C60:N60)*SUM(C58:N58)</f>
        <v>153212.05158194041</v>
      </c>
      <c r="O61" s="29">
        <f>O60/SUM(O60:Z60)*SUM(O58:Z58)</f>
        <v>150588.34033700894</v>
      </c>
      <c r="P61" s="29">
        <f>P60/SUM(O60:Z60)*SUM(O58:Z58)</f>
        <v>150132.93204969942</v>
      </c>
      <c r="Q61" s="29">
        <f>Q60/SUM(O60:Z60)*SUM(O58:Z58)</f>
        <v>163798.54841735412</v>
      </c>
      <c r="R61" s="29">
        <f>R60/SUM(O60:Z60)*SUM(O58:Z58)</f>
        <v>341169.17587441322</v>
      </c>
      <c r="S61" s="29">
        <f>S60/SUM(O60:Z60)*SUM(O58:Z58)</f>
        <v>640139.37352392601</v>
      </c>
      <c r="T61" s="29">
        <f>T60/SUM(O60:Z60)*SUM(O58:Z58)</f>
        <v>926703.71539264638</v>
      </c>
      <c r="U61" s="29">
        <f>U60/SUM(O60:Z60)*SUM(O58:Z58)</f>
        <v>978957.53744060406</v>
      </c>
      <c r="V61" s="29">
        <f>V60/SUM(O60:Z60)*SUM(O58:Z58)</f>
        <v>870488.92097134225</v>
      </c>
      <c r="W61" s="29">
        <f>W60/SUM(O60:Z60)*SUM(O58:Z58)</f>
        <v>630439.26952589466</v>
      </c>
      <c r="X61" s="29">
        <f>X60/SUM(O60:Z60)*SUM(O58:Z58)</f>
        <v>374930.78060732089</v>
      </c>
      <c r="Y61" s="29">
        <f>Y60/SUM(O60:Z60)*SUM(O58:Z58)</f>
        <v>213671.57373722515</v>
      </c>
      <c r="Z61" s="29">
        <f>Z60/SUM(O60:Z60)*SUM(O58:Z58)</f>
        <v>153632.82907254098</v>
      </c>
      <c r="AA61" s="29">
        <f>AA60/SUM(AA60:AL60)*SUM(AA58:AL58)</f>
        <v>151009.16317436993</v>
      </c>
      <c r="AB61" s="29">
        <f>AB60/SUM(AA60:AL60)*SUM(AA58:AL58)</f>
        <v>150553.75745497888</v>
      </c>
      <c r="AC61" s="29">
        <f>AC60/SUM(AA60:AL60)*SUM(AA58:AL58)</f>
        <v>164261.59705165305</v>
      </c>
      <c r="AD61" s="29">
        <f>AD60/SUM(AA60:AL60)*SUM(AA58:AL58)</f>
        <v>342131.00997673569</v>
      </c>
      <c r="AE61" s="29">
        <f>AE60/SUM(AA60:AL60)*SUM(AA58:AL58)</f>
        <v>641909.27353146498</v>
      </c>
      <c r="AF61" s="29">
        <f>AF60/SUM(AA60:AL60)*SUM(AA58:AL58)</f>
        <v>929231.84849575139</v>
      </c>
      <c r="AG61" s="29">
        <f>AG60/SUM(AA60:AL60)*SUM(AA58:AL58)</f>
        <v>981591.82293623919</v>
      </c>
      <c r="AH61" s="29">
        <f>AH60/SUM(AA60:AL60)*SUM(AA58:AL58)</f>
        <v>872832.61940885719</v>
      </c>
      <c r="AI61" s="29">
        <f>AI60/SUM(AA60:AL60)*SUM(AA58:AL58)</f>
        <v>632133.2039389346</v>
      </c>
      <c r="AJ61" s="29">
        <f>AJ60/SUM(AA60:AL60)*SUM(AA58:AL58)</f>
        <v>375932.68557960569</v>
      </c>
      <c r="AK61" s="29">
        <f>AK60/SUM(AA60:AL60)*SUM(AA58:AL58)</f>
        <v>214248.16806794194</v>
      </c>
      <c r="AL61" s="29">
        <f>AL60/SUM(AA60:AL60)*SUM(AA58:AL58)</f>
        <v>154053.6347428915</v>
      </c>
      <c r="AM61" s="29">
        <f>AM60/SUM(AM60:AX60)*SUM(AM58:AX58)</f>
        <v>151430.03586560558</v>
      </c>
      <c r="AN61" s="29">
        <f>AN60/SUM(AM60:AX60)*SUM(AM58:AX58)</f>
        <v>150974.63254990373</v>
      </c>
      <c r="AO61" s="29">
        <f>AO60/SUM(AM60:AX60)*SUM(AM58:AX58)</f>
        <v>164724.70423229449</v>
      </c>
      <c r="AP61" s="29">
        <f>AP60/SUM(AM60:AX60)*SUM(AM58:AX58)</f>
        <v>343093.01299909782</v>
      </c>
      <c r="AQ61" s="29">
        <f>AQ60/SUM(AM60:AX60)*SUM(AM58:AX58)</f>
        <v>643679.52543283103</v>
      </c>
      <c r="AR61" s="29">
        <f>AR60/SUM(AM60:AX60)*SUM(AM58:AX58)</f>
        <v>931760.50733813073</v>
      </c>
      <c r="AS61" s="29">
        <f>AS60/SUM(AM60:AX60)*SUM(AM58:AX58)</f>
        <v>984226.66285903298</v>
      </c>
      <c r="AT61" s="29">
        <f>AT60/SUM(AM60:AX60)*SUM(AM58:AX58)</f>
        <v>875176.80613596283</v>
      </c>
      <c r="AU61" s="29">
        <f>AU60/SUM(AM60:AX60)*SUM(AM58:AX58)</f>
        <v>633827.47964822524</v>
      </c>
      <c r="AV61" s="29">
        <f>AV60/SUM(AM60:AX60)*SUM(AM58:AX58)</f>
        <v>376934.77534973528</v>
      </c>
      <c r="AW61" s="29">
        <f>AW60/SUM(AM60:AX60)*SUM(AM58:AX58)</f>
        <v>214824.84949303415</v>
      </c>
      <c r="AX61" s="29">
        <f>AX60/SUM(AM60:AX60)*SUM(AM58:AX58)</f>
        <v>154474.4913650199</v>
      </c>
      <c r="AY61" s="29">
        <f>AY60/SUM(AY60:BJ60)*SUM(AY58:BJ58)</f>
        <v>151850.8081293304</v>
      </c>
      <c r="AZ61" s="29">
        <f>AZ60/SUM(AY60:BJ60)*SUM(AY58:BJ58)</f>
        <v>151395.40750515048</v>
      </c>
      <c r="BA61" s="29">
        <f>BA60/SUM(AY60:BJ60)*SUM(AY58:BJ58)</f>
        <v>165187.71381607375</v>
      </c>
      <c r="BB61" s="29">
        <f>BB60/SUM(AY60:BJ60)*SUM(AY58:BJ58)</f>
        <v>344054.93946164544</v>
      </c>
      <c r="BC61" s="29">
        <f>BC60/SUM(AY60:BJ60)*SUM(AY58:BJ58)</f>
        <v>645449.73283978307</v>
      </c>
      <c r="BD61" s="29">
        <f>BD60/SUM(AY60:BJ60)*SUM(AY58:BJ58)</f>
        <v>934289.15144007548</v>
      </c>
      <c r="BE61" s="29">
        <f>BE60/SUM(AY60:BJ60)*SUM(AY58:BJ58)</f>
        <v>986861.48958015477</v>
      </c>
      <c r="BF61" s="29">
        <f>BF60/SUM(AY60:BJ60)*SUM(AY58:BJ58)</f>
        <v>877520.96770500264</v>
      </c>
      <c r="BG61" s="29">
        <f>BG60/SUM(AY60:BJ60)*SUM(AY58:BJ58)</f>
        <v>635521.70289552526</v>
      </c>
      <c r="BH61" s="29">
        <f>BH60/SUM(AY60:BJ60)*SUM(AY58:BJ58)</f>
        <v>377936.7834476704</v>
      </c>
      <c r="BI61" s="29">
        <f>BI60/SUM(AY60:BJ60)*SUM(AY58:BJ58)</f>
        <v>215401.43322248882</v>
      </c>
      <c r="BJ61" s="29">
        <f>BJ60/SUM(AY60:BJ60)*SUM(AY58:BJ58)</f>
        <v>154895.24563542218</v>
      </c>
      <c r="BK61" s="29">
        <f>BK60/SUM(BK60:BV60)*SUM(BK58:BV58)</f>
        <v>152271.47754963685</v>
      </c>
      <c r="BL61" s="29">
        <f>BL60/SUM(BK60:BV60)*SUM(BK58:BV58)</f>
        <v>151816.07990964572</v>
      </c>
      <c r="BM61" s="29">
        <f>BM60/SUM(BK60:BV60)*SUM(BK58:BV58)</f>
        <v>165650.60852204874</v>
      </c>
      <c r="BN61" s="29">
        <f>BN60/SUM(BK60:BV60)*SUM(BK58:BV58)</f>
        <v>345016.59411418362</v>
      </c>
      <c r="BO61" s="29">
        <f>BO60/SUM(BK60:BV60)*SUM(BK58:BV58)</f>
        <v>647219.40134439955</v>
      </c>
      <c r="BP61" s="29">
        <f>BP60/SUM(BK60:BV60)*SUM(BK58:BV58)</f>
        <v>936816.99862473982</v>
      </c>
      <c r="BQ61" s="29">
        <f>BQ60/SUM(BK60:BV60)*SUM(BK58:BV58)</f>
        <v>989495.47036638251</v>
      </c>
      <c r="BR61" s="29">
        <f>BR60/SUM(BK60:BV60)*SUM(BK58:BV58)</f>
        <v>879864.38104503602</v>
      </c>
      <c r="BS61" s="29">
        <f>BS60/SUM(BK60:BV60)*SUM(BK58:BV58)</f>
        <v>637215.39377173933</v>
      </c>
      <c r="BT61" s="29">
        <f>BT60/SUM(BK60:BV60)*SUM(BK58:BV58)</f>
        <v>378938.4890057029</v>
      </c>
      <c r="BU61" s="29">
        <f>BU60/SUM(BK60:BV60)*SUM(BK58:BV58)</f>
        <v>215977.85912838252</v>
      </c>
      <c r="BV61" s="29">
        <f>BV60/SUM(BK60:BV60)*SUM(BK58:BV58)</f>
        <v>155315.89510587408</v>
      </c>
      <c r="BW61" s="29">
        <f>BW60/SUM(BW60:CH60)*SUM(BW58:CH58)</f>
        <v>152692.40054029218</v>
      </c>
      <c r="BX61" s="29">
        <f>BX60/SUM(BW60:CH60)*SUM(BW58:CH58)</f>
        <v>152237.00511175048</v>
      </c>
      <c r="BY61" s="29">
        <f>BY60/SUM(BW60:CH60)*SUM(BW58:CH58)</f>
        <v>166113.76105626303</v>
      </c>
      <c r="BZ61" s="29">
        <f>BZ60/SUM(BW60:CH60)*SUM(BW58:CH58)</f>
        <v>345978.58982402296</v>
      </c>
      <c r="CA61" s="29">
        <f>CA60/SUM(BW60:CH60)*SUM(BW58:CH58)</f>
        <v>648989.54920264985</v>
      </c>
      <c r="CB61" s="29">
        <f>CB60/SUM(BW60:CH60)*SUM(BW58:CH58)</f>
        <v>939345.45454903878</v>
      </c>
      <c r="CC61" s="29">
        <f>CC60/SUM(BW60:CH60)*SUM(BW58:CH58)</f>
        <v>992130.08321213303</v>
      </c>
      <c r="CD61" s="29">
        <f>CD60/SUM(BW60:CH60)*SUM(BW58:CH58)</f>
        <v>882208.37823452824</v>
      </c>
      <c r="CE61" s="29">
        <f>CE60/SUM(BW60:CH60)*SUM(BW58:CH58)</f>
        <v>638909.5618575057</v>
      </c>
      <c r="CF61" s="29">
        <f>CF60/SUM(BW60:CH60)*SUM(BW58:CH58)</f>
        <v>379940.55855850247</v>
      </c>
      <c r="CG61" s="29">
        <f>CG60/SUM(BW60:CH60)*SUM(BW58:CH58)</f>
        <v>216554.57453795415</v>
      </c>
      <c r="CH61" s="29">
        <f>CH60/SUM(BW60:CH60)*SUM(BW58:CH58)</f>
        <v>155736.80331258013</v>
      </c>
    </row>
    <row r="62" spans="1:86">
      <c r="A62" s="233">
        <v>50</v>
      </c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</row>
    <row r="63" spans="1:86">
      <c r="A63" s="233">
        <v>51</v>
      </c>
      <c r="B63" s="26" t="s">
        <v>530</v>
      </c>
      <c r="C63" s="235">
        <f>ROUND(C58-C59,0)</f>
        <v>-11590</v>
      </c>
      <c r="D63" s="235">
        <f t="shared" ref="D63:N63" si="587">ROUND(D58-D59,0)</f>
        <v>11590</v>
      </c>
      <c r="E63" s="235">
        <f t="shared" si="587"/>
        <v>-50050</v>
      </c>
      <c r="F63" s="235">
        <f t="shared" si="587"/>
        <v>-36685</v>
      </c>
      <c r="G63" s="235">
        <f t="shared" si="587"/>
        <v>153709</v>
      </c>
      <c r="H63" s="235">
        <f t="shared" si="587"/>
        <v>174721</v>
      </c>
      <c r="I63" s="235">
        <f t="shared" si="587"/>
        <v>-76915</v>
      </c>
      <c r="J63" s="235">
        <f t="shared" si="587"/>
        <v>103998</v>
      </c>
      <c r="K63" s="235">
        <f t="shared" si="587"/>
        <v>190128</v>
      </c>
      <c r="L63" s="235">
        <f t="shared" si="587"/>
        <v>91280</v>
      </c>
      <c r="M63" s="235">
        <f t="shared" si="587"/>
        <v>69524</v>
      </c>
      <c r="N63" s="235">
        <f t="shared" si="587"/>
        <v>-3030</v>
      </c>
      <c r="O63" s="235">
        <f>O58-C58</f>
        <v>420.7540007874486</v>
      </c>
      <c r="P63" s="235">
        <f t="shared" ref="P63:CA63" si="588">P58-D58</f>
        <v>420.7540007874486</v>
      </c>
      <c r="Q63" s="235">
        <f t="shared" si="588"/>
        <v>425.93400078744162</v>
      </c>
      <c r="R63" s="235">
        <f t="shared" si="588"/>
        <v>608.21100078744348</v>
      </c>
      <c r="S63" s="235">
        <f t="shared" si="588"/>
        <v>1376.594000787416</v>
      </c>
      <c r="T63" s="235">
        <f t="shared" si="588"/>
        <v>2155.7488007874927</v>
      </c>
      <c r="U63" s="235">
        <f t="shared" si="588"/>
        <v>2549.6518007874256</v>
      </c>
      <c r="V63" s="235">
        <f t="shared" si="588"/>
        <v>2742.4384007875342</v>
      </c>
      <c r="W63" s="235">
        <f t="shared" si="588"/>
        <v>1973.7444007874001</v>
      </c>
      <c r="X63" s="235">
        <f t="shared" si="588"/>
        <v>1331.2546007873607</v>
      </c>
      <c r="Y63" s="235">
        <f t="shared" si="588"/>
        <v>772.63840078742942</v>
      </c>
      <c r="Z63" s="235">
        <f t="shared" si="588"/>
        <v>457.01400078745792</v>
      </c>
      <c r="AA63" s="235">
        <f t="shared" si="588"/>
        <v>420.7540007874195</v>
      </c>
      <c r="AB63" s="235">
        <f t="shared" si="588"/>
        <v>420.7540007874486</v>
      </c>
      <c r="AC63" s="235">
        <f t="shared" si="588"/>
        <v>425.93400078744162</v>
      </c>
      <c r="AD63" s="235">
        <f t="shared" si="588"/>
        <v>608.231000787433</v>
      </c>
      <c r="AE63" s="235">
        <f t="shared" si="588"/>
        <v>1376.6940007875091</v>
      </c>
      <c r="AF63" s="235">
        <f t="shared" si="588"/>
        <v>2155.9288007874275</v>
      </c>
      <c r="AG63" s="235">
        <f t="shared" si="588"/>
        <v>2549.8718007873977</v>
      </c>
      <c r="AH63" s="235">
        <f t="shared" si="588"/>
        <v>2742.678400787292</v>
      </c>
      <c r="AI63" s="235">
        <f t="shared" si="588"/>
        <v>1973.9044007874327</v>
      </c>
      <c r="AJ63" s="235">
        <f t="shared" si="588"/>
        <v>1331.3446007874445</v>
      </c>
      <c r="AK63" s="235">
        <f t="shared" si="588"/>
        <v>772.67840078740846</v>
      </c>
      <c r="AL63" s="235">
        <f t="shared" si="588"/>
        <v>457.01400078745792</v>
      </c>
      <c r="AM63" s="235">
        <f t="shared" si="588"/>
        <v>420.7540007874486</v>
      </c>
      <c r="AN63" s="235">
        <f t="shared" si="588"/>
        <v>420.7540007874486</v>
      </c>
      <c r="AO63" s="235">
        <f t="shared" si="588"/>
        <v>425.93400078747072</v>
      </c>
      <c r="AP63" s="235">
        <f t="shared" si="588"/>
        <v>608.25100078745163</v>
      </c>
      <c r="AQ63" s="235">
        <f t="shared" si="588"/>
        <v>1376.7940007874276</v>
      </c>
      <c r="AR63" s="235">
        <f t="shared" si="588"/>
        <v>2156.1088007874787</v>
      </c>
      <c r="AS63" s="235">
        <f t="shared" si="588"/>
        <v>2550.0918007874861</v>
      </c>
      <c r="AT63" s="235">
        <f t="shared" si="588"/>
        <v>2742.9184007875156</v>
      </c>
      <c r="AU63" s="235">
        <f t="shared" si="588"/>
        <v>1974.0644007874653</v>
      </c>
      <c r="AV63" s="235">
        <f t="shared" si="588"/>
        <v>1333.3330007875338</v>
      </c>
      <c r="AW63" s="235">
        <f t="shared" si="588"/>
        <v>770.84980078745866</v>
      </c>
      <c r="AX63" s="235">
        <f t="shared" si="588"/>
        <v>458.84570078746765</v>
      </c>
      <c r="AY63" s="235">
        <f t="shared" si="588"/>
        <v>420.7540007874486</v>
      </c>
      <c r="AZ63" s="235">
        <f t="shared" si="588"/>
        <v>420.7540007874486</v>
      </c>
      <c r="BA63" s="235">
        <f t="shared" si="588"/>
        <v>425.93400078744162</v>
      </c>
      <c r="BB63" s="235">
        <f t="shared" si="588"/>
        <v>608.27100078744115</v>
      </c>
      <c r="BC63" s="235">
        <f t="shared" si="588"/>
        <v>1376.8940007874044</v>
      </c>
      <c r="BD63" s="235">
        <f t="shared" si="588"/>
        <v>2156.2888007872971</v>
      </c>
      <c r="BE63" s="235">
        <f t="shared" si="588"/>
        <v>2550.3118007874582</v>
      </c>
      <c r="BF63" s="235">
        <f t="shared" si="588"/>
        <v>2743.1584007873898</v>
      </c>
      <c r="BG63" s="235">
        <f t="shared" si="588"/>
        <v>1974.2244007874979</v>
      </c>
      <c r="BH63" s="235">
        <f t="shared" si="588"/>
        <v>1331.5296007873258</v>
      </c>
      <c r="BI63" s="235">
        <f t="shared" si="588"/>
        <v>772.75340078747831</v>
      </c>
      <c r="BJ63" s="235">
        <f t="shared" si="588"/>
        <v>457.01900078743347</v>
      </c>
      <c r="BK63" s="235">
        <f t="shared" si="588"/>
        <v>420.7540007874486</v>
      </c>
      <c r="BL63" s="235">
        <f t="shared" si="588"/>
        <v>420.7540007874486</v>
      </c>
      <c r="BM63" s="235">
        <f t="shared" si="588"/>
        <v>425.93400078744162</v>
      </c>
      <c r="BN63" s="235">
        <f t="shared" si="588"/>
        <v>608.29100078743068</v>
      </c>
      <c r="BO63" s="235">
        <f t="shared" si="588"/>
        <v>1375.1430007874151</v>
      </c>
      <c r="BP63" s="235">
        <f t="shared" si="588"/>
        <v>2154.590200787643</v>
      </c>
      <c r="BQ63" s="235">
        <f t="shared" si="588"/>
        <v>2550.5318007874303</v>
      </c>
      <c r="BR63" s="235">
        <f t="shared" si="588"/>
        <v>2741.495300787501</v>
      </c>
      <c r="BS63" s="235">
        <f t="shared" si="588"/>
        <v>1974.3844007872976</v>
      </c>
      <c r="BT63" s="235">
        <f t="shared" si="588"/>
        <v>1331.6196007874678</v>
      </c>
      <c r="BU63" s="235">
        <f t="shared" si="588"/>
        <v>770.91480078740278</v>
      </c>
      <c r="BV63" s="235">
        <f t="shared" si="588"/>
        <v>458.86070078745252</v>
      </c>
      <c r="BW63" s="235">
        <f t="shared" si="588"/>
        <v>420.7540007874486</v>
      </c>
      <c r="BX63" s="235">
        <f t="shared" si="588"/>
        <v>420.7540007874195</v>
      </c>
      <c r="BY63" s="235">
        <f t="shared" si="588"/>
        <v>425.93400078744162</v>
      </c>
      <c r="BZ63" s="235">
        <f t="shared" si="588"/>
        <v>608.31100078747841</v>
      </c>
      <c r="CA63" s="235">
        <f t="shared" si="588"/>
        <v>1377.0890007874114</v>
      </c>
      <c r="CB63" s="235">
        <f t="shared" ref="CB63:CH63" si="589">CB58-BP58</f>
        <v>2156.6438007873949</v>
      </c>
      <c r="CC63" s="235">
        <f t="shared" si="589"/>
        <v>2548.8419007874327</v>
      </c>
      <c r="CD63" s="235">
        <f t="shared" si="589"/>
        <v>2743.633400787483</v>
      </c>
      <c r="CE63" s="235">
        <f t="shared" si="589"/>
        <v>1972.6350007874426</v>
      </c>
      <c r="CF63" s="235">
        <f t="shared" si="589"/>
        <v>1333.6230007873964</v>
      </c>
      <c r="CG63" s="235">
        <f t="shared" si="589"/>
        <v>772.82840078743175</v>
      </c>
      <c r="CH63" s="235">
        <f t="shared" si="589"/>
        <v>457.02400078743813</v>
      </c>
    </row>
    <row r="64" spans="1:86">
      <c r="A64" s="233">
        <v>52</v>
      </c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</row>
    <row r="65" spans="1:86">
      <c r="A65" s="233">
        <v>53</v>
      </c>
      <c r="B65" s="26" t="s">
        <v>533</v>
      </c>
      <c r="C65" s="81">
        <f>C$63*('Bill Frequency'!C21+'Contract &amp; Vol Adj'!C21)/'Bill Frequency'!C$24</f>
        <v>-10049.025914248683</v>
      </c>
      <c r="D65" s="81">
        <f>D$63*('Bill Frequency'!D21+'Contract &amp; Vol Adj'!D21)/'Bill Frequency'!D$24</f>
        <v>10400.983102803653</v>
      </c>
      <c r="E65" s="81">
        <f>E$63*('Bill Frequency'!E21+'Contract &amp; Vol Adj'!E21)/'Bill Frequency'!E$24</f>
        <v>-37548.351977047874</v>
      </c>
      <c r="F65" s="81">
        <f>F$63*('Bill Frequency'!F21+'Contract &amp; Vol Adj'!F21)/'Bill Frequency'!F$24</f>
        <v>-25238.381806073929</v>
      </c>
      <c r="G65" s="81">
        <f>G$63*('Bill Frequency'!G21+'Contract &amp; Vol Adj'!G21)/'Bill Frequency'!G$24</f>
        <v>134687.21587466649</v>
      </c>
      <c r="H65" s="81">
        <f>H$63*('Bill Frequency'!H21+'Contract &amp; Vol Adj'!H21)/'Bill Frequency'!H$24</f>
        <v>153993.11041907253</v>
      </c>
      <c r="I65" s="81">
        <f>I$63*('Bill Frequency'!I21+'Contract &amp; Vol Adj'!I21)/'Bill Frequency'!I$24</f>
        <v>-65079.048579439135</v>
      </c>
      <c r="J65" s="81">
        <f>J$63*('Bill Frequency'!J21+'Contract &amp; Vol Adj'!J21)/'Bill Frequency'!J$24</f>
        <v>89830.361073386433</v>
      </c>
      <c r="K65" s="81">
        <f>K$63*('Bill Frequency'!K21+'Contract &amp; Vol Adj'!K21)/'Bill Frequency'!K$24</f>
        <v>171063.58164981776</v>
      </c>
      <c r="L65" s="81">
        <f>L$63*('Bill Frequency'!L21+'Contract &amp; Vol Adj'!L21)/'Bill Frequency'!L$24</f>
        <v>82830.71021492935</v>
      </c>
      <c r="M65" s="81">
        <f>M$63*('Bill Frequency'!M21+'Contract &amp; Vol Adj'!M21)/'Bill Frequency'!M$24</f>
        <v>62760.486928873252</v>
      </c>
      <c r="N65" s="81">
        <f>N$63*('Bill Frequency'!N21+'Contract &amp; Vol Adj'!N21)/'Bill Frequency'!N$24</f>
        <v>-2677.2242341878391</v>
      </c>
      <c r="O65" s="81">
        <f>IFERROR(C65/C$68*O$63,0)</f>
        <v>364.81172195313911</v>
      </c>
      <c r="P65" s="81">
        <f t="shared" ref="P65:CA67" si="590">IFERROR(D65/D$68*P$63,0)</f>
        <v>377.5888915122768</v>
      </c>
      <c r="Q65" s="81">
        <f t="shared" si="590"/>
        <v>319.54285275842244</v>
      </c>
      <c r="R65" s="81">
        <f t="shared" si="590"/>
        <v>418.43427713037562</v>
      </c>
      <c r="S65" s="81">
        <f t="shared" si="590"/>
        <v>1206.237847854228</v>
      </c>
      <c r="T65" s="81">
        <f t="shared" si="590"/>
        <v>1900.0032229408687</v>
      </c>
      <c r="U65" s="81">
        <f t="shared" si="590"/>
        <v>2157.3023910043471</v>
      </c>
      <c r="V65" s="81">
        <f t="shared" si="590"/>
        <v>2368.8362445841713</v>
      </c>
      <c r="W65" s="81">
        <f t="shared" si="590"/>
        <v>1775.8341036563054</v>
      </c>
      <c r="X65" s="81">
        <f t="shared" si="590"/>
        <v>1208.0276518416883</v>
      </c>
      <c r="Y65" s="81">
        <f t="shared" si="590"/>
        <v>697.47371056563202</v>
      </c>
      <c r="Z65" s="81">
        <f t="shared" si="590"/>
        <v>403.80493672320875</v>
      </c>
      <c r="AA65" s="81">
        <f t="shared" si="590"/>
        <v>364.81172195311387</v>
      </c>
      <c r="AB65" s="81">
        <f t="shared" si="590"/>
        <v>377.5888915122768</v>
      </c>
      <c r="AC65" s="81">
        <f t="shared" si="590"/>
        <v>319.54285275842244</v>
      </c>
      <c r="AD65" s="81">
        <f t="shared" si="590"/>
        <v>418.44803664068928</v>
      </c>
      <c r="AE65" s="81">
        <f t="shared" si="590"/>
        <v>1206.3254726621442</v>
      </c>
      <c r="AF65" s="81">
        <f t="shared" si="590"/>
        <v>1900.1618687811822</v>
      </c>
      <c r="AG65" s="81">
        <f t="shared" si="590"/>
        <v>2157.4885366285507</v>
      </c>
      <c r="AH65" s="81">
        <f t="shared" si="590"/>
        <v>2369.0435494038397</v>
      </c>
      <c r="AI65" s="81">
        <f t="shared" si="590"/>
        <v>1775.9780602175144</v>
      </c>
      <c r="AJ65" s="81">
        <f t="shared" si="590"/>
        <v>1208.1093210345705</v>
      </c>
      <c r="AK65" s="81">
        <f t="shared" si="590"/>
        <v>697.50981923998677</v>
      </c>
      <c r="AL65" s="81">
        <f t="shared" si="590"/>
        <v>403.80493672320875</v>
      </c>
      <c r="AM65" s="81">
        <f t="shared" si="590"/>
        <v>364.81172195313911</v>
      </c>
      <c r="AN65" s="81">
        <f t="shared" si="590"/>
        <v>377.5888915122768</v>
      </c>
      <c r="AO65" s="81">
        <f t="shared" si="590"/>
        <v>319.54285275844427</v>
      </c>
      <c r="AP65" s="81">
        <f t="shared" si="590"/>
        <v>418.46179615102295</v>
      </c>
      <c r="AQ65" s="81">
        <f t="shared" si="590"/>
        <v>1206.4130974699074</v>
      </c>
      <c r="AR65" s="81">
        <f t="shared" si="590"/>
        <v>1900.3205146215982</v>
      </c>
      <c r="AS65" s="81">
        <f t="shared" si="590"/>
        <v>2157.6746822528535</v>
      </c>
      <c r="AT65" s="81">
        <f t="shared" si="590"/>
        <v>2369.2508542239098</v>
      </c>
      <c r="AU65" s="81">
        <f t="shared" si="590"/>
        <v>1776.1220167787235</v>
      </c>
      <c r="AV65" s="81">
        <f t="shared" si="590"/>
        <v>1209.9136657343818</v>
      </c>
      <c r="AW65" s="81">
        <f t="shared" si="590"/>
        <v>695.8591111910398</v>
      </c>
      <c r="AX65" s="81">
        <f t="shared" si="590"/>
        <v>405.42337620498694</v>
      </c>
      <c r="AY65" s="81">
        <f t="shared" si="590"/>
        <v>364.81172195313911</v>
      </c>
      <c r="AZ65" s="81">
        <f t="shared" si="590"/>
        <v>377.5888915122768</v>
      </c>
      <c r="BA65" s="81">
        <f t="shared" si="590"/>
        <v>319.54285275842244</v>
      </c>
      <c r="BB65" s="81">
        <f t="shared" si="590"/>
        <v>418.47555566133661</v>
      </c>
      <c r="BC65" s="81">
        <f t="shared" si="590"/>
        <v>1206.5007222777219</v>
      </c>
      <c r="BD65" s="81">
        <f t="shared" si="590"/>
        <v>1900.479160461809</v>
      </c>
      <c r="BE65" s="81">
        <f t="shared" si="590"/>
        <v>2157.8608278770575</v>
      </c>
      <c r="BF65" s="81">
        <f t="shared" si="590"/>
        <v>2369.4581590436787</v>
      </c>
      <c r="BG65" s="81">
        <f t="shared" si="590"/>
        <v>1776.2659733399323</v>
      </c>
      <c r="BH65" s="81">
        <f t="shared" si="590"/>
        <v>1208.2771965974532</v>
      </c>
      <c r="BI65" s="81">
        <f t="shared" si="590"/>
        <v>697.57752300450045</v>
      </c>
      <c r="BJ65" s="81">
        <f t="shared" si="590"/>
        <v>403.80935458495981</v>
      </c>
      <c r="BK65" s="81">
        <f t="shared" si="590"/>
        <v>364.81172195313911</v>
      </c>
      <c r="BL65" s="81">
        <f t="shared" si="590"/>
        <v>377.5888915122768</v>
      </c>
      <c r="BM65" s="81">
        <f t="shared" si="590"/>
        <v>319.54285275842244</v>
      </c>
      <c r="BN65" s="81">
        <f t="shared" si="590"/>
        <v>418.48931517165033</v>
      </c>
      <c r="BO65" s="81">
        <f t="shared" si="590"/>
        <v>1204.9664118925455</v>
      </c>
      <c r="BP65" s="81">
        <f t="shared" si="590"/>
        <v>1898.982072548481</v>
      </c>
      <c r="BQ65" s="81">
        <f t="shared" si="590"/>
        <v>2158.0469735012616</v>
      </c>
      <c r="BR65" s="81">
        <f t="shared" si="590"/>
        <v>2368.0216230190322</v>
      </c>
      <c r="BS65" s="81">
        <f t="shared" si="590"/>
        <v>1776.4099299009317</v>
      </c>
      <c r="BT65" s="81">
        <f t="shared" si="590"/>
        <v>1208.3588657903881</v>
      </c>
      <c r="BU65" s="81">
        <f t="shared" si="590"/>
        <v>695.91778778684659</v>
      </c>
      <c r="BV65" s="81">
        <f t="shared" si="590"/>
        <v>405.43662979029136</v>
      </c>
      <c r="BW65" s="81">
        <f t="shared" si="590"/>
        <v>364.81172195313911</v>
      </c>
      <c r="BX65" s="81">
        <f t="shared" si="590"/>
        <v>377.58889151225071</v>
      </c>
      <c r="BY65" s="81">
        <f t="shared" si="590"/>
        <v>319.54285275842244</v>
      </c>
      <c r="BZ65" s="81">
        <f t="shared" si="590"/>
        <v>418.50307468200401</v>
      </c>
      <c r="CA65" s="81">
        <f t="shared" si="590"/>
        <v>1206.6715906530055</v>
      </c>
      <c r="CB65" s="81">
        <f t="shared" ref="CB65:CH67" si="591">IFERROR(BP65/BP$68*CB$63,0)</f>
        <v>1900.7920453137376</v>
      </c>
      <c r="CC65" s="81">
        <f t="shared" si="591"/>
        <v>2156.6171212722525</v>
      </c>
      <c r="CD65" s="81">
        <f t="shared" si="591"/>
        <v>2369.8684498330999</v>
      </c>
      <c r="CE65" s="81">
        <f t="shared" si="591"/>
        <v>1774.835944850264</v>
      </c>
      <c r="CF65" s="81">
        <f t="shared" si="591"/>
        <v>1210.1768220221882</v>
      </c>
      <c r="CG65" s="81">
        <f t="shared" si="591"/>
        <v>697.64522676890897</v>
      </c>
      <c r="CH65" s="81">
        <f t="shared" si="591"/>
        <v>403.81377244673649</v>
      </c>
    </row>
    <row r="66" spans="1:86">
      <c r="A66" s="233">
        <v>54</v>
      </c>
      <c r="B66" s="26" t="s">
        <v>534</v>
      </c>
      <c r="C66" s="81">
        <f>C$63*('Bill Frequency'!C22+'Contract &amp; Vol Adj'!C22)/'Bill Frequency'!C$24</f>
        <v>-1540.9740857513157</v>
      </c>
      <c r="D66" s="81">
        <f>D$63*('Bill Frequency'!D22+'Contract &amp; Vol Adj'!D22)/'Bill Frequency'!D$24</f>
        <v>1189.0168971963462</v>
      </c>
      <c r="E66" s="81">
        <f>E$63*('Bill Frequency'!E22+'Contract &amp; Vol Adj'!E22)/'Bill Frequency'!E$24</f>
        <v>-12501.648022952129</v>
      </c>
      <c r="F66" s="81">
        <f>F$63*('Bill Frequency'!F22+'Contract &amp; Vol Adj'!F22)/'Bill Frequency'!F$24</f>
        <v>-11446.61819392607</v>
      </c>
      <c r="G66" s="81">
        <f>G$63*('Bill Frequency'!G22+'Contract &amp; Vol Adj'!G22)/'Bill Frequency'!G$24</f>
        <v>19021.784125333503</v>
      </c>
      <c r="H66" s="81">
        <f>H$63*('Bill Frequency'!H22+'Contract &amp; Vol Adj'!H22)/'Bill Frequency'!H$24</f>
        <v>20727.889580927476</v>
      </c>
      <c r="I66" s="81">
        <f>I$63*('Bill Frequency'!I22+'Contract &amp; Vol Adj'!I22)/'Bill Frequency'!I$24</f>
        <v>-11835.951420560868</v>
      </c>
      <c r="J66" s="81">
        <f>J$63*('Bill Frequency'!J22+'Contract &amp; Vol Adj'!J22)/'Bill Frequency'!J$24</f>
        <v>14167.638926613576</v>
      </c>
      <c r="K66" s="81">
        <f>K$63*('Bill Frequency'!K22+'Contract &amp; Vol Adj'!K22)/'Bill Frequency'!K$24</f>
        <v>19064.418350182252</v>
      </c>
      <c r="L66" s="81">
        <f>L$63*('Bill Frequency'!L22+'Contract &amp; Vol Adj'!L22)/'Bill Frequency'!L$24</f>
        <v>8449.2897850706595</v>
      </c>
      <c r="M66" s="81">
        <f>M$63*('Bill Frequency'!M22+'Contract &amp; Vol Adj'!M22)/'Bill Frequency'!M$24</f>
        <v>6763.5130711267484</v>
      </c>
      <c r="N66" s="81">
        <f>N$63*('Bill Frequency'!N22+'Contract &amp; Vol Adj'!N22)/'Bill Frequency'!N$24</f>
        <v>-352.77576581216073</v>
      </c>
      <c r="O66" s="81">
        <f>IFERROR(C66/C$68*O$63,0)</f>
        <v>55.942278834309498</v>
      </c>
      <c r="P66" s="81">
        <f t="shared" si="590"/>
        <v>43.165109275171801</v>
      </c>
      <c r="Q66" s="81">
        <f t="shared" si="590"/>
        <v>106.39114802901919</v>
      </c>
      <c r="R66" s="81">
        <f t="shared" si="590"/>
        <v>189.77672365706786</v>
      </c>
      <c r="S66" s="81">
        <f t="shared" si="590"/>
        <v>170.35615293318807</v>
      </c>
      <c r="T66" s="81">
        <f t="shared" si="590"/>
        <v>255.74557784662386</v>
      </c>
      <c r="U66" s="81">
        <f t="shared" si="590"/>
        <v>392.34940978307878</v>
      </c>
      <c r="V66" s="81">
        <f t="shared" si="590"/>
        <v>373.60215620336299</v>
      </c>
      <c r="W66" s="81">
        <f t="shared" si="590"/>
        <v>197.91029713109475</v>
      </c>
      <c r="X66" s="81">
        <f t="shared" si="590"/>
        <v>123.22694894567225</v>
      </c>
      <c r="Y66" s="81">
        <f t="shared" si="590"/>
        <v>75.164690221797457</v>
      </c>
      <c r="Z66" s="81">
        <f t="shared" si="590"/>
        <v>53.209064064249141</v>
      </c>
      <c r="AA66" s="81">
        <f t="shared" si="590"/>
        <v>55.942278834305625</v>
      </c>
      <c r="AB66" s="81">
        <f t="shared" si="590"/>
        <v>43.165109275171801</v>
      </c>
      <c r="AC66" s="81">
        <f t="shared" si="590"/>
        <v>106.39114802901919</v>
      </c>
      <c r="AD66" s="81">
        <f t="shared" si="590"/>
        <v>189.78296414674369</v>
      </c>
      <c r="AE66" s="81">
        <f t="shared" si="590"/>
        <v>170.36852812536489</v>
      </c>
      <c r="AF66" s="81">
        <f t="shared" si="590"/>
        <v>255.7669320062453</v>
      </c>
      <c r="AG66" s="81">
        <f t="shared" si="590"/>
        <v>392.38326415884666</v>
      </c>
      <c r="AH66" s="81">
        <f t="shared" si="590"/>
        <v>373.6348513834526</v>
      </c>
      <c r="AI66" s="81">
        <f t="shared" si="590"/>
        <v>197.92634056991835</v>
      </c>
      <c r="AJ66" s="81">
        <f t="shared" si="590"/>
        <v>123.23527975287388</v>
      </c>
      <c r="AK66" s="81">
        <f t="shared" si="590"/>
        <v>75.168581547421752</v>
      </c>
      <c r="AL66" s="81">
        <f t="shared" si="590"/>
        <v>53.209064064249141</v>
      </c>
      <c r="AM66" s="81">
        <f t="shared" si="590"/>
        <v>55.942278834309498</v>
      </c>
      <c r="AN66" s="81">
        <f t="shared" si="590"/>
        <v>43.165109275171801</v>
      </c>
      <c r="AO66" s="81">
        <f t="shared" si="590"/>
        <v>106.39114802902645</v>
      </c>
      <c r="AP66" s="81">
        <f t="shared" si="590"/>
        <v>189.78920463642862</v>
      </c>
      <c r="AQ66" s="81">
        <f t="shared" si="590"/>
        <v>170.38090331752008</v>
      </c>
      <c r="AR66" s="81">
        <f t="shared" si="590"/>
        <v>255.78828616588055</v>
      </c>
      <c r="AS66" s="81">
        <f t="shared" si="590"/>
        <v>392.41711853463261</v>
      </c>
      <c r="AT66" s="81">
        <f t="shared" si="590"/>
        <v>373.66754656360558</v>
      </c>
      <c r="AU66" s="81">
        <f t="shared" si="590"/>
        <v>197.94238400874193</v>
      </c>
      <c r="AV66" s="81">
        <f t="shared" si="590"/>
        <v>123.41933505315204</v>
      </c>
      <c r="AW66" s="81">
        <f t="shared" si="590"/>
        <v>74.990689596418889</v>
      </c>
      <c r="AX66" s="81">
        <f t="shared" si="590"/>
        <v>53.422324582480677</v>
      </c>
      <c r="AY66" s="81">
        <f t="shared" si="590"/>
        <v>55.942278834309498</v>
      </c>
      <c r="AZ66" s="81">
        <f t="shared" si="590"/>
        <v>43.165109275171801</v>
      </c>
      <c r="BA66" s="81">
        <f t="shared" si="590"/>
        <v>106.39114802901919</v>
      </c>
      <c r="BB66" s="81">
        <f t="shared" si="590"/>
        <v>189.79544512610448</v>
      </c>
      <c r="BC66" s="81">
        <f t="shared" si="590"/>
        <v>170.39327850968252</v>
      </c>
      <c r="BD66" s="81">
        <f t="shared" si="590"/>
        <v>255.80964032548815</v>
      </c>
      <c r="BE66" s="81">
        <f t="shared" si="590"/>
        <v>392.45097291040059</v>
      </c>
      <c r="BF66" s="81">
        <f t="shared" si="590"/>
        <v>373.70024174371105</v>
      </c>
      <c r="BG66" s="81">
        <f t="shared" si="590"/>
        <v>197.9584274475655</v>
      </c>
      <c r="BH66" s="81">
        <f t="shared" si="590"/>
        <v>123.25240418987252</v>
      </c>
      <c r="BI66" s="81">
        <f t="shared" si="590"/>
        <v>75.175877782977906</v>
      </c>
      <c r="BJ66" s="81">
        <f t="shared" si="590"/>
        <v>53.209646202473714</v>
      </c>
      <c r="BK66" s="81">
        <f t="shared" si="590"/>
        <v>55.942278834309498</v>
      </c>
      <c r="BL66" s="81">
        <f t="shared" si="590"/>
        <v>43.165109275171801</v>
      </c>
      <c r="BM66" s="81">
        <f t="shared" si="590"/>
        <v>106.39114802901919</v>
      </c>
      <c r="BN66" s="81">
        <f t="shared" si="590"/>
        <v>189.80168561578034</v>
      </c>
      <c r="BO66" s="81">
        <f t="shared" si="590"/>
        <v>170.17658889486975</v>
      </c>
      <c r="BP66" s="81">
        <f t="shared" si="590"/>
        <v>255.608128239162</v>
      </c>
      <c r="BQ66" s="81">
        <f t="shared" si="590"/>
        <v>392.48482728616852</v>
      </c>
      <c r="BR66" s="81">
        <f t="shared" si="590"/>
        <v>373.47367776846846</v>
      </c>
      <c r="BS66" s="81">
        <f t="shared" si="590"/>
        <v>197.97447088636574</v>
      </c>
      <c r="BT66" s="81">
        <f t="shared" si="590"/>
        <v>123.26073499707954</v>
      </c>
      <c r="BU66" s="81">
        <f t="shared" si="590"/>
        <v>74.997013000556223</v>
      </c>
      <c r="BV66" s="81">
        <f t="shared" si="590"/>
        <v>53.424070997161152</v>
      </c>
      <c r="BW66" s="81">
        <f t="shared" si="590"/>
        <v>55.942278834309498</v>
      </c>
      <c r="BX66" s="81">
        <f t="shared" si="590"/>
        <v>43.165109275168817</v>
      </c>
      <c r="BY66" s="81">
        <f t="shared" si="590"/>
        <v>106.39114802901919</v>
      </c>
      <c r="BZ66" s="81">
        <f t="shared" si="590"/>
        <v>189.80792610547434</v>
      </c>
      <c r="CA66" s="81">
        <f t="shared" si="590"/>
        <v>170.41741013440566</v>
      </c>
      <c r="CB66" s="81">
        <f t="shared" si="591"/>
        <v>255.85175547365728</v>
      </c>
      <c r="CC66" s="81">
        <f t="shared" si="591"/>
        <v>392.2247795151801</v>
      </c>
      <c r="CD66" s="81">
        <f t="shared" si="591"/>
        <v>373.76495095438304</v>
      </c>
      <c r="CE66" s="81">
        <f t="shared" si="591"/>
        <v>197.79905593717865</v>
      </c>
      <c r="CF66" s="81">
        <f t="shared" si="591"/>
        <v>123.44617876520849</v>
      </c>
      <c r="CG66" s="81">
        <f t="shared" si="591"/>
        <v>75.183174018522749</v>
      </c>
      <c r="CH66" s="81">
        <f t="shared" si="591"/>
        <v>53.210228340701661</v>
      </c>
    </row>
    <row r="67" spans="1:86">
      <c r="A67" s="233">
        <v>55</v>
      </c>
      <c r="B67" s="26" t="s">
        <v>535</v>
      </c>
      <c r="C67" s="81">
        <f>C$63*('Bill Frequency'!C23+'Contract &amp; Vol Adj'!C23)/'Bill Frequency'!C$24</f>
        <v>0</v>
      </c>
      <c r="D67" s="81">
        <f>D$63*('Bill Frequency'!D23+'Contract &amp; Vol Adj'!D23)/'Bill Frequency'!D$24</f>
        <v>0</v>
      </c>
      <c r="E67" s="81">
        <f>E$63*('Bill Frequency'!E23+'Contract &amp; Vol Adj'!E23)/'Bill Frequency'!E$24</f>
        <v>0</v>
      </c>
      <c r="F67" s="81">
        <f>F$63*('Bill Frequency'!F23+'Contract &amp; Vol Adj'!F23)/'Bill Frequency'!F$24</f>
        <v>0</v>
      </c>
      <c r="G67" s="81">
        <f>G$63*('Bill Frequency'!G23+'Contract &amp; Vol Adj'!G23)/'Bill Frequency'!G$24</f>
        <v>0</v>
      </c>
      <c r="H67" s="81">
        <f>H$63*('Bill Frequency'!H23+'Contract &amp; Vol Adj'!H23)/'Bill Frequency'!H$24</f>
        <v>0</v>
      </c>
      <c r="I67" s="81">
        <f>I$63*('Bill Frequency'!I23+'Contract &amp; Vol Adj'!I23)/'Bill Frequency'!I$24</f>
        <v>0</v>
      </c>
      <c r="J67" s="81">
        <f>J$63*('Bill Frequency'!J23+'Contract &amp; Vol Adj'!J23)/'Bill Frequency'!J$24</f>
        <v>0</v>
      </c>
      <c r="K67" s="81">
        <f>K$63*('Bill Frequency'!K23+'Contract &amp; Vol Adj'!K23)/'Bill Frequency'!K$24</f>
        <v>0</v>
      </c>
      <c r="L67" s="81">
        <f>L$63*('Bill Frequency'!L23+'Contract &amp; Vol Adj'!L23)/'Bill Frequency'!L$24</f>
        <v>0</v>
      </c>
      <c r="M67" s="81">
        <f>M$63*('Bill Frequency'!M23+'Contract &amp; Vol Adj'!M23)/'Bill Frequency'!M$24</f>
        <v>0</v>
      </c>
      <c r="N67" s="81">
        <f>N$63*('Bill Frequency'!N23+'Contract &amp; Vol Adj'!N23)/'Bill Frequency'!N$24</f>
        <v>0</v>
      </c>
      <c r="O67" s="81">
        <f>IFERROR(C67/C$68*O$63,0)</f>
        <v>0</v>
      </c>
      <c r="P67" s="81">
        <f t="shared" si="590"/>
        <v>0</v>
      </c>
      <c r="Q67" s="81">
        <f t="shared" si="590"/>
        <v>0</v>
      </c>
      <c r="R67" s="81">
        <f t="shared" si="590"/>
        <v>0</v>
      </c>
      <c r="S67" s="81">
        <f t="shared" si="590"/>
        <v>0</v>
      </c>
      <c r="T67" s="81">
        <f t="shared" si="590"/>
        <v>0</v>
      </c>
      <c r="U67" s="81">
        <f t="shared" si="590"/>
        <v>0</v>
      </c>
      <c r="V67" s="81">
        <f t="shared" si="590"/>
        <v>0</v>
      </c>
      <c r="W67" s="81">
        <f t="shared" si="590"/>
        <v>0</v>
      </c>
      <c r="X67" s="81">
        <f t="shared" si="590"/>
        <v>0</v>
      </c>
      <c r="Y67" s="81">
        <f t="shared" si="590"/>
        <v>0</v>
      </c>
      <c r="Z67" s="81">
        <f t="shared" si="590"/>
        <v>0</v>
      </c>
      <c r="AA67" s="81">
        <f t="shared" si="590"/>
        <v>0</v>
      </c>
      <c r="AB67" s="81">
        <f t="shared" si="590"/>
        <v>0</v>
      </c>
      <c r="AC67" s="81">
        <f t="shared" si="590"/>
        <v>0</v>
      </c>
      <c r="AD67" s="81">
        <f t="shared" si="590"/>
        <v>0</v>
      </c>
      <c r="AE67" s="81">
        <f t="shared" si="590"/>
        <v>0</v>
      </c>
      <c r="AF67" s="81">
        <f t="shared" si="590"/>
        <v>0</v>
      </c>
      <c r="AG67" s="81">
        <f t="shared" si="590"/>
        <v>0</v>
      </c>
      <c r="AH67" s="81">
        <f t="shared" si="590"/>
        <v>0</v>
      </c>
      <c r="AI67" s="81">
        <f t="shared" si="590"/>
        <v>0</v>
      </c>
      <c r="AJ67" s="81">
        <f t="shared" si="590"/>
        <v>0</v>
      </c>
      <c r="AK67" s="81">
        <f t="shared" si="590"/>
        <v>0</v>
      </c>
      <c r="AL67" s="81">
        <f t="shared" si="590"/>
        <v>0</v>
      </c>
      <c r="AM67" s="81">
        <f t="shared" si="590"/>
        <v>0</v>
      </c>
      <c r="AN67" s="81">
        <f t="shared" si="590"/>
        <v>0</v>
      </c>
      <c r="AO67" s="81">
        <f t="shared" si="590"/>
        <v>0</v>
      </c>
      <c r="AP67" s="81">
        <f t="shared" si="590"/>
        <v>0</v>
      </c>
      <c r="AQ67" s="81">
        <f t="shared" si="590"/>
        <v>0</v>
      </c>
      <c r="AR67" s="81">
        <f t="shared" si="590"/>
        <v>0</v>
      </c>
      <c r="AS67" s="81">
        <f t="shared" si="590"/>
        <v>0</v>
      </c>
      <c r="AT67" s="81">
        <f t="shared" si="590"/>
        <v>0</v>
      </c>
      <c r="AU67" s="81">
        <f t="shared" si="590"/>
        <v>0</v>
      </c>
      <c r="AV67" s="81">
        <f t="shared" si="590"/>
        <v>0</v>
      </c>
      <c r="AW67" s="81">
        <f t="shared" si="590"/>
        <v>0</v>
      </c>
      <c r="AX67" s="81">
        <f t="shared" si="590"/>
        <v>0</v>
      </c>
      <c r="AY67" s="81">
        <f t="shared" si="590"/>
        <v>0</v>
      </c>
      <c r="AZ67" s="81">
        <f t="shared" si="590"/>
        <v>0</v>
      </c>
      <c r="BA67" s="81">
        <f t="shared" si="590"/>
        <v>0</v>
      </c>
      <c r="BB67" s="81">
        <f t="shared" si="590"/>
        <v>0</v>
      </c>
      <c r="BC67" s="81">
        <f t="shared" si="590"/>
        <v>0</v>
      </c>
      <c r="BD67" s="81">
        <f t="shared" si="590"/>
        <v>0</v>
      </c>
      <c r="BE67" s="81">
        <f t="shared" si="590"/>
        <v>0</v>
      </c>
      <c r="BF67" s="81">
        <f t="shared" si="590"/>
        <v>0</v>
      </c>
      <c r="BG67" s="81">
        <f t="shared" si="590"/>
        <v>0</v>
      </c>
      <c r="BH67" s="81">
        <f t="shared" si="590"/>
        <v>0</v>
      </c>
      <c r="BI67" s="81">
        <f t="shared" si="590"/>
        <v>0</v>
      </c>
      <c r="BJ67" s="81">
        <f t="shared" si="590"/>
        <v>0</v>
      </c>
      <c r="BK67" s="81">
        <f t="shared" si="590"/>
        <v>0</v>
      </c>
      <c r="BL67" s="81">
        <f t="shared" si="590"/>
        <v>0</v>
      </c>
      <c r="BM67" s="81">
        <f t="shared" si="590"/>
        <v>0</v>
      </c>
      <c r="BN67" s="81">
        <f t="shared" si="590"/>
        <v>0</v>
      </c>
      <c r="BO67" s="81">
        <f t="shared" si="590"/>
        <v>0</v>
      </c>
      <c r="BP67" s="81">
        <f t="shared" si="590"/>
        <v>0</v>
      </c>
      <c r="BQ67" s="81">
        <f t="shared" si="590"/>
        <v>0</v>
      </c>
      <c r="BR67" s="81">
        <f t="shared" si="590"/>
        <v>0</v>
      </c>
      <c r="BS67" s="81">
        <f t="shared" si="590"/>
        <v>0</v>
      </c>
      <c r="BT67" s="81">
        <f t="shared" si="590"/>
        <v>0</v>
      </c>
      <c r="BU67" s="81">
        <f t="shared" si="590"/>
        <v>0</v>
      </c>
      <c r="BV67" s="81">
        <f t="shared" si="590"/>
        <v>0</v>
      </c>
      <c r="BW67" s="81">
        <f t="shared" si="590"/>
        <v>0</v>
      </c>
      <c r="BX67" s="81">
        <f t="shared" si="590"/>
        <v>0</v>
      </c>
      <c r="BY67" s="81">
        <f t="shared" si="590"/>
        <v>0</v>
      </c>
      <c r="BZ67" s="81">
        <f t="shared" si="590"/>
        <v>0</v>
      </c>
      <c r="CA67" s="81">
        <f t="shared" si="590"/>
        <v>0</v>
      </c>
      <c r="CB67" s="81">
        <f t="shared" si="591"/>
        <v>0</v>
      </c>
      <c r="CC67" s="81">
        <f t="shared" si="591"/>
        <v>0</v>
      </c>
      <c r="CD67" s="81">
        <f t="shared" si="591"/>
        <v>0</v>
      </c>
      <c r="CE67" s="81">
        <f t="shared" si="591"/>
        <v>0</v>
      </c>
      <c r="CF67" s="81">
        <f t="shared" si="591"/>
        <v>0</v>
      </c>
      <c r="CG67" s="81">
        <f t="shared" si="591"/>
        <v>0</v>
      </c>
      <c r="CH67" s="81">
        <f t="shared" si="591"/>
        <v>0</v>
      </c>
    </row>
    <row r="68" spans="1:86" ht="13.5" thickBot="1">
      <c r="A68" s="233">
        <v>56</v>
      </c>
      <c r="B68" s="26" t="s">
        <v>18</v>
      </c>
      <c r="C68" s="488">
        <f>SUM(C65:C67)</f>
        <v>-11589.999999999998</v>
      </c>
      <c r="D68" s="488">
        <f t="shared" ref="D68:N68" si="592">SUM(D65:D67)</f>
        <v>11590</v>
      </c>
      <c r="E68" s="488">
        <f t="shared" si="592"/>
        <v>-50050</v>
      </c>
      <c r="F68" s="488">
        <f t="shared" si="592"/>
        <v>-36685</v>
      </c>
      <c r="G68" s="488">
        <f t="shared" si="592"/>
        <v>153709</v>
      </c>
      <c r="H68" s="488">
        <f t="shared" si="592"/>
        <v>174721</v>
      </c>
      <c r="I68" s="488">
        <f t="shared" si="592"/>
        <v>-76915</v>
      </c>
      <c r="J68" s="488">
        <f t="shared" si="592"/>
        <v>103998.00000000001</v>
      </c>
      <c r="K68" s="488">
        <f t="shared" si="592"/>
        <v>190128</v>
      </c>
      <c r="L68" s="488">
        <f t="shared" si="592"/>
        <v>91280.000000000015</v>
      </c>
      <c r="M68" s="488">
        <f t="shared" si="592"/>
        <v>69524</v>
      </c>
      <c r="N68" s="488">
        <f t="shared" si="592"/>
        <v>-3030</v>
      </c>
      <c r="O68" s="488">
        <f t="shared" ref="O68:BZ68" si="593">SUM(O65:O67)</f>
        <v>420.7540007874486</v>
      </c>
      <c r="P68" s="488">
        <f t="shared" si="593"/>
        <v>420.7540007874486</v>
      </c>
      <c r="Q68" s="488">
        <f t="shared" si="593"/>
        <v>425.93400078744162</v>
      </c>
      <c r="R68" s="488">
        <f t="shared" si="593"/>
        <v>608.21100078744348</v>
      </c>
      <c r="S68" s="488">
        <f t="shared" si="593"/>
        <v>1376.594000787416</v>
      </c>
      <c r="T68" s="488">
        <f t="shared" si="593"/>
        <v>2155.7488007874927</v>
      </c>
      <c r="U68" s="488">
        <f t="shared" si="593"/>
        <v>2549.6518007874261</v>
      </c>
      <c r="V68" s="488">
        <f t="shared" si="593"/>
        <v>2742.4384007875342</v>
      </c>
      <c r="W68" s="488">
        <f t="shared" si="593"/>
        <v>1973.7444007874001</v>
      </c>
      <c r="X68" s="488">
        <f t="shared" si="593"/>
        <v>1331.2546007873607</v>
      </c>
      <c r="Y68" s="488">
        <f t="shared" si="593"/>
        <v>772.63840078742942</v>
      </c>
      <c r="Z68" s="488">
        <f t="shared" si="593"/>
        <v>457.01400078745792</v>
      </c>
      <c r="AA68" s="488">
        <f t="shared" si="593"/>
        <v>420.7540007874195</v>
      </c>
      <c r="AB68" s="488">
        <f t="shared" si="593"/>
        <v>420.7540007874486</v>
      </c>
      <c r="AC68" s="488">
        <f t="shared" si="593"/>
        <v>425.93400078744162</v>
      </c>
      <c r="AD68" s="488">
        <f t="shared" si="593"/>
        <v>608.231000787433</v>
      </c>
      <c r="AE68" s="488">
        <f t="shared" si="593"/>
        <v>1376.6940007875091</v>
      </c>
      <c r="AF68" s="488">
        <f t="shared" si="593"/>
        <v>2155.9288007874275</v>
      </c>
      <c r="AG68" s="488">
        <f t="shared" si="593"/>
        <v>2549.8718007873972</v>
      </c>
      <c r="AH68" s="488">
        <f t="shared" si="593"/>
        <v>2742.6784007872925</v>
      </c>
      <c r="AI68" s="488">
        <f t="shared" si="593"/>
        <v>1973.9044007874327</v>
      </c>
      <c r="AJ68" s="488">
        <f t="shared" si="593"/>
        <v>1331.3446007874443</v>
      </c>
      <c r="AK68" s="488">
        <f t="shared" si="593"/>
        <v>772.67840078740846</v>
      </c>
      <c r="AL68" s="488">
        <f t="shared" si="593"/>
        <v>457.01400078745792</v>
      </c>
      <c r="AM68" s="488">
        <f t="shared" si="593"/>
        <v>420.7540007874486</v>
      </c>
      <c r="AN68" s="488">
        <f t="shared" si="593"/>
        <v>420.7540007874486</v>
      </c>
      <c r="AO68" s="488">
        <f t="shared" si="593"/>
        <v>425.93400078747072</v>
      </c>
      <c r="AP68" s="488">
        <f t="shared" si="593"/>
        <v>608.25100078745163</v>
      </c>
      <c r="AQ68" s="488">
        <f t="shared" si="593"/>
        <v>1376.7940007874274</v>
      </c>
      <c r="AR68" s="488">
        <f t="shared" si="593"/>
        <v>2156.1088007874787</v>
      </c>
      <c r="AS68" s="488">
        <f t="shared" si="593"/>
        <v>2550.0918007874861</v>
      </c>
      <c r="AT68" s="488">
        <f t="shared" si="593"/>
        <v>2742.9184007875156</v>
      </c>
      <c r="AU68" s="488">
        <f t="shared" si="593"/>
        <v>1974.0644007874655</v>
      </c>
      <c r="AV68" s="488">
        <f t="shared" si="593"/>
        <v>1333.3330007875338</v>
      </c>
      <c r="AW68" s="488">
        <f t="shared" si="593"/>
        <v>770.84980078745866</v>
      </c>
      <c r="AX68" s="488">
        <f t="shared" si="593"/>
        <v>458.84570078746759</v>
      </c>
      <c r="AY68" s="488">
        <f t="shared" si="593"/>
        <v>420.7540007874486</v>
      </c>
      <c r="AZ68" s="488">
        <f t="shared" si="593"/>
        <v>420.7540007874486</v>
      </c>
      <c r="BA68" s="488">
        <f t="shared" si="593"/>
        <v>425.93400078744162</v>
      </c>
      <c r="BB68" s="488">
        <f t="shared" si="593"/>
        <v>608.27100078744115</v>
      </c>
      <c r="BC68" s="488">
        <f t="shared" si="593"/>
        <v>1376.8940007874044</v>
      </c>
      <c r="BD68" s="488">
        <f t="shared" si="593"/>
        <v>2156.2888007872971</v>
      </c>
      <c r="BE68" s="488">
        <f t="shared" si="593"/>
        <v>2550.3118007874582</v>
      </c>
      <c r="BF68" s="488">
        <f t="shared" si="593"/>
        <v>2743.1584007873898</v>
      </c>
      <c r="BG68" s="488">
        <f t="shared" si="593"/>
        <v>1974.2244007874979</v>
      </c>
      <c r="BH68" s="488">
        <f t="shared" si="593"/>
        <v>1331.5296007873258</v>
      </c>
      <c r="BI68" s="488">
        <f t="shared" si="593"/>
        <v>772.75340078747831</v>
      </c>
      <c r="BJ68" s="488">
        <f t="shared" si="593"/>
        <v>457.01900078743353</v>
      </c>
      <c r="BK68" s="488">
        <f t="shared" si="593"/>
        <v>420.7540007874486</v>
      </c>
      <c r="BL68" s="488">
        <f t="shared" si="593"/>
        <v>420.7540007874486</v>
      </c>
      <c r="BM68" s="488">
        <f t="shared" si="593"/>
        <v>425.93400078744162</v>
      </c>
      <c r="BN68" s="488">
        <f t="shared" si="593"/>
        <v>608.29100078743068</v>
      </c>
      <c r="BO68" s="488">
        <f t="shared" si="593"/>
        <v>1375.1430007874153</v>
      </c>
      <c r="BP68" s="488">
        <f t="shared" si="593"/>
        <v>2154.590200787643</v>
      </c>
      <c r="BQ68" s="488">
        <f t="shared" si="593"/>
        <v>2550.5318007874303</v>
      </c>
      <c r="BR68" s="488">
        <f t="shared" si="593"/>
        <v>2741.4953007875006</v>
      </c>
      <c r="BS68" s="488">
        <f t="shared" si="593"/>
        <v>1974.3844007872974</v>
      </c>
      <c r="BT68" s="488">
        <f t="shared" si="593"/>
        <v>1331.6196007874676</v>
      </c>
      <c r="BU68" s="488">
        <f t="shared" si="593"/>
        <v>770.91480078740278</v>
      </c>
      <c r="BV68" s="488">
        <f t="shared" si="593"/>
        <v>458.86070078745252</v>
      </c>
      <c r="BW68" s="488">
        <f t="shared" si="593"/>
        <v>420.7540007874486</v>
      </c>
      <c r="BX68" s="488">
        <f t="shared" si="593"/>
        <v>420.7540007874195</v>
      </c>
      <c r="BY68" s="488">
        <f t="shared" si="593"/>
        <v>425.93400078744162</v>
      </c>
      <c r="BZ68" s="488">
        <f t="shared" si="593"/>
        <v>608.31100078747841</v>
      </c>
      <c r="CA68" s="488">
        <f t="shared" ref="CA68:CH68" si="594">SUM(CA65:CA67)</f>
        <v>1377.0890007874111</v>
      </c>
      <c r="CB68" s="488">
        <f t="shared" si="594"/>
        <v>2156.6438007873949</v>
      </c>
      <c r="CC68" s="488">
        <f t="shared" si="594"/>
        <v>2548.8419007874327</v>
      </c>
      <c r="CD68" s="488">
        <f t="shared" si="594"/>
        <v>2743.633400787483</v>
      </c>
      <c r="CE68" s="488">
        <f t="shared" si="594"/>
        <v>1972.6350007874426</v>
      </c>
      <c r="CF68" s="488">
        <f t="shared" si="594"/>
        <v>1333.6230007873967</v>
      </c>
      <c r="CG68" s="488">
        <f t="shared" si="594"/>
        <v>772.82840078743175</v>
      </c>
      <c r="CH68" s="488">
        <f t="shared" si="594"/>
        <v>457.02400078743813</v>
      </c>
    </row>
    <row r="69" spans="1:86" ht="13.5" thickTop="1">
      <c r="A69" s="233">
        <v>57</v>
      </c>
    </row>
    <row r="70" spans="1:86">
      <c r="A70" s="233">
        <v>58</v>
      </c>
      <c r="C70" s="98"/>
    </row>
    <row r="71" spans="1:86">
      <c r="A71" s="233">
        <v>59</v>
      </c>
      <c r="B71" s="23" t="s">
        <v>56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81"/>
    </row>
    <row r="72" spans="1:86">
      <c r="A72" s="233">
        <v>60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29"/>
    </row>
    <row r="73" spans="1:86">
      <c r="A73" s="233">
        <v>61</v>
      </c>
      <c r="B73" s="26" t="s">
        <v>540</v>
      </c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99">
        <v>0</v>
      </c>
      <c r="P73" s="99">
        <f>O73</f>
        <v>0</v>
      </c>
      <c r="Q73" s="99">
        <f t="shared" ref="Q73:Q75" si="595">P73</f>
        <v>0</v>
      </c>
      <c r="R73" s="99">
        <f t="shared" ref="R73:R75" si="596">Q73</f>
        <v>0</v>
      </c>
      <c r="S73" s="99">
        <f t="shared" ref="S73:S75" si="597">R73</f>
        <v>0</v>
      </c>
      <c r="T73" s="99">
        <f t="shared" ref="T73:T75" si="598">S73</f>
        <v>0</v>
      </c>
      <c r="U73" s="99">
        <f t="shared" ref="U73:U75" si="599">T73</f>
        <v>0</v>
      </c>
      <c r="V73" s="99">
        <f t="shared" ref="V73:V75" si="600">U73</f>
        <v>0</v>
      </c>
      <c r="W73" s="99">
        <f t="shared" ref="W73:W75" si="601">V73</f>
        <v>0</v>
      </c>
      <c r="X73" s="99">
        <f t="shared" ref="X73:X75" si="602">W73</f>
        <v>0</v>
      </c>
      <c r="Y73" s="99">
        <f t="shared" ref="Y73:Y75" si="603">X73</f>
        <v>0</v>
      </c>
      <c r="Z73" s="99">
        <f t="shared" ref="Z73:Z75" si="604">Y73</f>
        <v>0</v>
      </c>
      <c r="AA73" s="99">
        <f t="shared" ref="AA73:AA75" si="605">Z73</f>
        <v>0</v>
      </c>
      <c r="AB73" s="99">
        <f t="shared" ref="AB73:AB75" si="606">AA73</f>
        <v>0</v>
      </c>
      <c r="AC73" s="99">
        <f t="shared" ref="AC73:AC75" si="607">AB73</f>
        <v>0</v>
      </c>
      <c r="AD73" s="99">
        <f t="shared" ref="AD73:AD75" si="608">AC73</f>
        <v>0</v>
      </c>
      <c r="AE73" s="99">
        <f t="shared" ref="AE73:AE75" si="609">AD73</f>
        <v>0</v>
      </c>
      <c r="AF73" s="99">
        <f t="shared" ref="AF73:AF75" si="610">AE73</f>
        <v>0</v>
      </c>
      <c r="AG73" s="99">
        <f t="shared" ref="AG73:AG75" si="611">AF73</f>
        <v>0</v>
      </c>
      <c r="AH73" s="99">
        <f t="shared" ref="AH73:AH75" si="612">AG73</f>
        <v>0</v>
      </c>
      <c r="AI73" s="99">
        <f t="shared" ref="AI73:AI75" si="613">AH73</f>
        <v>0</v>
      </c>
      <c r="AJ73" s="99">
        <f t="shared" ref="AJ73:AJ75" si="614">AI73</f>
        <v>0</v>
      </c>
      <c r="AK73" s="99">
        <f t="shared" ref="AK73:AK75" si="615">AJ73</f>
        <v>0</v>
      </c>
      <c r="AL73" s="99">
        <f t="shared" ref="AL73:AL75" si="616">AK73</f>
        <v>0</v>
      </c>
      <c r="AM73" s="99">
        <f t="shared" ref="AM73:AM75" si="617">AL73</f>
        <v>0</v>
      </c>
      <c r="AN73" s="99">
        <f t="shared" ref="AN73:AN75" si="618">AM73</f>
        <v>0</v>
      </c>
      <c r="AO73" s="99">
        <f t="shared" ref="AO73:AO75" si="619">AN73</f>
        <v>0</v>
      </c>
      <c r="AP73" s="99">
        <f t="shared" ref="AP73:AP75" si="620">AO73</f>
        <v>0</v>
      </c>
      <c r="AQ73" s="99">
        <f t="shared" ref="AQ73:AQ75" si="621">AP73</f>
        <v>0</v>
      </c>
      <c r="AR73" s="99">
        <f t="shared" ref="AR73:AR75" si="622">AQ73</f>
        <v>0</v>
      </c>
      <c r="AS73" s="99">
        <f t="shared" ref="AS73:AS75" si="623">AR73</f>
        <v>0</v>
      </c>
      <c r="AT73" s="99">
        <f t="shared" ref="AT73:AT75" si="624">AS73</f>
        <v>0</v>
      </c>
      <c r="AU73" s="99">
        <f t="shared" ref="AU73:AU75" si="625">AT73</f>
        <v>0</v>
      </c>
      <c r="AV73" s="99">
        <f t="shared" ref="AV73:AV75" si="626">AU73</f>
        <v>0</v>
      </c>
      <c r="AW73" s="99">
        <f t="shared" ref="AW73:AW75" si="627">AV73</f>
        <v>0</v>
      </c>
      <c r="AX73" s="99">
        <f t="shared" ref="AX73:AX75" si="628">AW73</f>
        <v>0</v>
      </c>
      <c r="AY73" s="99">
        <f t="shared" ref="AY73:AY75" si="629">AX73</f>
        <v>0</v>
      </c>
      <c r="AZ73" s="99">
        <f t="shared" ref="AZ73:AZ75" si="630">AY73</f>
        <v>0</v>
      </c>
      <c r="BA73" s="99">
        <f t="shared" ref="BA73:BA75" si="631">AZ73</f>
        <v>0</v>
      </c>
      <c r="BB73" s="99">
        <f t="shared" ref="BB73:BB75" si="632">BA73</f>
        <v>0</v>
      </c>
      <c r="BC73" s="99">
        <f t="shared" ref="BC73:BC75" si="633">BB73</f>
        <v>0</v>
      </c>
      <c r="BD73" s="99">
        <f t="shared" ref="BD73:BD75" si="634">BC73</f>
        <v>0</v>
      </c>
      <c r="BE73" s="99">
        <f t="shared" ref="BE73:BE75" si="635">BD73</f>
        <v>0</v>
      </c>
      <c r="BF73" s="99">
        <f t="shared" ref="BF73:BF75" si="636">BE73</f>
        <v>0</v>
      </c>
      <c r="BG73" s="99">
        <f t="shared" ref="BG73:BG75" si="637">BF73</f>
        <v>0</v>
      </c>
      <c r="BH73" s="99">
        <f t="shared" ref="BH73:BH75" si="638">BG73</f>
        <v>0</v>
      </c>
      <c r="BI73" s="99">
        <f t="shared" ref="BI73:BI75" si="639">BH73</f>
        <v>0</v>
      </c>
      <c r="BJ73" s="99">
        <f t="shared" ref="BJ73:BJ75" si="640">BI73</f>
        <v>0</v>
      </c>
      <c r="BK73" s="99">
        <f t="shared" ref="BK73:BK75" si="641">BJ73</f>
        <v>0</v>
      </c>
      <c r="BL73" s="99">
        <f t="shared" ref="BL73:BL75" si="642">BK73</f>
        <v>0</v>
      </c>
      <c r="BM73" s="99">
        <f t="shared" ref="BM73:BM75" si="643">BL73</f>
        <v>0</v>
      </c>
      <c r="BN73" s="99">
        <f t="shared" ref="BN73:BN75" si="644">BM73</f>
        <v>0</v>
      </c>
      <c r="BO73" s="99">
        <f t="shared" ref="BO73:BO75" si="645">BN73</f>
        <v>0</v>
      </c>
      <c r="BP73" s="99">
        <f t="shared" ref="BP73:BP75" si="646">BO73</f>
        <v>0</v>
      </c>
      <c r="BQ73" s="99">
        <f t="shared" ref="BQ73:BQ75" si="647">BP73</f>
        <v>0</v>
      </c>
      <c r="BR73" s="99">
        <f t="shared" ref="BR73:BR75" si="648">BQ73</f>
        <v>0</v>
      </c>
      <c r="BS73" s="99">
        <f t="shared" ref="BS73:BS75" si="649">BR73</f>
        <v>0</v>
      </c>
      <c r="BT73" s="99">
        <f t="shared" ref="BT73:BT75" si="650">BS73</f>
        <v>0</v>
      </c>
      <c r="BU73" s="99">
        <f t="shared" ref="BU73:BU75" si="651">BT73</f>
        <v>0</v>
      </c>
      <c r="BV73" s="99">
        <f t="shared" ref="BV73:BV75" si="652">BU73</f>
        <v>0</v>
      </c>
      <c r="BW73" s="99">
        <f t="shared" ref="BW73:BW75" si="653">BV73</f>
        <v>0</v>
      </c>
      <c r="BX73" s="99">
        <f t="shared" ref="BX73:BX75" si="654">BW73</f>
        <v>0</v>
      </c>
      <c r="BY73" s="99">
        <f t="shared" ref="BY73:BY75" si="655">BX73</f>
        <v>0</v>
      </c>
      <c r="BZ73" s="99">
        <f t="shared" ref="BZ73:BZ75" si="656">BY73</f>
        <v>0</v>
      </c>
      <c r="CA73" s="99">
        <f t="shared" ref="CA73:CA75" si="657">BZ73</f>
        <v>0</v>
      </c>
      <c r="CB73" s="99">
        <f t="shared" ref="CB73:CB75" si="658">CA73</f>
        <v>0</v>
      </c>
      <c r="CC73" s="99">
        <f t="shared" ref="CC73:CC75" si="659">CB73</f>
        <v>0</v>
      </c>
      <c r="CD73" s="99">
        <f t="shared" ref="CD73:CD75" si="660">CC73</f>
        <v>0</v>
      </c>
      <c r="CE73" s="99">
        <f t="shared" ref="CE73:CE75" si="661">CD73</f>
        <v>0</v>
      </c>
      <c r="CF73" s="99">
        <f t="shared" ref="CF73:CF75" si="662">CE73</f>
        <v>0</v>
      </c>
      <c r="CG73" s="99">
        <f t="shared" ref="CG73:CG75" si="663">CF73</f>
        <v>0</v>
      </c>
      <c r="CH73" s="99">
        <f t="shared" ref="CH73:CH75" si="664">CG73</f>
        <v>0</v>
      </c>
    </row>
    <row r="74" spans="1:86">
      <c r="A74" s="233">
        <v>62</v>
      </c>
      <c r="B74" s="26" t="s">
        <v>541</v>
      </c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99">
        <v>0</v>
      </c>
      <c r="P74" s="99">
        <f t="shared" ref="P74:P75" si="665">O74</f>
        <v>0</v>
      </c>
      <c r="Q74" s="99">
        <f t="shared" si="595"/>
        <v>0</v>
      </c>
      <c r="R74" s="99">
        <f t="shared" si="596"/>
        <v>0</v>
      </c>
      <c r="S74" s="99">
        <f t="shared" si="597"/>
        <v>0</v>
      </c>
      <c r="T74" s="99">
        <f t="shared" si="598"/>
        <v>0</v>
      </c>
      <c r="U74" s="99">
        <f t="shared" si="599"/>
        <v>0</v>
      </c>
      <c r="V74" s="99">
        <f t="shared" si="600"/>
        <v>0</v>
      </c>
      <c r="W74" s="99">
        <f t="shared" si="601"/>
        <v>0</v>
      </c>
      <c r="X74" s="99">
        <f t="shared" si="602"/>
        <v>0</v>
      </c>
      <c r="Y74" s="99">
        <f t="shared" si="603"/>
        <v>0</v>
      </c>
      <c r="Z74" s="99">
        <f t="shared" si="604"/>
        <v>0</v>
      </c>
      <c r="AA74" s="99">
        <f t="shared" si="605"/>
        <v>0</v>
      </c>
      <c r="AB74" s="99">
        <f t="shared" si="606"/>
        <v>0</v>
      </c>
      <c r="AC74" s="99">
        <f t="shared" si="607"/>
        <v>0</v>
      </c>
      <c r="AD74" s="99">
        <f t="shared" si="608"/>
        <v>0</v>
      </c>
      <c r="AE74" s="99">
        <f t="shared" si="609"/>
        <v>0</v>
      </c>
      <c r="AF74" s="99">
        <f t="shared" si="610"/>
        <v>0</v>
      </c>
      <c r="AG74" s="99">
        <f t="shared" si="611"/>
        <v>0</v>
      </c>
      <c r="AH74" s="99">
        <f t="shared" si="612"/>
        <v>0</v>
      </c>
      <c r="AI74" s="99">
        <f t="shared" si="613"/>
        <v>0</v>
      </c>
      <c r="AJ74" s="99">
        <f t="shared" si="614"/>
        <v>0</v>
      </c>
      <c r="AK74" s="99">
        <f t="shared" si="615"/>
        <v>0</v>
      </c>
      <c r="AL74" s="99">
        <f t="shared" si="616"/>
        <v>0</v>
      </c>
      <c r="AM74" s="99">
        <f t="shared" si="617"/>
        <v>0</v>
      </c>
      <c r="AN74" s="99">
        <f t="shared" si="618"/>
        <v>0</v>
      </c>
      <c r="AO74" s="99">
        <f t="shared" si="619"/>
        <v>0</v>
      </c>
      <c r="AP74" s="99">
        <f t="shared" si="620"/>
        <v>0</v>
      </c>
      <c r="AQ74" s="99">
        <f t="shared" si="621"/>
        <v>0</v>
      </c>
      <c r="AR74" s="99">
        <f t="shared" si="622"/>
        <v>0</v>
      </c>
      <c r="AS74" s="99">
        <f t="shared" si="623"/>
        <v>0</v>
      </c>
      <c r="AT74" s="99">
        <f t="shared" si="624"/>
        <v>0</v>
      </c>
      <c r="AU74" s="99">
        <f t="shared" si="625"/>
        <v>0</v>
      </c>
      <c r="AV74" s="99">
        <f t="shared" si="626"/>
        <v>0</v>
      </c>
      <c r="AW74" s="99">
        <f t="shared" si="627"/>
        <v>0</v>
      </c>
      <c r="AX74" s="99">
        <f t="shared" si="628"/>
        <v>0</v>
      </c>
      <c r="AY74" s="99">
        <f t="shared" si="629"/>
        <v>0</v>
      </c>
      <c r="AZ74" s="99">
        <f t="shared" si="630"/>
        <v>0</v>
      </c>
      <c r="BA74" s="99">
        <f t="shared" si="631"/>
        <v>0</v>
      </c>
      <c r="BB74" s="99">
        <f t="shared" si="632"/>
        <v>0</v>
      </c>
      <c r="BC74" s="99">
        <f t="shared" si="633"/>
        <v>0</v>
      </c>
      <c r="BD74" s="99">
        <f t="shared" si="634"/>
        <v>0</v>
      </c>
      <c r="BE74" s="99">
        <f t="shared" si="635"/>
        <v>0</v>
      </c>
      <c r="BF74" s="99">
        <f t="shared" si="636"/>
        <v>0</v>
      </c>
      <c r="BG74" s="99">
        <f t="shared" si="637"/>
        <v>0</v>
      </c>
      <c r="BH74" s="99">
        <f t="shared" si="638"/>
        <v>0</v>
      </c>
      <c r="BI74" s="99">
        <f t="shared" si="639"/>
        <v>0</v>
      </c>
      <c r="BJ74" s="99">
        <f t="shared" si="640"/>
        <v>0</v>
      </c>
      <c r="BK74" s="99">
        <f t="shared" si="641"/>
        <v>0</v>
      </c>
      <c r="BL74" s="99">
        <f t="shared" si="642"/>
        <v>0</v>
      </c>
      <c r="BM74" s="99">
        <f t="shared" si="643"/>
        <v>0</v>
      </c>
      <c r="BN74" s="99">
        <f t="shared" si="644"/>
        <v>0</v>
      </c>
      <c r="BO74" s="99">
        <f t="shared" si="645"/>
        <v>0</v>
      </c>
      <c r="BP74" s="99">
        <f t="shared" si="646"/>
        <v>0</v>
      </c>
      <c r="BQ74" s="99">
        <f t="shared" si="647"/>
        <v>0</v>
      </c>
      <c r="BR74" s="99">
        <f t="shared" si="648"/>
        <v>0</v>
      </c>
      <c r="BS74" s="99">
        <f t="shared" si="649"/>
        <v>0</v>
      </c>
      <c r="BT74" s="99">
        <f t="shared" si="650"/>
        <v>0</v>
      </c>
      <c r="BU74" s="99">
        <f t="shared" si="651"/>
        <v>0</v>
      </c>
      <c r="BV74" s="99">
        <f t="shared" si="652"/>
        <v>0</v>
      </c>
      <c r="BW74" s="99">
        <f t="shared" si="653"/>
        <v>0</v>
      </c>
      <c r="BX74" s="99">
        <f t="shared" si="654"/>
        <v>0</v>
      </c>
      <c r="BY74" s="99">
        <f t="shared" si="655"/>
        <v>0</v>
      </c>
      <c r="BZ74" s="99">
        <f t="shared" si="656"/>
        <v>0</v>
      </c>
      <c r="CA74" s="99">
        <f t="shared" si="657"/>
        <v>0</v>
      </c>
      <c r="CB74" s="99">
        <f t="shared" si="658"/>
        <v>0</v>
      </c>
      <c r="CC74" s="99">
        <f t="shared" si="659"/>
        <v>0</v>
      </c>
      <c r="CD74" s="99">
        <f t="shared" si="660"/>
        <v>0</v>
      </c>
      <c r="CE74" s="99">
        <f t="shared" si="661"/>
        <v>0</v>
      </c>
      <c r="CF74" s="99">
        <f t="shared" si="662"/>
        <v>0</v>
      </c>
      <c r="CG74" s="99">
        <f t="shared" si="663"/>
        <v>0</v>
      </c>
      <c r="CH74" s="99">
        <f t="shared" si="664"/>
        <v>0</v>
      </c>
    </row>
    <row r="75" spans="1:86">
      <c r="A75" s="233">
        <v>63</v>
      </c>
      <c r="B75" s="26" t="s">
        <v>542</v>
      </c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99">
        <v>0</v>
      </c>
      <c r="P75" s="99">
        <f t="shared" si="665"/>
        <v>0</v>
      </c>
      <c r="Q75" s="99">
        <f t="shared" si="595"/>
        <v>0</v>
      </c>
      <c r="R75" s="99">
        <f t="shared" si="596"/>
        <v>0</v>
      </c>
      <c r="S75" s="99">
        <f t="shared" si="597"/>
        <v>0</v>
      </c>
      <c r="T75" s="99">
        <f t="shared" si="598"/>
        <v>0</v>
      </c>
      <c r="U75" s="99">
        <f t="shared" si="599"/>
        <v>0</v>
      </c>
      <c r="V75" s="99">
        <f t="shared" si="600"/>
        <v>0</v>
      </c>
      <c r="W75" s="99">
        <f t="shared" si="601"/>
        <v>0</v>
      </c>
      <c r="X75" s="99">
        <f t="shared" si="602"/>
        <v>0</v>
      </c>
      <c r="Y75" s="99">
        <f t="shared" si="603"/>
        <v>0</v>
      </c>
      <c r="Z75" s="99">
        <f t="shared" si="604"/>
        <v>0</v>
      </c>
      <c r="AA75" s="99">
        <f t="shared" si="605"/>
        <v>0</v>
      </c>
      <c r="AB75" s="99">
        <f t="shared" si="606"/>
        <v>0</v>
      </c>
      <c r="AC75" s="99">
        <f t="shared" si="607"/>
        <v>0</v>
      </c>
      <c r="AD75" s="99">
        <f t="shared" si="608"/>
        <v>0</v>
      </c>
      <c r="AE75" s="99">
        <f t="shared" si="609"/>
        <v>0</v>
      </c>
      <c r="AF75" s="99">
        <f t="shared" si="610"/>
        <v>0</v>
      </c>
      <c r="AG75" s="99">
        <f t="shared" si="611"/>
        <v>0</v>
      </c>
      <c r="AH75" s="99">
        <f t="shared" si="612"/>
        <v>0</v>
      </c>
      <c r="AI75" s="99">
        <f t="shared" si="613"/>
        <v>0</v>
      </c>
      <c r="AJ75" s="99">
        <f t="shared" si="614"/>
        <v>0</v>
      </c>
      <c r="AK75" s="99">
        <f t="shared" si="615"/>
        <v>0</v>
      </c>
      <c r="AL75" s="99">
        <f t="shared" si="616"/>
        <v>0</v>
      </c>
      <c r="AM75" s="99">
        <f t="shared" si="617"/>
        <v>0</v>
      </c>
      <c r="AN75" s="99">
        <f t="shared" si="618"/>
        <v>0</v>
      </c>
      <c r="AO75" s="99">
        <f t="shared" si="619"/>
        <v>0</v>
      </c>
      <c r="AP75" s="99">
        <f t="shared" si="620"/>
        <v>0</v>
      </c>
      <c r="AQ75" s="99">
        <f t="shared" si="621"/>
        <v>0</v>
      </c>
      <c r="AR75" s="99">
        <f t="shared" si="622"/>
        <v>0</v>
      </c>
      <c r="AS75" s="99">
        <f t="shared" si="623"/>
        <v>0</v>
      </c>
      <c r="AT75" s="99">
        <f t="shared" si="624"/>
        <v>0</v>
      </c>
      <c r="AU75" s="99">
        <f t="shared" si="625"/>
        <v>0</v>
      </c>
      <c r="AV75" s="99">
        <f t="shared" si="626"/>
        <v>0</v>
      </c>
      <c r="AW75" s="99">
        <f t="shared" si="627"/>
        <v>0</v>
      </c>
      <c r="AX75" s="99">
        <f t="shared" si="628"/>
        <v>0</v>
      </c>
      <c r="AY75" s="99">
        <f t="shared" si="629"/>
        <v>0</v>
      </c>
      <c r="AZ75" s="99">
        <f t="shared" si="630"/>
        <v>0</v>
      </c>
      <c r="BA75" s="99">
        <f t="shared" si="631"/>
        <v>0</v>
      </c>
      <c r="BB75" s="99">
        <f t="shared" si="632"/>
        <v>0</v>
      </c>
      <c r="BC75" s="99">
        <f t="shared" si="633"/>
        <v>0</v>
      </c>
      <c r="BD75" s="99">
        <f t="shared" si="634"/>
        <v>0</v>
      </c>
      <c r="BE75" s="99">
        <f t="shared" si="635"/>
        <v>0</v>
      </c>
      <c r="BF75" s="99">
        <f t="shared" si="636"/>
        <v>0</v>
      </c>
      <c r="BG75" s="99">
        <f t="shared" si="637"/>
        <v>0</v>
      </c>
      <c r="BH75" s="99">
        <f t="shared" si="638"/>
        <v>0</v>
      </c>
      <c r="BI75" s="99">
        <f t="shared" si="639"/>
        <v>0</v>
      </c>
      <c r="BJ75" s="99">
        <f t="shared" si="640"/>
        <v>0</v>
      </c>
      <c r="BK75" s="99">
        <f t="shared" si="641"/>
        <v>0</v>
      </c>
      <c r="BL75" s="99">
        <f t="shared" si="642"/>
        <v>0</v>
      </c>
      <c r="BM75" s="99">
        <f t="shared" si="643"/>
        <v>0</v>
      </c>
      <c r="BN75" s="99">
        <f t="shared" si="644"/>
        <v>0</v>
      </c>
      <c r="BO75" s="99">
        <f t="shared" si="645"/>
        <v>0</v>
      </c>
      <c r="BP75" s="99">
        <f t="shared" si="646"/>
        <v>0</v>
      </c>
      <c r="BQ75" s="99">
        <f t="shared" si="647"/>
        <v>0</v>
      </c>
      <c r="BR75" s="99">
        <f t="shared" si="648"/>
        <v>0</v>
      </c>
      <c r="BS75" s="99">
        <f t="shared" si="649"/>
        <v>0</v>
      </c>
      <c r="BT75" s="99">
        <f t="shared" si="650"/>
        <v>0</v>
      </c>
      <c r="BU75" s="99">
        <f t="shared" si="651"/>
        <v>0</v>
      </c>
      <c r="BV75" s="99">
        <f t="shared" si="652"/>
        <v>0</v>
      </c>
      <c r="BW75" s="99">
        <f t="shared" si="653"/>
        <v>0</v>
      </c>
      <c r="BX75" s="99">
        <f t="shared" si="654"/>
        <v>0</v>
      </c>
      <c r="BY75" s="99">
        <f t="shared" si="655"/>
        <v>0</v>
      </c>
      <c r="BZ75" s="99">
        <f t="shared" si="656"/>
        <v>0</v>
      </c>
      <c r="CA75" s="99">
        <f t="shared" si="657"/>
        <v>0</v>
      </c>
      <c r="CB75" s="99">
        <f t="shared" si="658"/>
        <v>0</v>
      </c>
      <c r="CC75" s="99">
        <f t="shared" si="659"/>
        <v>0</v>
      </c>
      <c r="CD75" s="99">
        <f t="shared" si="660"/>
        <v>0</v>
      </c>
      <c r="CE75" s="99">
        <f t="shared" si="661"/>
        <v>0</v>
      </c>
      <c r="CF75" s="99">
        <f t="shared" si="662"/>
        <v>0</v>
      </c>
      <c r="CG75" s="99">
        <f t="shared" si="663"/>
        <v>0</v>
      </c>
      <c r="CH75" s="99">
        <f t="shared" si="664"/>
        <v>0</v>
      </c>
    </row>
    <row r="76" spans="1:86">
      <c r="A76" s="233">
        <v>64</v>
      </c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</row>
    <row r="77" spans="1:86">
      <c r="A77" s="233">
        <v>65</v>
      </c>
      <c r="B77" s="26" t="s">
        <v>536</v>
      </c>
      <c r="C77" s="28">
        <f t="shared" ref="C77:BN77" si="666">C82*C84</f>
        <v>24108.048003017098</v>
      </c>
      <c r="D77" s="28">
        <f t="shared" si="666"/>
        <v>24156.587696982904</v>
      </c>
      <c r="E77" s="28">
        <f t="shared" si="666"/>
        <v>24205.12739094871</v>
      </c>
      <c r="F77" s="28">
        <f t="shared" si="666"/>
        <v>24334.566574857527</v>
      </c>
      <c r="G77" s="28">
        <f t="shared" si="666"/>
        <v>24302.206778880322</v>
      </c>
      <c r="H77" s="28">
        <f t="shared" si="666"/>
        <v>24383.106268823332</v>
      </c>
      <c r="I77" s="28">
        <f t="shared" si="666"/>
        <v>24528.72535072075</v>
      </c>
      <c r="J77" s="28">
        <f t="shared" si="666"/>
        <v>24318.386676868926</v>
      </c>
      <c r="K77" s="28">
        <f t="shared" si="666"/>
        <v>24383.106268823332</v>
      </c>
      <c r="L77" s="28">
        <f t="shared" si="666"/>
        <v>24334.566574857527</v>
      </c>
      <c r="M77" s="28">
        <f t="shared" si="666"/>
        <v>24480.185656754944</v>
      </c>
      <c r="N77" s="28">
        <f t="shared" si="666"/>
        <v>23994.788717096882</v>
      </c>
      <c r="O77" s="28">
        <f t="shared" si="666"/>
        <v>24108.048003017098</v>
      </c>
      <c r="P77" s="28">
        <f t="shared" si="666"/>
        <v>24156.587696982904</v>
      </c>
      <c r="Q77" s="28">
        <f t="shared" si="666"/>
        <v>24205.12739094871</v>
      </c>
      <c r="R77" s="28">
        <f t="shared" si="666"/>
        <v>24334.566574857527</v>
      </c>
      <c r="S77" s="28">
        <f t="shared" si="666"/>
        <v>24302.206778880322</v>
      </c>
      <c r="T77" s="28">
        <f t="shared" si="666"/>
        <v>24383.106268823332</v>
      </c>
      <c r="U77" s="28">
        <f t="shared" si="666"/>
        <v>24528.72535072075</v>
      </c>
      <c r="V77" s="28">
        <f t="shared" si="666"/>
        <v>24318.386676868926</v>
      </c>
      <c r="W77" s="28">
        <f t="shared" si="666"/>
        <v>24383.106268823332</v>
      </c>
      <c r="X77" s="28">
        <f t="shared" si="666"/>
        <v>24334.566574857527</v>
      </c>
      <c r="Y77" s="28">
        <f t="shared" si="666"/>
        <v>24480.185656754944</v>
      </c>
      <c r="Z77" s="28">
        <f t="shared" si="666"/>
        <v>23994.788717096882</v>
      </c>
      <c r="AA77" s="28">
        <f t="shared" si="666"/>
        <v>24108.048003017098</v>
      </c>
      <c r="AB77" s="28">
        <f t="shared" si="666"/>
        <v>24156.587696982904</v>
      </c>
      <c r="AC77" s="28">
        <f t="shared" si="666"/>
        <v>24205.12739094871</v>
      </c>
      <c r="AD77" s="28">
        <f t="shared" si="666"/>
        <v>24334.566574857527</v>
      </c>
      <c r="AE77" s="28">
        <f t="shared" si="666"/>
        <v>24302.206778880322</v>
      </c>
      <c r="AF77" s="28">
        <f t="shared" si="666"/>
        <v>24383.106268823332</v>
      </c>
      <c r="AG77" s="28">
        <f t="shared" si="666"/>
        <v>24528.72535072075</v>
      </c>
      <c r="AH77" s="28">
        <f t="shared" si="666"/>
        <v>24318.386676868926</v>
      </c>
      <c r="AI77" s="28">
        <f t="shared" si="666"/>
        <v>24383.106268823332</v>
      </c>
      <c r="AJ77" s="28">
        <f t="shared" si="666"/>
        <v>24334.566574857527</v>
      </c>
      <c r="AK77" s="28">
        <f t="shared" si="666"/>
        <v>24480.185656754944</v>
      </c>
      <c r="AL77" s="28">
        <f t="shared" si="666"/>
        <v>23994.788717096882</v>
      </c>
      <c r="AM77" s="28">
        <f t="shared" si="666"/>
        <v>24108.048003017098</v>
      </c>
      <c r="AN77" s="28">
        <f t="shared" si="666"/>
        <v>24156.587696982904</v>
      </c>
      <c r="AO77" s="28">
        <f t="shared" si="666"/>
        <v>24205.12739094871</v>
      </c>
      <c r="AP77" s="28">
        <f t="shared" si="666"/>
        <v>24334.566574857527</v>
      </c>
      <c r="AQ77" s="28">
        <f t="shared" si="666"/>
        <v>24302.206778880322</v>
      </c>
      <c r="AR77" s="28">
        <f t="shared" si="666"/>
        <v>24383.106268823332</v>
      </c>
      <c r="AS77" s="28">
        <f t="shared" si="666"/>
        <v>24528.72535072075</v>
      </c>
      <c r="AT77" s="28">
        <f t="shared" si="666"/>
        <v>24318.386676868926</v>
      </c>
      <c r="AU77" s="28">
        <f t="shared" si="666"/>
        <v>24383.106268823332</v>
      </c>
      <c r="AV77" s="28">
        <f t="shared" si="666"/>
        <v>24334.566574857527</v>
      </c>
      <c r="AW77" s="28">
        <f t="shared" si="666"/>
        <v>24480.185656754944</v>
      </c>
      <c r="AX77" s="28">
        <f t="shared" si="666"/>
        <v>23994.788717096882</v>
      </c>
      <c r="AY77" s="28">
        <f t="shared" si="666"/>
        <v>24108.048003017098</v>
      </c>
      <c r="AZ77" s="28">
        <f t="shared" si="666"/>
        <v>24156.587696982904</v>
      </c>
      <c r="BA77" s="28">
        <f t="shared" si="666"/>
        <v>24205.12739094871</v>
      </c>
      <c r="BB77" s="28">
        <f t="shared" si="666"/>
        <v>24334.566574857527</v>
      </c>
      <c r="BC77" s="28">
        <f t="shared" si="666"/>
        <v>24302.206778880322</v>
      </c>
      <c r="BD77" s="28">
        <f t="shared" si="666"/>
        <v>24383.106268823332</v>
      </c>
      <c r="BE77" s="28">
        <f t="shared" si="666"/>
        <v>24528.72535072075</v>
      </c>
      <c r="BF77" s="28">
        <f t="shared" si="666"/>
        <v>24318.386676868926</v>
      </c>
      <c r="BG77" s="28">
        <f t="shared" si="666"/>
        <v>24383.106268823332</v>
      </c>
      <c r="BH77" s="28">
        <f t="shared" si="666"/>
        <v>24334.566574857527</v>
      </c>
      <c r="BI77" s="28">
        <f t="shared" si="666"/>
        <v>24480.185656754944</v>
      </c>
      <c r="BJ77" s="28">
        <f t="shared" si="666"/>
        <v>23994.788717096882</v>
      </c>
      <c r="BK77" s="28">
        <f t="shared" si="666"/>
        <v>24108.048003017098</v>
      </c>
      <c r="BL77" s="28">
        <f t="shared" si="666"/>
        <v>24156.587696982904</v>
      </c>
      <c r="BM77" s="28">
        <f t="shared" si="666"/>
        <v>24205.12739094871</v>
      </c>
      <c r="BN77" s="28">
        <f t="shared" si="666"/>
        <v>24334.566574857527</v>
      </c>
      <c r="BO77" s="28">
        <f t="shared" ref="BO77:CH77" si="667">BO82*BO84</f>
        <v>24302.206778880322</v>
      </c>
      <c r="BP77" s="28">
        <f t="shared" si="667"/>
        <v>24383.106268823332</v>
      </c>
      <c r="BQ77" s="28">
        <f t="shared" si="667"/>
        <v>24528.72535072075</v>
      </c>
      <c r="BR77" s="28">
        <f t="shared" si="667"/>
        <v>24318.386676868926</v>
      </c>
      <c r="BS77" s="28">
        <f t="shared" si="667"/>
        <v>24383.106268823332</v>
      </c>
      <c r="BT77" s="28">
        <f t="shared" si="667"/>
        <v>24334.566574857527</v>
      </c>
      <c r="BU77" s="28">
        <f t="shared" si="667"/>
        <v>24480.185656754944</v>
      </c>
      <c r="BV77" s="28">
        <f t="shared" si="667"/>
        <v>23994.788717096882</v>
      </c>
      <c r="BW77" s="28">
        <f t="shared" si="667"/>
        <v>24108.048003017098</v>
      </c>
      <c r="BX77" s="28">
        <f t="shared" si="667"/>
        <v>24156.587696982904</v>
      </c>
      <c r="BY77" s="28">
        <f t="shared" si="667"/>
        <v>24205.12739094871</v>
      </c>
      <c r="BZ77" s="28">
        <f t="shared" si="667"/>
        <v>24334.566574857527</v>
      </c>
      <c r="CA77" s="28">
        <f t="shared" si="667"/>
        <v>24302.206778880322</v>
      </c>
      <c r="CB77" s="28">
        <f t="shared" si="667"/>
        <v>24383.106268823332</v>
      </c>
      <c r="CC77" s="28">
        <f t="shared" si="667"/>
        <v>24528.72535072075</v>
      </c>
      <c r="CD77" s="28">
        <f t="shared" si="667"/>
        <v>24318.386676868926</v>
      </c>
      <c r="CE77" s="28">
        <f t="shared" si="667"/>
        <v>24383.106268823332</v>
      </c>
      <c r="CF77" s="28">
        <f t="shared" si="667"/>
        <v>24334.566574857527</v>
      </c>
      <c r="CG77" s="28">
        <f t="shared" si="667"/>
        <v>24480.185656754944</v>
      </c>
      <c r="CH77" s="28">
        <f t="shared" si="667"/>
        <v>23994.788717096882</v>
      </c>
    </row>
    <row r="78" spans="1:86">
      <c r="A78" s="233">
        <v>66</v>
      </c>
      <c r="B78" s="26" t="s">
        <v>537</v>
      </c>
      <c r="C78" s="28">
        <f t="shared" ref="C78:N78" si="668">C86-C77</f>
        <v>1100.4880969829028</v>
      </c>
      <c r="D78" s="28">
        <f t="shared" si="668"/>
        <v>-1100.4880969829028</v>
      </c>
      <c r="E78" s="28">
        <f t="shared" si="668"/>
        <v>788.06200905128935</v>
      </c>
      <c r="F78" s="28">
        <f t="shared" si="668"/>
        <v>11162.347925142472</v>
      </c>
      <c r="G78" s="28">
        <f t="shared" si="668"/>
        <v>36229.666321119672</v>
      </c>
      <c r="H78" s="28">
        <f t="shared" si="668"/>
        <v>75993.375131176668</v>
      </c>
      <c r="I78" s="28">
        <f t="shared" si="668"/>
        <v>136291.33804927926</v>
      </c>
      <c r="J78" s="28">
        <f t="shared" si="668"/>
        <v>125400.55292313109</v>
      </c>
      <c r="K78" s="28">
        <f t="shared" si="668"/>
        <v>66513.623531176665</v>
      </c>
      <c r="L78" s="28">
        <f t="shared" si="668"/>
        <v>43798.505325142469</v>
      </c>
      <c r="M78" s="28">
        <f t="shared" si="668"/>
        <v>20766.085943245056</v>
      </c>
      <c r="N78" s="28">
        <f t="shared" si="668"/>
        <v>4197.357082903116</v>
      </c>
      <c r="O78" s="29">
        <f>O80*O84*O$14</f>
        <v>0</v>
      </c>
      <c r="P78" s="29">
        <f t="shared" ref="P78:Z78" si="669">P80*P84*P$14</f>
        <v>0</v>
      </c>
      <c r="Q78" s="29">
        <f t="shared" si="669"/>
        <v>321.0724748419874</v>
      </c>
      <c r="R78" s="29">
        <f t="shared" si="669"/>
        <v>11459.025118157348</v>
      </c>
      <c r="S78" s="29">
        <f t="shared" si="669"/>
        <v>58347.195959553726</v>
      </c>
      <c r="T78" s="29">
        <f t="shared" si="669"/>
        <v>106247.83966195752</v>
      </c>
      <c r="U78" s="29">
        <f t="shared" si="669"/>
        <v>131122.04970572362</v>
      </c>
      <c r="V78" s="29">
        <f t="shared" si="669"/>
        <v>141771.63308667068</v>
      </c>
      <c r="W78" s="29">
        <f t="shared" si="669"/>
        <v>95089.390747688012</v>
      </c>
      <c r="X78" s="29">
        <f t="shared" si="669"/>
        <v>55681.178391046269</v>
      </c>
      <c r="Y78" s="29">
        <f t="shared" si="669"/>
        <v>21593.948208548893</v>
      </c>
      <c r="Z78" s="29">
        <f t="shared" si="669"/>
        <v>2227.9768458119456</v>
      </c>
      <c r="AA78" s="29">
        <f>AA80*AA84*AA$14</f>
        <v>0</v>
      </c>
      <c r="AB78" s="29">
        <f t="shared" ref="AB78:AL78" si="670">AB80*AB84*AB$14</f>
        <v>0</v>
      </c>
      <c r="AC78" s="29">
        <f t="shared" si="670"/>
        <v>321.0724748419874</v>
      </c>
      <c r="AD78" s="29">
        <f t="shared" si="670"/>
        <v>11459.025118157348</v>
      </c>
      <c r="AE78" s="29">
        <f t="shared" si="670"/>
        <v>58347.195959553726</v>
      </c>
      <c r="AF78" s="29">
        <f t="shared" si="670"/>
        <v>106247.83966195752</v>
      </c>
      <c r="AG78" s="29">
        <f t="shared" si="670"/>
        <v>131122.04970572362</v>
      </c>
      <c r="AH78" s="29">
        <f t="shared" si="670"/>
        <v>141771.63308667068</v>
      </c>
      <c r="AI78" s="29">
        <f t="shared" si="670"/>
        <v>95089.390747688012</v>
      </c>
      <c r="AJ78" s="29">
        <f t="shared" si="670"/>
        <v>55681.178391046269</v>
      </c>
      <c r="AK78" s="29">
        <f t="shared" si="670"/>
        <v>21593.948208548893</v>
      </c>
      <c r="AL78" s="29">
        <f t="shared" si="670"/>
        <v>2227.9768458119456</v>
      </c>
      <c r="AM78" s="29">
        <f>AM80*AM84*AM$14</f>
        <v>0</v>
      </c>
      <c r="AN78" s="29">
        <f t="shared" ref="AN78:AX78" si="671">AN80*AN84*AN$14</f>
        <v>0</v>
      </c>
      <c r="AO78" s="29">
        <f t="shared" si="671"/>
        <v>321.0724748419874</v>
      </c>
      <c r="AP78" s="29">
        <f t="shared" si="671"/>
        <v>11459.025118157348</v>
      </c>
      <c r="AQ78" s="29">
        <f t="shared" si="671"/>
        <v>58347.195959553726</v>
      </c>
      <c r="AR78" s="29">
        <f t="shared" si="671"/>
        <v>106247.83966195752</v>
      </c>
      <c r="AS78" s="29">
        <f t="shared" si="671"/>
        <v>131122.04970572362</v>
      </c>
      <c r="AT78" s="29">
        <f t="shared" si="671"/>
        <v>141771.63308667068</v>
      </c>
      <c r="AU78" s="29">
        <f t="shared" si="671"/>
        <v>95089.390747688012</v>
      </c>
      <c r="AV78" s="29">
        <f t="shared" si="671"/>
        <v>55681.178391046269</v>
      </c>
      <c r="AW78" s="29">
        <f t="shared" si="671"/>
        <v>21593.948208548893</v>
      </c>
      <c r="AX78" s="29">
        <f t="shared" si="671"/>
        <v>2227.9768458119456</v>
      </c>
      <c r="AY78" s="29">
        <f>AY80*AY84*AY$14</f>
        <v>0</v>
      </c>
      <c r="AZ78" s="29">
        <f t="shared" ref="AZ78:BJ78" si="672">AZ80*AZ84*AZ$14</f>
        <v>0</v>
      </c>
      <c r="BA78" s="29">
        <f t="shared" si="672"/>
        <v>321.0724748419874</v>
      </c>
      <c r="BB78" s="29">
        <f t="shared" si="672"/>
        <v>11459.025118157348</v>
      </c>
      <c r="BC78" s="29">
        <f t="shared" si="672"/>
        <v>58347.195959553726</v>
      </c>
      <c r="BD78" s="29">
        <f t="shared" si="672"/>
        <v>106247.83966195752</v>
      </c>
      <c r="BE78" s="29">
        <f t="shared" si="672"/>
        <v>131122.04970572362</v>
      </c>
      <c r="BF78" s="29">
        <f t="shared" si="672"/>
        <v>141771.63308667068</v>
      </c>
      <c r="BG78" s="29">
        <f t="shared" si="672"/>
        <v>95089.390747688012</v>
      </c>
      <c r="BH78" s="29">
        <f t="shared" si="672"/>
        <v>55681.178391046269</v>
      </c>
      <c r="BI78" s="29">
        <f t="shared" si="672"/>
        <v>21593.948208548893</v>
      </c>
      <c r="BJ78" s="29">
        <f t="shared" si="672"/>
        <v>2227.9768458119456</v>
      </c>
      <c r="BK78" s="29">
        <f>BK80*BK84*BK$14</f>
        <v>0</v>
      </c>
      <c r="BL78" s="29">
        <f t="shared" ref="BL78:BV78" si="673">BL80*BL84*BL$14</f>
        <v>0</v>
      </c>
      <c r="BM78" s="29">
        <f t="shared" si="673"/>
        <v>321.0724748419874</v>
      </c>
      <c r="BN78" s="29">
        <f t="shared" si="673"/>
        <v>11459.025118157348</v>
      </c>
      <c r="BO78" s="29">
        <f t="shared" si="673"/>
        <v>58347.195959553726</v>
      </c>
      <c r="BP78" s="29">
        <f t="shared" si="673"/>
        <v>106247.83966195752</v>
      </c>
      <c r="BQ78" s="29">
        <f t="shared" si="673"/>
        <v>131122.04970572362</v>
      </c>
      <c r="BR78" s="29">
        <f t="shared" si="673"/>
        <v>141771.63308667068</v>
      </c>
      <c r="BS78" s="29">
        <f t="shared" si="673"/>
        <v>95089.390747688012</v>
      </c>
      <c r="BT78" s="29">
        <f t="shared" si="673"/>
        <v>55681.178391046269</v>
      </c>
      <c r="BU78" s="29">
        <f t="shared" si="673"/>
        <v>21593.948208548893</v>
      </c>
      <c r="BV78" s="29">
        <f t="shared" si="673"/>
        <v>2227.9768458119456</v>
      </c>
      <c r="BW78" s="29">
        <f>BW80*BW84*BW$14</f>
        <v>0</v>
      </c>
      <c r="BX78" s="29">
        <f t="shared" ref="BX78:CH78" si="674">BX80*BX84*BX$14</f>
        <v>0</v>
      </c>
      <c r="BY78" s="29">
        <f t="shared" si="674"/>
        <v>321.0724748419874</v>
      </c>
      <c r="BZ78" s="29">
        <f t="shared" si="674"/>
        <v>11459.025118157348</v>
      </c>
      <c r="CA78" s="29">
        <f t="shared" si="674"/>
        <v>58347.195959553726</v>
      </c>
      <c r="CB78" s="29">
        <f t="shared" si="674"/>
        <v>106247.83966195752</v>
      </c>
      <c r="CC78" s="29">
        <f t="shared" si="674"/>
        <v>131122.04970572362</v>
      </c>
      <c r="CD78" s="29">
        <f t="shared" si="674"/>
        <v>141771.63308667068</v>
      </c>
      <c r="CE78" s="29">
        <f t="shared" si="674"/>
        <v>95089.390747688012</v>
      </c>
      <c r="CF78" s="29">
        <f t="shared" si="674"/>
        <v>55681.178391046269</v>
      </c>
      <c r="CG78" s="29">
        <f t="shared" si="674"/>
        <v>21593.948208548893</v>
      </c>
      <c r="CH78" s="29">
        <f t="shared" si="674"/>
        <v>2227.9768458119456</v>
      </c>
    </row>
    <row r="79" spans="1:86">
      <c r="A79" s="233">
        <v>67</v>
      </c>
      <c r="B79" s="26" t="s">
        <v>538</v>
      </c>
      <c r="C79" s="480">
        <f t="shared" ref="C79:N79" si="675">C78/C84</f>
        <v>0.738582615424767</v>
      </c>
      <c r="D79" s="480">
        <f t="shared" si="675"/>
        <v>-0.73709852443596968</v>
      </c>
      <c r="E79" s="480">
        <f t="shared" si="675"/>
        <v>0.52677941781503301</v>
      </c>
      <c r="F79" s="480">
        <f t="shared" si="675"/>
        <v>7.4217738863979204</v>
      </c>
      <c r="G79" s="480">
        <f t="shared" si="675"/>
        <v>24.120949614593655</v>
      </c>
      <c r="H79" s="480">
        <f t="shared" si="675"/>
        <v>50.426924440064148</v>
      </c>
      <c r="I79" s="480">
        <f t="shared" si="675"/>
        <v>89.901938027229065</v>
      </c>
      <c r="J79" s="480">
        <f t="shared" si="675"/>
        <v>83.433501612196338</v>
      </c>
      <c r="K79" s="480">
        <f t="shared" si="675"/>
        <v>44.136445607947358</v>
      </c>
      <c r="L79" s="480">
        <f t="shared" si="675"/>
        <v>29.121346625759621</v>
      </c>
      <c r="M79" s="480">
        <f t="shared" si="675"/>
        <v>13.725106373592238</v>
      </c>
      <c r="N79" s="480">
        <f t="shared" si="675"/>
        <v>2.8303149581275227</v>
      </c>
      <c r="O79" s="481">
        <f>O78/O84</f>
        <v>0</v>
      </c>
      <c r="P79" s="481">
        <f t="shared" ref="P79:Z79" si="676">P78/P84</f>
        <v>0</v>
      </c>
      <c r="Q79" s="481">
        <f t="shared" si="676"/>
        <v>0.21462063826336056</v>
      </c>
      <c r="R79" s="481">
        <f t="shared" si="676"/>
        <v>7.6190326583493002</v>
      </c>
      <c r="S79" s="481">
        <f t="shared" si="676"/>
        <v>38.846335525668259</v>
      </c>
      <c r="T79" s="481">
        <f t="shared" si="676"/>
        <v>70.502879669513945</v>
      </c>
      <c r="U79" s="481">
        <f t="shared" si="676"/>
        <v>86.492117220134318</v>
      </c>
      <c r="V79" s="481">
        <f t="shared" si="676"/>
        <v>94.325770516746957</v>
      </c>
      <c r="W79" s="481">
        <f t="shared" si="676"/>
        <v>63.098467649428009</v>
      </c>
      <c r="X79" s="481">
        <f t="shared" si="676"/>
        <v>37.022060100429698</v>
      </c>
      <c r="Y79" s="481">
        <f t="shared" si="676"/>
        <v>14.272272444513478</v>
      </c>
      <c r="Z79" s="481">
        <f t="shared" si="676"/>
        <v>1.5023444678435236</v>
      </c>
      <c r="AA79" s="481">
        <f>AA78/AA84</f>
        <v>0</v>
      </c>
      <c r="AB79" s="481">
        <f t="shared" ref="AB79:AL79" si="677">AB78/AB84</f>
        <v>0</v>
      </c>
      <c r="AC79" s="481">
        <f t="shared" si="677"/>
        <v>0.21462063826336056</v>
      </c>
      <c r="AD79" s="481">
        <f t="shared" si="677"/>
        <v>7.6190326583493002</v>
      </c>
      <c r="AE79" s="481">
        <f t="shared" si="677"/>
        <v>38.846335525668259</v>
      </c>
      <c r="AF79" s="481">
        <f t="shared" si="677"/>
        <v>70.502879669513945</v>
      </c>
      <c r="AG79" s="481">
        <f t="shared" si="677"/>
        <v>86.492117220134318</v>
      </c>
      <c r="AH79" s="481">
        <f t="shared" si="677"/>
        <v>94.325770516746957</v>
      </c>
      <c r="AI79" s="481">
        <f t="shared" si="677"/>
        <v>63.098467649428009</v>
      </c>
      <c r="AJ79" s="481">
        <f t="shared" si="677"/>
        <v>37.022060100429698</v>
      </c>
      <c r="AK79" s="481">
        <f t="shared" si="677"/>
        <v>14.272272444513478</v>
      </c>
      <c r="AL79" s="481">
        <f t="shared" si="677"/>
        <v>1.5023444678435236</v>
      </c>
      <c r="AM79" s="481">
        <f>AM78/AM84</f>
        <v>0</v>
      </c>
      <c r="AN79" s="481">
        <f t="shared" ref="AN79:AX79" si="678">AN78/AN84</f>
        <v>0</v>
      </c>
      <c r="AO79" s="481">
        <f t="shared" si="678"/>
        <v>0.21462063826336056</v>
      </c>
      <c r="AP79" s="481">
        <f t="shared" si="678"/>
        <v>7.6190326583493002</v>
      </c>
      <c r="AQ79" s="481">
        <f t="shared" si="678"/>
        <v>38.846335525668259</v>
      </c>
      <c r="AR79" s="481">
        <f t="shared" si="678"/>
        <v>70.502879669513945</v>
      </c>
      <c r="AS79" s="481">
        <f t="shared" si="678"/>
        <v>86.492117220134318</v>
      </c>
      <c r="AT79" s="481">
        <f t="shared" si="678"/>
        <v>94.325770516746957</v>
      </c>
      <c r="AU79" s="481">
        <f t="shared" si="678"/>
        <v>63.098467649428009</v>
      </c>
      <c r="AV79" s="481">
        <f t="shared" si="678"/>
        <v>37.022060100429698</v>
      </c>
      <c r="AW79" s="481">
        <f t="shared" si="678"/>
        <v>14.272272444513478</v>
      </c>
      <c r="AX79" s="481">
        <f t="shared" si="678"/>
        <v>1.5023444678435236</v>
      </c>
      <c r="AY79" s="481">
        <f>AY78/AY84</f>
        <v>0</v>
      </c>
      <c r="AZ79" s="481">
        <f t="shared" ref="AZ79:BJ79" si="679">AZ78/AZ84</f>
        <v>0</v>
      </c>
      <c r="BA79" s="481">
        <f t="shared" si="679"/>
        <v>0.21462063826336056</v>
      </c>
      <c r="BB79" s="481">
        <f t="shared" si="679"/>
        <v>7.6190326583493002</v>
      </c>
      <c r="BC79" s="481">
        <f t="shared" si="679"/>
        <v>38.846335525668259</v>
      </c>
      <c r="BD79" s="481">
        <f t="shared" si="679"/>
        <v>70.502879669513945</v>
      </c>
      <c r="BE79" s="481">
        <f t="shared" si="679"/>
        <v>86.492117220134318</v>
      </c>
      <c r="BF79" s="481">
        <f t="shared" si="679"/>
        <v>94.325770516746957</v>
      </c>
      <c r="BG79" s="481">
        <f t="shared" si="679"/>
        <v>63.098467649428009</v>
      </c>
      <c r="BH79" s="481">
        <f t="shared" si="679"/>
        <v>37.022060100429698</v>
      </c>
      <c r="BI79" s="481">
        <f t="shared" si="679"/>
        <v>14.272272444513478</v>
      </c>
      <c r="BJ79" s="481">
        <f t="shared" si="679"/>
        <v>1.5023444678435236</v>
      </c>
      <c r="BK79" s="481">
        <f>BK78/BK84</f>
        <v>0</v>
      </c>
      <c r="BL79" s="481">
        <f t="shared" ref="BL79:BV79" si="680">BL78/BL84</f>
        <v>0</v>
      </c>
      <c r="BM79" s="481">
        <f t="shared" si="680"/>
        <v>0.21462063826336056</v>
      </c>
      <c r="BN79" s="481">
        <f t="shared" si="680"/>
        <v>7.6190326583493002</v>
      </c>
      <c r="BO79" s="481">
        <f t="shared" si="680"/>
        <v>38.846335525668259</v>
      </c>
      <c r="BP79" s="481">
        <f t="shared" si="680"/>
        <v>70.502879669513945</v>
      </c>
      <c r="BQ79" s="481">
        <f t="shared" si="680"/>
        <v>86.492117220134318</v>
      </c>
      <c r="BR79" s="481">
        <f t="shared" si="680"/>
        <v>94.325770516746957</v>
      </c>
      <c r="BS79" s="481">
        <f t="shared" si="680"/>
        <v>63.098467649428009</v>
      </c>
      <c r="BT79" s="481">
        <f t="shared" si="680"/>
        <v>37.022060100429698</v>
      </c>
      <c r="BU79" s="481">
        <f t="shared" si="680"/>
        <v>14.272272444513478</v>
      </c>
      <c r="BV79" s="481">
        <f t="shared" si="680"/>
        <v>1.5023444678435236</v>
      </c>
      <c r="BW79" s="481">
        <f>BW78/BW84</f>
        <v>0</v>
      </c>
      <c r="BX79" s="481">
        <f t="shared" ref="BX79:CH79" si="681">BX78/BX84</f>
        <v>0</v>
      </c>
      <c r="BY79" s="481">
        <f t="shared" si="681"/>
        <v>0.21462063826336056</v>
      </c>
      <c r="BZ79" s="481">
        <f t="shared" si="681"/>
        <v>7.6190326583493002</v>
      </c>
      <c r="CA79" s="481">
        <f t="shared" si="681"/>
        <v>38.846335525668259</v>
      </c>
      <c r="CB79" s="481">
        <f t="shared" si="681"/>
        <v>70.502879669513945</v>
      </c>
      <c r="CC79" s="481">
        <f t="shared" si="681"/>
        <v>86.492117220134318</v>
      </c>
      <c r="CD79" s="481">
        <f t="shared" si="681"/>
        <v>94.325770516746957</v>
      </c>
      <c r="CE79" s="481">
        <f t="shared" si="681"/>
        <v>63.098467649428009</v>
      </c>
      <c r="CF79" s="481">
        <f t="shared" si="681"/>
        <v>37.022060100429698</v>
      </c>
      <c r="CG79" s="481">
        <f t="shared" si="681"/>
        <v>14.272272444513478</v>
      </c>
      <c r="CH79" s="481">
        <f t="shared" si="681"/>
        <v>1.5023444678435236</v>
      </c>
    </row>
    <row r="80" spans="1:86">
      <c r="A80" s="233">
        <v>68</v>
      </c>
      <c r="B80" s="26" t="s">
        <v>531</v>
      </c>
      <c r="C80" s="355">
        <f>SUM(C79:N79)/SUM(C$13:N$13)</f>
        <v>0.10731032743083253</v>
      </c>
      <c r="D80" s="355">
        <f>C80</f>
        <v>0.10731032743083253</v>
      </c>
      <c r="E80" s="355">
        <f t="shared" ref="E80" si="682">D80</f>
        <v>0.10731032743083253</v>
      </c>
      <c r="F80" s="355">
        <f t="shared" ref="F80" si="683">E80</f>
        <v>0.10731032743083253</v>
      </c>
      <c r="G80" s="355">
        <f t="shared" ref="G80" si="684">F80</f>
        <v>0.10731032743083253</v>
      </c>
      <c r="H80" s="355">
        <f t="shared" ref="H80" si="685">G80</f>
        <v>0.10731032743083253</v>
      </c>
      <c r="I80" s="355">
        <f t="shared" ref="I80" si="686">H80</f>
        <v>0.10731032743083253</v>
      </c>
      <c r="J80" s="355">
        <f t="shared" ref="J80" si="687">I80</f>
        <v>0.10731032743083253</v>
      </c>
      <c r="K80" s="355">
        <f t="shared" ref="K80" si="688">J80</f>
        <v>0.10731032743083253</v>
      </c>
      <c r="L80" s="355">
        <f t="shared" ref="L80" si="689">K80</f>
        <v>0.10731032743083253</v>
      </c>
      <c r="M80" s="355">
        <f t="shared" ref="M80" si="690">L80</f>
        <v>0.10731032743083253</v>
      </c>
      <c r="N80" s="355">
        <f t="shared" ref="N80" si="691">M80</f>
        <v>0.10731032743083253</v>
      </c>
      <c r="O80" s="354">
        <f>((SUM(C85:N85)/AVERAGE(C84:N84)+O75)*AVERAGE(O84:Z84)-SUM(O77:Z77))/(O84*O$14+P84*P$14+Q84*Q$14+R84*R$14+S84*S$14+T84*T$14+U84*U$14+V84*V$14+W84*W$14+X84*X$14+Y84*Y$14+Z84*Z$14)</f>
        <v>0.10731031913168028</v>
      </c>
      <c r="P80" s="355">
        <f>O80</f>
        <v>0.10731031913168028</v>
      </c>
      <c r="Q80" s="355">
        <f t="shared" ref="Q80" si="692">P80</f>
        <v>0.10731031913168028</v>
      </c>
      <c r="R80" s="355">
        <f t="shared" ref="R80" si="693">Q80</f>
        <v>0.10731031913168028</v>
      </c>
      <c r="S80" s="355">
        <f t="shared" ref="S80" si="694">R80</f>
        <v>0.10731031913168028</v>
      </c>
      <c r="T80" s="355">
        <f t="shared" ref="T80" si="695">S80</f>
        <v>0.10731031913168028</v>
      </c>
      <c r="U80" s="355">
        <f t="shared" ref="U80" si="696">T80</f>
        <v>0.10731031913168028</v>
      </c>
      <c r="V80" s="355">
        <f t="shared" ref="V80" si="697">U80</f>
        <v>0.10731031913168028</v>
      </c>
      <c r="W80" s="355">
        <f t="shared" ref="W80" si="698">V80</f>
        <v>0.10731031913168028</v>
      </c>
      <c r="X80" s="355">
        <f t="shared" ref="X80" si="699">W80</f>
        <v>0.10731031913168028</v>
      </c>
      <c r="Y80" s="355">
        <f t="shared" ref="Y80" si="700">X80</f>
        <v>0.10731031913168028</v>
      </c>
      <c r="Z80" s="355">
        <f t="shared" ref="Z80" si="701">Y80</f>
        <v>0.10731031913168028</v>
      </c>
      <c r="AA80" s="354">
        <f>((SUM(O85:Z85)/AVERAGE(O84:Z84)+AA75)*AVERAGE(AA84:AL84)-SUM(AA77:AL77))/(AA84*AA$14+AB84*AB$14+AC84*AC$14+AD84*AD$14+AE84*AE$14+AF84*AF$14+AG84*AG$14+AH84*AH$14+AI84*AI$14+AJ84*AJ$14+AK84*AK$14+AL84*AL$14)</f>
        <v>0.10731031913168028</v>
      </c>
      <c r="AB80" s="355">
        <f>AA80</f>
        <v>0.10731031913168028</v>
      </c>
      <c r="AC80" s="355">
        <f t="shared" ref="AC80" si="702">AB80</f>
        <v>0.10731031913168028</v>
      </c>
      <c r="AD80" s="355">
        <f t="shared" ref="AD80" si="703">AC80</f>
        <v>0.10731031913168028</v>
      </c>
      <c r="AE80" s="355">
        <f t="shared" ref="AE80" si="704">AD80</f>
        <v>0.10731031913168028</v>
      </c>
      <c r="AF80" s="355">
        <f t="shared" ref="AF80" si="705">AE80</f>
        <v>0.10731031913168028</v>
      </c>
      <c r="AG80" s="355">
        <f t="shared" ref="AG80" si="706">AF80</f>
        <v>0.10731031913168028</v>
      </c>
      <c r="AH80" s="355">
        <f t="shared" ref="AH80" si="707">AG80</f>
        <v>0.10731031913168028</v>
      </c>
      <c r="AI80" s="355">
        <f t="shared" ref="AI80" si="708">AH80</f>
        <v>0.10731031913168028</v>
      </c>
      <c r="AJ80" s="355">
        <f t="shared" ref="AJ80" si="709">AI80</f>
        <v>0.10731031913168028</v>
      </c>
      <c r="AK80" s="355">
        <f t="shared" ref="AK80" si="710">AJ80</f>
        <v>0.10731031913168028</v>
      </c>
      <c r="AL80" s="355">
        <f t="shared" ref="AL80" si="711">AK80</f>
        <v>0.10731031913168028</v>
      </c>
      <c r="AM80" s="354">
        <f>((SUM(AA85:AL85)/AVERAGE(AA84:AL84)+AM75)*AVERAGE(AM84:AX84)-SUM(AM77:AX77))/(AM84*AM$14+AN84*AN$14+AO84*AO$14+AP84*AP$14+AQ84*AQ$14+AR84*AR$14+AS84*AS$14+AT84*AT$14+AU84*AU$14+AV84*AV$14+AW84*AW$14+AX84*AX$14)</f>
        <v>0.10731031913168028</v>
      </c>
      <c r="AN80" s="355">
        <f>AM80</f>
        <v>0.10731031913168028</v>
      </c>
      <c r="AO80" s="355">
        <f t="shared" ref="AO80" si="712">AN80</f>
        <v>0.10731031913168028</v>
      </c>
      <c r="AP80" s="355">
        <f t="shared" ref="AP80" si="713">AO80</f>
        <v>0.10731031913168028</v>
      </c>
      <c r="AQ80" s="355">
        <f t="shared" ref="AQ80" si="714">AP80</f>
        <v>0.10731031913168028</v>
      </c>
      <c r="AR80" s="355">
        <f t="shared" ref="AR80" si="715">AQ80</f>
        <v>0.10731031913168028</v>
      </c>
      <c r="AS80" s="355">
        <f t="shared" ref="AS80" si="716">AR80</f>
        <v>0.10731031913168028</v>
      </c>
      <c r="AT80" s="355">
        <f t="shared" ref="AT80" si="717">AS80</f>
        <v>0.10731031913168028</v>
      </c>
      <c r="AU80" s="355">
        <f t="shared" ref="AU80" si="718">AT80</f>
        <v>0.10731031913168028</v>
      </c>
      <c r="AV80" s="355">
        <f t="shared" ref="AV80" si="719">AU80</f>
        <v>0.10731031913168028</v>
      </c>
      <c r="AW80" s="355">
        <f t="shared" ref="AW80" si="720">AV80</f>
        <v>0.10731031913168028</v>
      </c>
      <c r="AX80" s="355">
        <f t="shared" ref="AX80" si="721">AW80</f>
        <v>0.10731031913168028</v>
      </c>
      <c r="AY80" s="354">
        <f>((SUM(AM85:AX85)/AVERAGE(AM84:AX84)+AY75)*AVERAGE(AY84:BJ84)-SUM(AY77:BJ77))/(AY84*AY$14+AZ84*AZ$14+BA84*BA$14+BB84*BB$14+BC84*BC$14+BD84*BD$14+BE84*BE$14+BF84*BF$14+BG84*BG$14+BH84*BH$14+BI84*BI$14+BJ84*BJ$14)</f>
        <v>0.10731031913168028</v>
      </c>
      <c r="AZ80" s="355">
        <f>AY80</f>
        <v>0.10731031913168028</v>
      </c>
      <c r="BA80" s="355">
        <f t="shared" ref="BA80" si="722">AZ80</f>
        <v>0.10731031913168028</v>
      </c>
      <c r="BB80" s="355">
        <f t="shared" ref="BB80" si="723">BA80</f>
        <v>0.10731031913168028</v>
      </c>
      <c r="BC80" s="355">
        <f t="shared" ref="BC80" si="724">BB80</f>
        <v>0.10731031913168028</v>
      </c>
      <c r="BD80" s="355">
        <f t="shared" ref="BD80" si="725">BC80</f>
        <v>0.10731031913168028</v>
      </c>
      <c r="BE80" s="355">
        <f t="shared" ref="BE80" si="726">BD80</f>
        <v>0.10731031913168028</v>
      </c>
      <c r="BF80" s="355">
        <f t="shared" ref="BF80" si="727">BE80</f>
        <v>0.10731031913168028</v>
      </c>
      <c r="BG80" s="355">
        <f t="shared" ref="BG80" si="728">BF80</f>
        <v>0.10731031913168028</v>
      </c>
      <c r="BH80" s="355">
        <f t="shared" ref="BH80" si="729">BG80</f>
        <v>0.10731031913168028</v>
      </c>
      <c r="BI80" s="355">
        <f t="shared" ref="BI80" si="730">BH80</f>
        <v>0.10731031913168028</v>
      </c>
      <c r="BJ80" s="355">
        <f t="shared" ref="BJ80" si="731">BI80</f>
        <v>0.10731031913168028</v>
      </c>
      <c r="BK80" s="354">
        <f>((SUM(AY85:BJ85)/AVERAGE(AY84:BJ84)+BK75)*AVERAGE(BK84:BV84)-SUM(BK77:BV77))/(BK84*BK$14+BL84*BL$14+BM84*BM$14+BN84*BN$14+BO84*BO$14+BP84*BP$14+BQ84*BQ$14+BR84*BR$14+BS84*BS$14+BT84*BT$14+BU84*BU$14+BV84*BV$14)</f>
        <v>0.10731031913168028</v>
      </c>
      <c r="BL80" s="355">
        <f>BK80</f>
        <v>0.10731031913168028</v>
      </c>
      <c r="BM80" s="355">
        <f t="shared" ref="BM80" si="732">BL80</f>
        <v>0.10731031913168028</v>
      </c>
      <c r="BN80" s="355">
        <f t="shared" ref="BN80" si="733">BM80</f>
        <v>0.10731031913168028</v>
      </c>
      <c r="BO80" s="355">
        <f t="shared" ref="BO80" si="734">BN80</f>
        <v>0.10731031913168028</v>
      </c>
      <c r="BP80" s="355">
        <f t="shared" ref="BP80" si="735">BO80</f>
        <v>0.10731031913168028</v>
      </c>
      <c r="BQ80" s="355">
        <f t="shared" ref="BQ80" si="736">BP80</f>
        <v>0.10731031913168028</v>
      </c>
      <c r="BR80" s="355">
        <f t="shared" ref="BR80" si="737">BQ80</f>
        <v>0.10731031913168028</v>
      </c>
      <c r="BS80" s="355">
        <f t="shared" ref="BS80" si="738">BR80</f>
        <v>0.10731031913168028</v>
      </c>
      <c r="BT80" s="355">
        <f t="shared" ref="BT80" si="739">BS80</f>
        <v>0.10731031913168028</v>
      </c>
      <c r="BU80" s="355">
        <f t="shared" ref="BU80" si="740">BT80</f>
        <v>0.10731031913168028</v>
      </c>
      <c r="BV80" s="355">
        <f t="shared" ref="BV80" si="741">BU80</f>
        <v>0.10731031913168028</v>
      </c>
      <c r="BW80" s="354">
        <f>((SUM(BK85:BV85)/AVERAGE(BK84:BV84)+BW75)*AVERAGE(BW84:CH84)-SUM(BW77:CH77))/(BW84*BW$14+BX84*BX$14+BY84*BY$14+BZ84*BZ$14+CA84*CA$14+CB84*CB$14+CC84*CC$14+CD84*CD$14+CE84*CE$14+CF84*CF$14+CG84*CG$14+CH84*CH$14)</f>
        <v>0.10731031913168028</v>
      </c>
      <c r="BX80" s="355">
        <f>BW80</f>
        <v>0.10731031913168028</v>
      </c>
      <c r="BY80" s="355">
        <f t="shared" ref="BY80" si="742">BX80</f>
        <v>0.10731031913168028</v>
      </c>
      <c r="BZ80" s="355">
        <f t="shared" ref="BZ80" si="743">BY80</f>
        <v>0.10731031913168028</v>
      </c>
      <c r="CA80" s="355">
        <f t="shared" ref="CA80" si="744">BZ80</f>
        <v>0.10731031913168028</v>
      </c>
      <c r="CB80" s="355">
        <f t="shared" ref="CB80" si="745">CA80</f>
        <v>0.10731031913168028</v>
      </c>
      <c r="CC80" s="355">
        <f t="shared" ref="CC80" si="746">CB80</f>
        <v>0.10731031913168028</v>
      </c>
      <c r="CD80" s="355">
        <f t="shared" ref="CD80" si="747">CC80</f>
        <v>0.10731031913168028</v>
      </c>
      <c r="CE80" s="355">
        <f t="shared" ref="CE80" si="748">CD80</f>
        <v>0.10731031913168028</v>
      </c>
      <c r="CF80" s="355">
        <f t="shared" ref="CF80" si="749">CE80</f>
        <v>0.10731031913168028</v>
      </c>
      <c r="CG80" s="355">
        <f t="shared" ref="CG80" si="750">CF80</f>
        <v>0.10731031913168028</v>
      </c>
      <c r="CH80" s="355">
        <f t="shared" ref="CH80" si="751">CG80</f>
        <v>0.10731031913168028</v>
      </c>
    </row>
    <row r="81" spans="1:86">
      <c r="A81" s="233">
        <v>69</v>
      </c>
      <c r="B81" s="26" t="s">
        <v>76</v>
      </c>
      <c r="C81" s="26">
        <f>ROUND(C80*C$14,4)</f>
        <v>0</v>
      </c>
      <c r="D81" s="26">
        <f t="shared" ref="D81:BO81" si="752">ROUND(D80*D$14,4)</f>
        <v>0</v>
      </c>
      <c r="E81" s="26">
        <f t="shared" si="752"/>
        <v>0.21460000000000001</v>
      </c>
      <c r="F81" s="26">
        <f t="shared" si="752"/>
        <v>7.6189999999999998</v>
      </c>
      <c r="G81" s="26">
        <f t="shared" si="752"/>
        <v>38.846299999999999</v>
      </c>
      <c r="H81" s="26">
        <f t="shared" si="752"/>
        <v>70.502899999999997</v>
      </c>
      <c r="I81" s="26">
        <f t="shared" si="752"/>
        <v>86.492099999999994</v>
      </c>
      <c r="J81" s="26">
        <f t="shared" si="752"/>
        <v>94.325800000000001</v>
      </c>
      <c r="K81" s="26">
        <f t="shared" si="752"/>
        <v>63.098500000000001</v>
      </c>
      <c r="L81" s="26">
        <f t="shared" si="752"/>
        <v>37.022100000000002</v>
      </c>
      <c r="M81" s="26">
        <f t="shared" si="752"/>
        <v>14.2723</v>
      </c>
      <c r="N81" s="26">
        <f t="shared" si="752"/>
        <v>1.5023</v>
      </c>
      <c r="O81" s="26">
        <f t="shared" si="752"/>
        <v>0</v>
      </c>
      <c r="P81" s="26">
        <f t="shared" si="752"/>
        <v>0</v>
      </c>
      <c r="Q81" s="26">
        <f t="shared" si="752"/>
        <v>0.21460000000000001</v>
      </c>
      <c r="R81" s="26">
        <f t="shared" si="752"/>
        <v>7.6189999999999998</v>
      </c>
      <c r="S81" s="26">
        <f t="shared" si="752"/>
        <v>38.846299999999999</v>
      </c>
      <c r="T81" s="26">
        <f t="shared" si="752"/>
        <v>70.502899999999997</v>
      </c>
      <c r="U81" s="26">
        <f t="shared" si="752"/>
        <v>86.492099999999994</v>
      </c>
      <c r="V81" s="26">
        <f t="shared" si="752"/>
        <v>94.325800000000001</v>
      </c>
      <c r="W81" s="26">
        <f t="shared" si="752"/>
        <v>63.098500000000001</v>
      </c>
      <c r="X81" s="26">
        <f t="shared" si="752"/>
        <v>37.022100000000002</v>
      </c>
      <c r="Y81" s="26">
        <f t="shared" si="752"/>
        <v>14.2723</v>
      </c>
      <c r="Z81" s="26">
        <f t="shared" si="752"/>
        <v>1.5023</v>
      </c>
      <c r="AA81" s="26">
        <f t="shared" si="752"/>
        <v>0</v>
      </c>
      <c r="AB81" s="26">
        <f t="shared" si="752"/>
        <v>0</v>
      </c>
      <c r="AC81" s="26">
        <f t="shared" si="752"/>
        <v>0.21460000000000001</v>
      </c>
      <c r="AD81" s="26">
        <f t="shared" si="752"/>
        <v>7.6189999999999998</v>
      </c>
      <c r="AE81" s="26">
        <f t="shared" si="752"/>
        <v>38.846299999999999</v>
      </c>
      <c r="AF81" s="26">
        <f t="shared" si="752"/>
        <v>70.502899999999997</v>
      </c>
      <c r="AG81" s="26">
        <f t="shared" si="752"/>
        <v>86.492099999999994</v>
      </c>
      <c r="AH81" s="26">
        <f t="shared" si="752"/>
        <v>94.325800000000001</v>
      </c>
      <c r="AI81" s="26">
        <f t="shared" si="752"/>
        <v>63.098500000000001</v>
      </c>
      <c r="AJ81" s="26">
        <f t="shared" si="752"/>
        <v>37.022100000000002</v>
      </c>
      <c r="AK81" s="26">
        <f t="shared" si="752"/>
        <v>14.2723</v>
      </c>
      <c r="AL81" s="26">
        <f t="shared" si="752"/>
        <v>1.5023</v>
      </c>
      <c r="AM81" s="26">
        <f t="shared" si="752"/>
        <v>0</v>
      </c>
      <c r="AN81" s="26">
        <f t="shared" si="752"/>
        <v>0</v>
      </c>
      <c r="AO81" s="26">
        <f t="shared" si="752"/>
        <v>0.21460000000000001</v>
      </c>
      <c r="AP81" s="26">
        <f t="shared" si="752"/>
        <v>7.6189999999999998</v>
      </c>
      <c r="AQ81" s="26">
        <f t="shared" si="752"/>
        <v>38.846299999999999</v>
      </c>
      <c r="AR81" s="26">
        <f t="shared" si="752"/>
        <v>70.502899999999997</v>
      </c>
      <c r="AS81" s="26">
        <f t="shared" si="752"/>
        <v>86.492099999999994</v>
      </c>
      <c r="AT81" s="26">
        <f t="shared" si="752"/>
        <v>94.325800000000001</v>
      </c>
      <c r="AU81" s="26">
        <f t="shared" si="752"/>
        <v>63.098500000000001</v>
      </c>
      <c r="AV81" s="26">
        <f t="shared" si="752"/>
        <v>37.022100000000002</v>
      </c>
      <c r="AW81" s="26">
        <f t="shared" si="752"/>
        <v>14.2723</v>
      </c>
      <c r="AX81" s="26">
        <f t="shared" si="752"/>
        <v>1.5023</v>
      </c>
      <c r="AY81" s="26">
        <f t="shared" si="752"/>
        <v>0</v>
      </c>
      <c r="AZ81" s="26">
        <f t="shared" si="752"/>
        <v>0</v>
      </c>
      <c r="BA81" s="26">
        <f t="shared" si="752"/>
        <v>0.21460000000000001</v>
      </c>
      <c r="BB81" s="26">
        <f t="shared" si="752"/>
        <v>7.6189999999999998</v>
      </c>
      <c r="BC81" s="26">
        <f t="shared" si="752"/>
        <v>38.846299999999999</v>
      </c>
      <c r="BD81" s="26">
        <f t="shared" si="752"/>
        <v>70.502899999999997</v>
      </c>
      <c r="BE81" s="26">
        <f t="shared" si="752"/>
        <v>86.492099999999994</v>
      </c>
      <c r="BF81" s="26">
        <f t="shared" si="752"/>
        <v>94.325800000000001</v>
      </c>
      <c r="BG81" s="26">
        <f t="shared" si="752"/>
        <v>63.098500000000001</v>
      </c>
      <c r="BH81" s="26">
        <f t="shared" si="752"/>
        <v>37.022100000000002</v>
      </c>
      <c r="BI81" s="26">
        <f t="shared" si="752"/>
        <v>14.2723</v>
      </c>
      <c r="BJ81" s="26">
        <f t="shared" si="752"/>
        <v>1.5023</v>
      </c>
      <c r="BK81" s="26">
        <f t="shared" si="752"/>
        <v>0</v>
      </c>
      <c r="BL81" s="26">
        <f t="shared" si="752"/>
        <v>0</v>
      </c>
      <c r="BM81" s="26">
        <f t="shared" si="752"/>
        <v>0.21460000000000001</v>
      </c>
      <c r="BN81" s="26">
        <f t="shared" si="752"/>
        <v>7.6189999999999998</v>
      </c>
      <c r="BO81" s="26">
        <f t="shared" si="752"/>
        <v>38.846299999999999</v>
      </c>
      <c r="BP81" s="26">
        <f t="shared" ref="BP81:CH81" si="753">ROUND(BP80*BP$14,4)</f>
        <v>70.502899999999997</v>
      </c>
      <c r="BQ81" s="26">
        <f t="shared" si="753"/>
        <v>86.492099999999994</v>
      </c>
      <c r="BR81" s="26">
        <f t="shared" si="753"/>
        <v>94.325800000000001</v>
      </c>
      <c r="BS81" s="26">
        <f t="shared" si="753"/>
        <v>63.098500000000001</v>
      </c>
      <c r="BT81" s="26">
        <f t="shared" si="753"/>
        <v>37.022100000000002</v>
      </c>
      <c r="BU81" s="26">
        <f t="shared" si="753"/>
        <v>14.2723</v>
      </c>
      <c r="BV81" s="26">
        <f t="shared" si="753"/>
        <v>1.5023</v>
      </c>
      <c r="BW81" s="26">
        <f t="shared" si="753"/>
        <v>0</v>
      </c>
      <c r="BX81" s="26">
        <f t="shared" si="753"/>
        <v>0</v>
      </c>
      <c r="BY81" s="26">
        <f t="shared" si="753"/>
        <v>0.21460000000000001</v>
      </c>
      <c r="BZ81" s="26">
        <f t="shared" si="753"/>
        <v>7.6189999999999998</v>
      </c>
      <c r="CA81" s="26">
        <f t="shared" si="753"/>
        <v>38.846299999999999</v>
      </c>
      <c r="CB81" s="26">
        <f t="shared" si="753"/>
        <v>70.502899999999997</v>
      </c>
      <c r="CC81" s="26">
        <f t="shared" si="753"/>
        <v>86.492099999999994</v>
      </c>
      <c r="CD81" s="26">
        <f t="shared" si="753"/>
        <v>94.325800000000001</v>
      </c>
      <c r="CE81" s="26">
        <f t="shared" si="753"/>
        <v>63.098500000000001</v>
      </c>
      <c r="CF81" s="26">
        <f t="shared" si="753"/>
        <v>37.022100000000002</v>
      </c>
      <c r="CG81" s="26">
        <f t="shared" si="753"/>
        <v>14.2723</v>
      </c>
      <c r="CH81" s="26">
        <f t="shared" si="753"/>
        <v>1.5023</v>
      </c>
    </row>
    <row r="82" spans="1:86">
      <c r="A82" s="233">
        <v>70</v>
      </c>
      <c r="B82" s="26" t="s">
        <v>532</v>
      </c>
      <c r="C82" s="354">
        <f>(_xlfn.XLOOKUP($C$102,$C$101:$N$101,C86:N86,"#NA",0,1)+_xlfn.XLOOKUP($D$102,$C$101:$N$101,C86:N86,"#NA",0,1))/(_xlfn.XLOOKUP($C$102,$C$101:$N$101,C84:N84,"#NA",0,1)+_xlfn.XLOOKUP($D$102,$C$101:$N$101,C84:N84,"#NA",0,1))</f>
        <v>16.179897988602079</v>
      </c>
      <c r="D82" s="482">
        <f t="shared" ref="D82" si="754">C82</f>
        <v>16.179897988602079</v>
      </c>
      <c r="E82" s="482">
        <f t="shared" ref="E82" si="755">D82</f>
        <v>16.179897988602079</v>
      </c>
      <c r="F82" s="482">
        <f t="shared" ref="F82" si="756">E82</f>
        <v>16.179897988602079</v>
      </c>
      <c r="G82" s="482">
        <f t="shared" ref="G82" si="757">F82</f>
        <v>16.179897988602079</v>
      </c>
      <c r="H82" s="482">
        <f t="shared" ref="H82" si="758">G82</f>
        <v>16.179897988602079</v>
      </c>
      <c r="I82" s="482">
        <f t="shared" ref="I82" si="759">H82</f>
        <v>16.179897988602079</v>
      </c>
      <c r="J82" s="482">
        <f t="shared" ref="J82" si="760">I82</f>
        <v>16.179897988602079</v>
      </c>
      <c r="K82" s="482">
        <f t="shared" ref="K82" si="761">J82</f>
        <v>16.179897988602079</v>
      </c>
      <c r="L82" s="482">
        <f t="shared" ref="L82" si="762">K82</f>
        <v>16.179897988602079</v>
      </c>
      <c r="M82" s="482">
        <f t="shared" ref="M82" si="763">L82</f>
        <v>16.179897988602079</v>
      </c>
      <c r="N82" s="482">
        <f t="shared" ref="N82" si="764">M82</f>
        <v>16.179897988602079</v>
      </c>
      <c r="O82" s="482">
        <f>C82+O74</f>
        <v>16.179897988602079</v>
      </c>
      <c r="P82" s="482">
        <f t="shared" ref="P82" si="765">D82+P74</f>
        <v>16.179897988602079</v>
      </c>
      <c r="Q82" s="482">
        <f t="shared" ref="Q82" si="766">E82+Q74</f>
        <v>16.179897988602079</v>
      </c>
      <c r="R82" s="482">
        <f t="shared" ref="R82" si="767">F82+R74</f>
        <v>16.179897988602079</v>
      </c>
      <c r="S82" s="482">
        <f t="shared" ref="S82" si="768">G82+S74</f>
        <v>16.179897988602079</v>
      </c>
      <c r="T82" s="482">
        <f t="shared" ref="T82" si="769">H82+T74</f>
        <v>16.179897988602079</v>
      </c>
      <c r="U82" s="482">
        <f t="shared" ref="U82" si="770">I82+U74</f>
        <v>16.179897988602079</v>
      </c>
      <c r="V82" s="482">
        <f t="shared" ref="V82" si="771">J82+V74</f>
        <v>16.179897988602079</v>
      </c>
      <c r="W82" s="482">
        <f t="shared" ref="W82" si="772">K82+W74</f>
        <v>16.179897988602079</v>
      </c>
      <c r="X82" s="482">
        <f t="shared" ref="X82" si="773">L82+X74</f>
        <v>16.179897988602079</v>
      </c>
      <c r="Y82" s="482">
        <f t="shared" ref="Y82" si="774">M82+Y74</f>
        <v>16.179897988602079</v>
      </c>
      <c r="Z82" s="482">
        <f t="shared" ref="Z82" si="775">N82+Z74</f>
        <v>16.179897988602079</v>
      </c>
      <c r="AA82" s="482">
        <f>O82+AA74</f>
        <v>16.179897988602079</v>
      </c>
      <c r="AB82" s="482">
        <f t="shared" ref="AB82" si="776">P82+AB74</f>
        <v>16.179897988602079</v>
      </c>
      <c r="AC82" s="482">
        <f t="shared" ref="AC82" si="777">Q82+AC74</f>
        <v>16.179897988602079</v>
      </c>
      <c r="AD82" s="482">
        <f t="shared" ref="AD82" si="778">R82+AD74</f>
        <v>16.179897988602079</v>
      </c>
      <c r="AE82" s="482">
        <f t="shared" ref="AE82" si="779">S82+AE74</f>
        <v>16.179897988602079</v>
      </c>
      <c r="AF82" s="482">
        <f t="shared" ref="AF82" si="780">T82+AF74</f>
        <v>16.179897988602079</v>
      </c>
      <c r="AG82" s="482">
        <f t="shared" ref="AG82" si="781">U82+AG74</f>
        <v>16.179897988602079</v>
      </c>
      <c r="AH82" s="482">
        <f t="shared" ref="AH82" si="782">V82+AH74</f>
        <v>16.179897988602079</v>
      </c>
      <c r="AI82" s="482">
        <f t="shared" ref="AI82" si="783">W82+AI74</f>
        <v>16.179897988602079</v>
      </c>
      <c r="AJ82" s="482">
        <f t="shared" ref="AJ82" si="784">X82+AJ74</f>
        <v>16.179897988602079</v>
      </c>
      <c r="AK82" s="482">
        <f t="shared" ref="AK82" si="785">Y82+AK74</f>
        <v>16.179897988602079</v>
      </c>
      <c r="AL82" s="482">
        <f t="shared" ref="AL82" si="786">Z82+AL74</f>
        <v>16.179897988602079</v>
      </c>
      <c r="AM82" s="482">
        <f>AA82+AM74</f>
        <v>16.179897988602079</v>
      </c>
      <c r="AN82" s="482">
        <f t="shared" ref="AN82" si="787">AB82+AN74</f>
        <v>16.179897988602079</v>
      </c>
      <c r="AO82" s="482">
        <f t="shared" ref="AO82" si="788">AC82+AO74</f>
        <v>16.179897988602079</v>
      </c>
      <c r="AP82" s="482">
        <f t="shared" ref="AP82" si="789">AD82+AP74</f>
        <v>16.179897988602079</v>
      </c>
      <c r="AQ82" s="482">
        <f t="shared" ref="AQ82" si="790">AE82+AQ74</f>
        <v>16.179897988602079</v>
      </c>
      <c r="AR82" s="482">
        <f t="shared" ref="AR82" si="791">AF82+AR74</f>
        <v>16.179897988602079</v>
      </c>
      <c r="AS82" s="482">
        <f t="shared" ref="AS82" si="792">AG82+AS74</f>
        <v>16.179897988602079</v>
      </c>
      <c r="AT82" s="482">
        <f t="shared" ref="AT82" si="793">AH82+AT74</f>
        <v>16.179897988602079</v>
      </c>
      <c r="AU82" s="482">
        <f t="shared" ref="AU82" si="794">AI82+AU74</f>
        <v>16.179897988602079</v>
      </c>
      <c r="AV82" s="482">
        <f t="shared" ref="AV82" si="795">AJ82+AV74</f>
        <v>16.179897988602079</v>
      </c>
      <c r="AW82" s="482">
        <f t="shared" ref="AW82" si="796">AK82+AW74</f>
        <v>16.179897988602079</v>
      </c>
      <c r="AX82" s="482">
        <f t="shared" ref="AX82" si="797">AL82+AX74</f>
        <v>16.179897988602079</v>
      </c>
      <c r="AY82" s="482">
        <f>AM82+AY74</f>
        <v>16.179897988602079</v>
      </c>
      <c r="AZ82" s="482">
        <f t="shared" ref="AZ82" si="798">AN82+AZ74</f>
        <v>16.179897988602079</v>
      </c>
      <c r="BA82" s="482">
        <f t="shared" ref="BA82" si="799">AO82+BA74</f>
        <v>16.179897988602079</v>
      </c>
      <c r="BB82" s="482">
        <f t="shared" ref="BB82" si="800">AP82+BB74</f>
        <v>16.179897988602079</v>
      </c>
      <c r="BC82" s="482">
        <f t="shared" ref="BC82" si="801">AQ82+BC74</f>
        <v>16.179897988602079</v>
      </c>
      <c r="BD82" s="482">
        <f t="shared" ref="BD82" si="802">AR82+BD74</f>
        <v>16.179897988602079</v>
      </c>
      <c r="BE82" s="482">
        <f t="shared" ref="BE82" si="803">AS82+BE74</f>
        <v>16.179897988602079</v>
      </c>
      <c r="BF82" s="482">
        <f t="shared" ref="BF82" si="804">AT82+BF74</f>
        <v>16.179897988602079</v>
      </c>
      <c r="BG82" s="482">
        <f t="shared" ref="BG82" si="805">AU82+BG74</f>
        <v>16.179897988602079</v>
      </c>
      <c r="BH82" s="482">
        <f t="shared" ref="BH82" si="806">AV82+BH74</f>
        <v>16.179897988602079</v>
      </c>
      <c r="BI82" s="482">
        <f t="shared" ref="BI82" si="807">AW82+BI74</f>
        <v>16.179897988602079</v>
      </c>
      <c r="BJ82" s="482">
        <f t="shared" ref="BJ82" si="808">AX82+BJ74</f>
        <v>16.179897988602079</v>
      </c>
      <c r="BK82" s="482">
        <f>AY82+BK74</f>
        <v>16.179897988602079</v>
      </c>
      <c r="BL82" s="482">
        <f t="shared" ref="BL82" si="809">AZ82+BL74</f>
        <v>16.179897988602079</v>
      </c>
      <c r="BM82" s="482">
        <f t="shared" ref="BM82" si="810">BA82+BM74</f>
        <v>16.179897988602079</v>
      </c>
      <c r="BN82" s="482">
        <f t="shared" ref="BN82" si="811">BB82+BN74</f>
        <v>16.179897988602079</v>
      </c>
      <c r="BO82" s="482">
        <f t="shared" ref="BO82" si="812">BC82+BO74</f>
        <v>16.179897988602079</v>
      </c>
      <c r="BP82" s="482">
        <f t="shared" ref="BP82" si="813">BD82+BP74</f>
        <v>16.179897988602079</v>
      </c>
      <c r="BQ82" s="482">
        <f t="shared" ref="BQ82" si="814">BE82+BQ74</f>
        <v>16.179897988602079</v>
      </c>
      <c r="BR82" s="482">
        <f t="shared" ref="BR82" si="815">BF82+BR74</f>
        <v>16.179897988602079</v>
      </c>
      <c r="BS82" s="482">
        <f t="shared" ref="BS82" si="816">BG82+BS74</f>
        <v>16.179897988602079</v>
      </c>
      <c r="BT82" s="482">
        <f t="shared" ref="BT82" si="817">BH82+BT74</f>
        <v>16.179897988602079</v>
      </c>
      <c r="BU82" s="482">
        <f t="shared" ref="BU82" si="818">BI82+BU74</f>
        <v>16.179897988602079</v>
      </c>
      <c r="BV82" s="482">
        <f t="shared" ref="BV82" si="819">BJ82+BV74</f>
        <v>16.179897988602079</v>
      </c>
      <c r="BW82" s="482">
        <f>BK82+BW74</f>
        <v>16.179897988602079</v>
      </c>
      <c r="BX82" s="482">
        <f t="shared" ref="BX82" si="820">BL82+BX74</f>
        <v>16.179897988602079</v>
      </c>
      <c r="BY82" s="482">
        <f t="shared" ref="BY82" si="821">BM82+BY74</f>
        <v>16.179897988602079</v>
      </c>
      <c r="BZ82" s="482">
        <f t="shared" ref="BZ82" si="822">BN82+BZ74</f>
        <v>16.179897988602079</v>
      </c>
      <c r="CA82" s="482">
        <f t="shared" ref="CA82" si="823">BO82+CA74</f>
        <v>16.179897988602079</v>
      </c>
      <c r="CB82" s="482">
        <f t="shared" ref="CB82" si="824">BP82+CB74</f>
        <v>16.179897988602079</v>
      </c>
      <c r="CC82" s="482">
        <f t="shared" ref="CC82" si="825">BQ82+CC74</f>
        <v>16.179897988602079</v>
      </c>
      <c r="CD82" s="482">
        <f t="shared" ref="CD82" si="826">BR82+CD74</f>
        <v>16.179897988602079</v>
      </c>
      <c r="CE82" s="482">
        <f t="shared" ref="CE82" si="827">BS82+CE74</f>
        <v>16.179897988602079</v>
      </c>
      <c r="CF82" s="482">
        <f t="shared" ref="CF82" si="828">BT82+CF74</f>
        <v>16.179897988602079</v>
      </c>
      <c r="CG82" s="482">
        <f t="shared" ref="CG82" si="829">BU82+CG74</f>
        <v>16.179897988602079</v>
      </c>
      <c r="CH82" s="482">
        <f t="shared" ref="CH82" si="830">BV82+CH74</f>
        <v>16.179897988602079</v>
      </c>
    </row>
    <row r="83" spans="1:86">
      <c r="A83" s="233">
        <v>71</v>
      </c>
      <c r="B83" s="26" t="s">
        <v>545</v>
      </c>
      <c r="C83" s="482">
        <f t="shared" ref="C83:BN83" si="831">C82+C81</f>
        <v>16.179897988602079</v>
      </c>
      <c r="D83" s="482">
        <f t="shared" si="831"/>
        <v>16.179897988602079</v>
      </c>
      <c r="E83" s="482">
        <f t="shared" si="831"/>
        <v>16.39449798860208</v>
      </c>
      <c r="F83" s="482">
        <f t="shared" si="831"/>
        <v>23.798897988602079</v>
      </c>
      <c r="G83" s="482">
        <f t="shared" si="831"/>
        <v>55.026197988602078</v>
      </c>
      <c r="H83" s="482">
        <f t="shared" si="831"/>
        <v>86.682797988602076</v>
      </c>
      <c r="I83" s="482">
        <f t="shared" si="831"/>
        <v>102.67199798860207</v>
      </c>
      <c r="J83" s="482">
        <f t="shared" si="831"/>
        <v>110.50569798860208</v>
      </c>
      <c r="K83" s="482">
        <f t="shared" si="831"/>
        <v>79.27839798860208</v>
      </c>
      <c r="L83" s="482">
        <f t="shared" si="831"/>
        <v>53.201997988602081</v>
      </c>
      <c r="M83" s="482">
        <f t="shared" si="831"/>
        <v>30.45219798860208</v>
      </c>
      <c r="N83" s="482">
        <f t="shared" si="831"/>
        <v>17.682197988602077</v>
      </c>
      <c r="O83" s="482">
        <f t="shared" si="831"/>
        <v>16.179897988602079</v>
      </c>
      <c r="P83" s="482">
        <f t="shared" si="831"/>
        <v>16.179897988602079</v>
      </c>
      <c r="Q83" s="482">
        <f t="shared" si="831"/>
        <v>16.39449798860208</v>
      </c>
      <c r="R83" s="482">
        <f t="shared" si="831"/>
        <v>23.798897988602079</v>
      </c>
      <c r="S83" s="482">
        <f t="shared" si="831"/>
        <v>55.026197988602078</v>
      </c>
      <c r="T83" s="482">
        <f t="shared" si="831"/>
        <v>86.682797988602076</v>
      </c>
      <c r="U83" s="482">
        <f t="shared" si="831"/>
        <v>102.67199798860207</v>
      </c>
      <c r="V83" s="482">
        <f t="shared" si="831"/>
        <v>110.50569798860208</v>
      </c>
      <c r="W83" s="482">
        <f t="shared" si="831"/>
        <v>79.27839798860208</v>
      </c>
      <c r="X83" s="482">
        <f t="shared" si="831"/>
        <v>53.201997988602081</v>
      </c>
      <c r="Y83" s="482">
        <f t="shared" si="831"/>
        <v>30.45219798860208</v>
      </c>
      <c r="Z83" s="482">
        <f t="shared" si="831"/>
        <v>17.682197988602077</v>
      </c>
      <c r="AA83" s="482">
        <f t="shared" si="831"/>
        <v>16.179897988602079</v>
      </c>
      <c r="AB83" s="482">
        <f t="shared" si="831"/>
        <v>16.179897988602079</v>
      </c>
      <c r="AC83" s="482">
        <f t="shared" si="831"/>
        <v>16.39449798860208</v>
      </c>
      <c r="AD83" s="482">
        <f t="shared" si="831"/>
        <v>23.798897988602079</v>
      </c>
      <c r="AE83" s="482">
        <f t="shared" si="831"/>
        <v>55.026197988602078</v>
      </c>
      <c r="AF83" s="482">
        <f t="shared" si="831"/>
        <v>86.682797988602076</v>
      </c>
      <c r="AG83" s="482">
        <f t="shared" si="831"/>
        <v>102.67199798860207</v>
      </c>
      <c r="AH83" s="482">
        <f t="shared" si="831"/>
        <v>110.50569798860208</v>
      </c>
      <c r="AI83" s="482">
        <f t="shared" si="831"/>
        <v>79.27839798860208</v>
      </c>
      <c r="AJ83" s="482">
        <f t="shared" si="831"/>
        <v>53.201997988602081</v>
      </c>
      <c r="AK83" s="482">
        <f t="shared" si="831"/>
        <v>30.45219798860208</v>
      </c>
      <c r="AL83" s="482">
        <f t="shared" si="831"/>
        <v>17.682197988602077</v>
      </c>
      <c r="AM83" s="482">
        <f t="shared" si="831"/>
        <v>16.179897988602079</v>
      </c>
      <c r="AN83" s="482">
        <f t="shared" si="831"/>
        <v>16.179897988602079</v>
      </c>
      <c r="AO83" s="482">
        <f t="shared" si="831"/>
        <v>16.39449798860208</v>
      </c>
      <c r="AP83" s="482">
        <f t="shared" si="831"/>
        <v>23.798897988602079</v>
      </c>
      <c r="AQ83" s="482">
        <f t="shared" si="831"/>
        <v>55.026197988602078</v>
      </c>
      <c r="AR83" s="482">
        <f t="shared" si="831"/>
        <v>86.682797988602076</v>
      </c>
      <c r="AS83" s="482">
        <f t="shared" si="831"/>
        <v>102.67199798860207</v>
      </c>
      <c r="AT83" s="482">
        <f t="shared" si="831"/>
        <v>110.50569798860208</v>
      </c>
      <c r="AU83" s="482">
        <f t="shared" si="831"/>
        <v>79.27839798860208</v>
      </c>
      <c r="AV83" s="482">
        <f t="shared" si="831"/>
        <v>53.201997988602081</v>
      </c>
      <c r="AW83" s="482">
        <f t="shared" si="831"/>
        <v>30.45219798860208</v>
      </c>
      <c r="AX83" s="482">
        <f t="shared" si="831"/>
        <v>17.682197988602077</v>
      </c>
      <c r="AY83" s="482">
        <f t="shared" si="831"/>
        <v>16.179897988602079</v>
      </c>
      <c r="AZ83" s="482">
        <f t="shared" si="831"/>
        <v>16.179897988602079</v>
      </c>
      <c r="BA83" s="482">
        <f t="shared" si="831"/>
        <v>16.39449798860208</v>
      </c>
      <c r="BB83" s="482">
        <f t="shared" si="831"/>
        <v>23.798897988602079</v>
      </c>
      <c r="BC83" s="482">
        <f t="shared" si="831"/>
        <v>55.026197988602078</v>
      </c>
      <c r="BD83" s="482">
        <f t="shared" si="831"/>
        <v>86.682797988602076</v>
      </c>
      <c r="BE83" s="482">
        <f t="shared" si="831"/>
        <v>102.67199798860207</v>
      </c>
      <c r="BF83" s="482">
        <f t="shared" si="831"/>
        <v>110.50569798860208</v>
      </c>
      <c r="BG83" s="482">
        <f t="shared" si="831"/>
        <v>79.27839798860208</v>
      </c>
      <c r="BH83" s="482">
        <f t="shared" si="831"/>
        <v>53.201997988602081</v>
      </c>
      <c r="BI83" s="482">
        <f t="shared" si="831"/>
        <v>30.45219798860208</v>
      </c>
      <c r="BJ83" s="482">
        <f t="shared" si="831"/>
        <v>17.682197988602077</v>
      </c>
      <c r="BK83" s="482">
        <f t="shared" si="831"/>
        <v>16.179897988602079</v>
      </c>
      <c r="BL83" s="482">
        <f t="shared" si="831"/>
        <v>16.179897988602079</v>
      </c>
      <c r="BM83" s="482">
        <f t="shared" si="831"/>
        <v>16.39449798860208</v>
      </c>
      <c r="BN83" s="482">
        <f t="shared" si="831"/>
        <v>23.798897988602079</v>
      </c>
      <c r="BO83" s="482">
        <f t="shared" ref="BO83:CH83" si="832">BO82+BO81</f>
        <v>55.026197988602078</v>
      </c>
      <c r="BP83" s="482">
        <f t="shared" si="832"/>
        <v>86.682797988602076</v>
      </c>
      <c r="BQ83" s="482">
        <f t="shared" si="832"/>
        <v>102.67199798860207</v>
      </c>
      <c r="BR83" s="482">
        <f t="shared" si="832"/>
        <v>110.50569798860208</v>
      </c>
      <c r="BS83" s="482">
        <f t="shared" si="832"/>
        <v>79.27839798860208</v>
      </c>
      <c r="BT83" s="482">
        <f t="shared" si="832"/>
        <v>53.201997988602081</v>
      </c>
      <c r="BU83" s="482">
        <f t="shared" si="832"/>
        <v>30.45219798860208</v>
      </c>
      <c r="BV83" s="482">
        <f t="shared" si="832"/>
        <v>17.682197988602077</v>
      </c>
      <c r="BW83" s="482">
        <f t="shared" si="832"/>
        <v>16.179897988602079</v>
      </c>
      <c r="BX83" s="482">
        <f t="shared" si="832"/>
        <v>16.179897988602079</v>
      </c>
      <c r="BY83" s="482">
        <f t="shared" si="832"/>
        <v>16.39449798860208</v>
      </c>
      <c r="BZ83" s="482">
        <f t="shared" si="832"/>
        <v>23.798897988602079</v>
      </c>
      <c r="CA83" s="482">
        <f t="shared" si="832"/>
        <v>55.026197988602078</v>
      </c>
      <c r="CB83" s="482">
        <f t="shared" si="832"/>
        <v>86.682797988602076</v>
      </c>
      <c r="CC83" s="482">
        <f t="shared" si="832"/>
        <v>102.67199798860207</v>
      </c>
      <c r="CD83" s="482">
        <f t="shared" si="832"/>
        <v>110.50569798860208</v>
      </c>
      <c r="CE83" s="482">
        <f t="shared" si="832"/>
        <v>79.27839798860208</v>
      </c>
      <c r="CF83" s="482">
        <f t="shared" si="832"/>
        <v>53.201997988602081</v>
      </c>
      <c r="CG83" s="482">
        <f t="shared" si="832"/>
        <v>30.45219798860208</v>
      </c>
      <c r="CH83" s="482">
        <f t="shared" si="832"/>
        <v>17.682197988602077</v>
      </c>
    </row>
    <row r="84" spans="1:86">
      <c r="A84" s="233">
        <v>72</v>
      </c>
      <c r="B84" s="26" t="s">
        <v>527</v>
      </c>
      <c r="C84" s="483">
        <f>'Bill Frequency'!C$34</f>
        <v>1490</v>
      </c>
      <c r="D84" s="484">
        <f>'Bill Frequency'!D$34</f>
        <v>1493</v>
      </c>
      <c r="E84" s="484">
        <f>'Bill Frequency'!E$34</f>
        <v>1496</v>
      </c>
      <c r="F84" s="484">
        <f>'Bill Frequency'!F$34</f>
        <v>1504</v>
      </c>
      <c r="G84" s="484">
        <f>'Bill Frequency'!G$34</f>
        <v>1502</v>
      </c>
      <c r="H84" s="484">
        <f>'Bill Frequency'!H$34</f>
        <v>1507</v>
      </c>
      <c r="I84" s="484">
        <f>'Bill Frequency'!I$34</f>
        <v>1516</v>
      </c>
      <c r="J84" s="484">
        <f>'Bill Frequency'!J$34</f>
        <v>1503</v>
      </c>
      <c r="K84" s="484">
        <f>'Bill Frequency'!K$34</f>
        <v>1507</v>
      </c>
      <c r="L84" s="484">
        <f>'Bill Frequency'!L$34</f>
        <v>1504</v>
      </c>
      <c r="M84" s="484">
        <f>'Bill Frequency'!M$34</f>
        <v>1513</v>
      </c>
      <c r="N84" s="485">
        <f>'Bill Frequency'!N$34</f>
        <v>1483</v>
      </c>
      <c r="O84" s="100">
        <f>C84+O73</f>
        <v>1490</v>
      </c>
      <c r="P84" s="100">
        <f t="shared" ref="P84" si="833">D84+P73</f>
        <v>1493</v>
      </c>
      <c r="Q84" s="100">
        <f t="shared" ref="Q84" si="834">E84+Q73</f>
        <v>1496</v>
      </c>
      <c r="R84" s="100">
        <f t="shared" ref="R84" si="835">F84+R73</f>
        <v>1504</v>
      </c>
      <c r="S84" s="100">
        <f t="shared" ref="S84" si="836">G84+S73</f>
        <v>1502</v>
      </c>
      <c r="T84" s="100">
        <f t="shared" ref="T84" si="837">H84+T73</f>
        <v>1507</v>
      </c>
      <c r="U84" s="100">
        <f t="shared" ref="U84" si="838">I84+U73</f>
        <v>1516</v>
      </c>
      <c r="V84" s="100">
        <f t="shared" ref="V84" si="839">J84+V73</f>
        <v>1503</v>
      </c>
      <c r="W84" s="100">
        <f t="shared" ref="W84" si="840">K84+W73</f>
        <v>1507</v>
      </c>
      <c r="X84" s="100">
        <f t="shared" ref="X84" si="841">L84+X73</f>
        <v>1504</v>
      </c>
      <c r="Y84" s="100">
        <f t="shared" ref="Y84" si="842">M84+Y73</f>
        <v>1513</v>
      </c>
      <c r="Z84" s="100">
        <f t="shared" ref="Z84" si="843">N84+Z73</f>
        <v>1483</v>
      </c>
      <c r="AA84" s="100">
        <f>O84+AA73</f>
        <v>1490</v>
      </c>
      <c r="AB84" s="100">
        <f t="shared" ref="AB84" si="844">P84+AB73</f>
        <v>1493</v>
      </c>
      <c r="AC84" s="100">
        <f t="shared" ref="AC84" si="845">Q84+AC73</f>
        <v>1496</v>
      </c>
      <c r="AD84" s="100">
        <f t="shared" ref="AD84" si="846">R84+AD73</f>
        <v>1504</v>
      </c>
      <c r="AE84" s="100">
        <f t="shared" ref="AE84" si="847">S84+AE73</f>
        <v>1502</v>
      </c>
      <c r="AF84" s="100">
        <f t="shared" ref="AF84" si="848">T84+AF73</f>
        <v>1507</v>
      </c>
      <c r="AG84" s="100">
        <f t="shared" ref="AG84" si="849">U84+AG73</f>
        <v>1516</v>
      </c>
      <c r="AH84" s="100">
        <f t="shared" ref="AH84" si="850">V84+AH73</f>
        <v>1503</v>
      </c>
      <c r="AI84" s="100">
        <f t="shared" ref="AI84" si="851">W84+AI73</f>
        <v>1507</v>
      </c>
      <c r="AJ84" s="100">
        <f t="shared" ref="AJ84" si="852">X84+AJ73</f>
        <v>1504</v>
      </c>
      <c r="AK84" s="100">
        <f t="shared" ref="AK84" si="853">Y84+AK73</f>
        <v>1513</v>
      </c>
      <c r="AL84" s="100">
        <f t="shared" ref="AL84" si="854">Z84+AL73</f>
        <v>1483</v>
      </c>
      <c r="AM84" s="100">
        <f>AA84+AM73</f>
        <v>1490</v>
      </c>
      <c r="AN84" s="100">
        <f t="shared" ref="AN84" si="855">AB84+AN73</f>
        <v>1493</v>
      </c>
      <c r="AO84" s="100">
        <f t="shared" ref="AO84" si="856">AC84+AO73</f>
        <v>1496</v>
      </c>
      <c r="AP84" s="100">
        <f t="shared" ref="AP84" si="857">AD84+AP73</f>
        <v>1504</v>
      </c>
      <c r="AQ84" s="100">
        <f t="shared" ref="AQ84" si="858">AE84+AQ73</f>
        <v>1502</v>
      </c>
      <c r="AR84" s="100">
        <f t="shared" ref="AR84" si="859">AF84+AR73</f>
        <v>1507</v>
      </c>
      <c r="AS84" s="100">
        <f t="shared" ref="AS84" si="860">AG84+AS73</f>
        <v>1516</v>
      </c>
      <c r="AT84" s="100">
        <f t="shared" ref="AT84" si="861">AH84+AT73</f>
        <v>1503</v>
      </c>
      <c r="AU84" s="100">
        <f t="shared" ref="AU84" si="862">AI84+AU73</f>
        <v>1507</v>
      </c>
      <c r="AV84" s="100">
        <f t="shared" ref="AV84" si="863">AJ84+AV73</f>
        <v>1504</v>
      </c>
      <c r="AW84" s="100">
        <f t="shared" ref="AW84" si="864">AK84+AW73</f>
        <v>1513</v>
      </c>
      <c r="AX84" s="100">
        <f t="shared" ref="AX84" si="865">AL84+AX73</f>
        <v>1483</v>
      </c>
      <c r="AY84" s="100">
        <f>AM84+AY73</f>
        <v>1490</v>
      </c>
      <c r="AZ84" s="100">
        <f t="shared" ref="AZ84" si="866">AN84+AZ73</f>
        <v>1493</v>
      </c>
      <c r="BA84" s="100">
        <f t="shared" ref="BA84" si="867">AO84+BA73</f>
        <v>1496</v>
      </c>
      <c r="BB84" s="100">
        <f t="shared" ref="BB84" si="868">AP84+BB73</f>
        <v>1504</v>
      </c>
      <c r="BC84" s="100">
        <f t="shared" ref="BC84" si="869">AQ84+BC73</f>
        <v>1502</v>
      </c>
      <c r="BD84" s="100">
        <f t="shared" ref="BD84" si="870">AR84+BD73</f>
        <v>1507</v>
      </c>
      <c r="BE84" s="100">
        <f t="shared" ref="BE84" si="871">AS84+BE73</f>
        <v>1516</v>
      </c>
      <c r="BF84" s="100">
        <f t="shared" ref="BF84" si="872">AT84+BF73</f>
        <v>1503</v>
      </c>
      <c r="BG84" s="100">
        <f t="shared" ref="BG84" si="873">AU84+BG73</f>
        <v>1507</v>
      </c>
      <c r="BH84" s="100">
        <f t="shared" ref="BH84" si="874">AV84+BH73</f>
        <v>1504</v>
      </c>
      <c r="BI84" s="100">
        <f t="shared" ref="BI84" si="875">AW84+BI73</f>
        <v>1513</v>
      </c>
      <c r="BJ84" s="100">
        <f t="shared" ref="BJ84" si="876">AX84+BJ73</f>
        <v>1483</v>
      </c>
      <c r="BK84" s="100">
        <f>AY84+BK73</f>
        <v>1490</v>
      </c>
      <c r="BL84" s="100">
        <f t="shared" ref="BL84" si="877">AZ84+BL73</f>
        <v>1493</v>
      </c>
      <c r="BM84" s="100">
        <f t="shared" ref="BM84" si="878">BA84+BM73</f>
        <v>1496</v>
      </c>
      <c r="BN84" s="100">
        <f t="shared" ref="BN84" si="879">BB84+BN73</f>
        <v>1504</v>
      </c>
      <c r="BO84" s="100">
        <f t="shared" ref="BO84" si="880">BC84+BO73</f>
        <v>1502</v>
      </c>
      <c r="BP84" s="100">
        <f t="shared" ref="BP84" si="881">BD84+BP73</f>
        <v>1507</v>
      </c>
      <c r="BQ84" s="100">
        <f t="shared" ref="BQ84" si="882">BE84+BQ73</f>
        <v>1516</v>
      </c>
      <c r="BR84" s="100">
        <f t="shared" ref="BR84" si="883">BF84+BR73</f>
        <v>1503</v>
      </c>
      <c r="BS84" s="100">
        <f t="shared" ref="BS84" si="884">BG84+BS73</f>
        <v>1507</v>
      </c>
      <c r="BT84" s="100">
        <f t="shared" ref="BT84" si="885">BH84+BT73</f>
        <v>1504</v>
      </c>
      <c r="BU84" s="100">
        <f t="shared" ref="BU84" si="886">BI84+BU73</f>
        <v>1513</v>
      </c>
      <c r="BV84" s="100">
        <f t="shared" ref="BV84" si="887">BJ84+BV73</f>
        <v>1483</v>
      </c>
      <c r="BW84" s="100">
        <f>BK84+BW73</f>
        <v>1490</v>
      </c>
      <c r="BX84" s="100">
        <f t="shared" ref="BX84" si="888">BL84+BX73</f>
        <v>1493</v>
      </c>
      <c r="BY84" s="100">
        <f t="shared" ref="BY84" si="889">BM84+BY73</f>
        <v>1496</v>
      </c>
      <c r="BZ84" s="100">
        <f t="shared" ref="BZ84" si="890">BN84+BZ73</f>
        <v>1504</v>
      </c>
      <c r="CA84" s="100">
        <f t="shared" ref="CA84" si="891">BO84+CA73</f>
        <v>1502</v>
      </c>
      <c r="CB84" s="100">
        <f t="shared" ref="CB84" si="892">BP84+CB73</f>
        <v>1507</v>
      </c>
      <c r="CC84" s="100">
        <f t="shared" ref="CC84" si="893">BQ84+CC73</f>
        <v>1516</v>
      </c>
      <c r="CD84" s="100">
        <f t="shared" ref="CD84" si="894">BR84+CD73</f>
        <v>1503</v>
      </c>
      <c r="CE84" s="100">
        <f t="shared" ref="CE84" si="895">BS84+CE73</f>
        <v>1507</v>
      </c>
      <c r="CF84" s="100">
        <f t="shared" ref="CF84" si="896">BT84+CF73</f>
        <v>1504</v>
      </c>
      <c r="CG84" s="100">
        <f t="shared" ref="CG84" si="897">BU84+CG73</f>
        <v>1513</v>
      </c>
      <c r="CH84" s="100">
        <f t="shared" ref="CH84" si="898">BV84+CH73</f>
        <v>1483</v>
      </c>
    </row>
    <row r="85" spans="1:86">
      <c r="A85" s="233">
        <v>73</v>
      </c>
      <c r="B85" s="26" t="s">
        <v>528</v>
      </c>
      <c r="C85" s="28">
        <f t="shared" ref="C85:N85" si="899">C84*C83</f>
        <v>24108.048003017098</v>
      </c>
      <c r="D85" s="28">
        <f t="shared" si="899"/>
        <v>24156.587696982904</v>
      </c>
      <c r="E85" s="28">
        <f t="shared" si="899"/>
        <v>24526.16899094871</v>
      </c>
      <c r="F85" s="28">
        <f t="shared" si="899"/>
        <v>35793.542574857529</v>
      </c>
      <c r="G85" s="28">
        <f t="shared" si="899"/>
        <v>82649.349378880317</v>
      </c>
      <c r="H85" s="28">
        <f t="shared" si="899"/>
        <v>130630.97656882333</v>
      </c>
      <c r="I85" s="28">
        <f t="shared" si="899"/>
        <v>155650.74895072074</v>
      </c>
      <c r="J85" s="28">
        <f t="shared" si="899"/>
        <v>166090.06407686893</v>
      </c>
      <c r="K85" s="28">
        <f t="shared" si="899"/>
        <v>119472.54576882333</v>
      </c>
      <c r="L85" s="28">
        <f t="shared" si="899"/>
        <v>80015.804974857529</v>
      </c>
      <c r="M85" s="28">
        <f t="shared" si="899"/>
        <v>46074.175556754948</v>
      </c>
      <c r="N85" s="28">
        <f t="shared" si="899"/>
        <v>26222.699617096881</v>
      </c>
      <c r="O85" s="81">
        <f>O84*O83</f>
        <v>24108.048003017098</v>
      </c>
      <c r="P85" s="81">
        <f t="shared" ref="P85:Z85" si="900">P84*P83</f>
        <v>24156.587696982904</v>
      </c>
      <c r="Q85" s="81">
        <f t="shared" si="900"/>
        <v>24526.16899094871</v>
      </c>
      <c r="R85" s="81">
        <f t="shared" si="900"/>
        <v>35793.542574857529</v>
      </c>
      <c r="S85" s="81">
        <f t="shared" si="900"/>
        <v>82649.349378880317</v>
      </c>
      <c r="T85" s="81">
        <f t="shared" si="900"/>
        <v>130630.97656882333</v>
      </c>
      <c r="U85" s="81">
        <f t="shared" si="900"/>
        <v>155650.74895072074</v>
      </c>
      <c r="V85" s="81">
        <f t="shared" si="900"/>
        <v>166090.06407686893</v>
      </c>
      <c r="W85" s="81">
        <f t="shared" si="900"/>
        <v>119472.54576882333</v>
      </c>
      <c r="X85" s="81">
        <f t="shared" si="900"/>
        <v>80015.804974857529</v>
      </c>
      <c r="Y85" s="81">
        <f t="shared" si="900"/>
        <v>46074.175556754948</v>
      </c>
      <c r="Z85" s="81">
        <f t="shared" si="900"/>
        <v>26222.699617096881</v>
      </c>
      <c r="AA85" s="81">
        <f>AA84*AA83</f>
        <v>24108.048003017098</v>
      </c>
      <c r="AB85" s="81">
        <f t="shared" ref="AB85:AL85" si="901">AB84*AB83</f>
        <v>24156.587696982904</v>
      </c>
      <c r="AC85" s="81">
        <f t="shared" si="901"/>
        <v>24526.16899094871</v>
      </c>
      <c r="AD85" s="81">
        <f t="shared" si="901"/>
        <v>35793.542574857529</v>
      </c>
      <c r="AE85" s="81">
        <f t="shared" si="901"/>
        <v>82649.349378880317</v>
      </c>
      <c r="AF85" s="81">
        <f t="shared" si="901"/>
        <v>130630.97656882333</v>
      </c>
      <c r="AG85" s="81">
        <f t="shared" si="901"/>
        <v>155650.74895072074</v>
      </c>
      <c r="AH85" s="81">
        <f t="shared" si="901"/>
        <v>166090.06407686893</v>
      </c>
      <c r="AI85" s="81">
        <f t="shared" si="901"/>
        <v>119472.54576882333</v>
      </c>
      <c r="AJ85" s="81">
        <f t="shared" si="901"/>
        <v>80015.804974857529</v>
      </c>
      <c r="AK85" s="81">
        <f t="shared" si="901"/>
        <v>46074.175556754948</v>
      </c>
      <c r="AL85" s="81">
        <f t="shared" si="901"/>
        <v>26222.699617096881</v>
      </c>
      <c r="AM85" s="81">
        <f>AM84*AM83</f>
        <v>24108.048003017098</v>
      </c>
      <c r="AN85" s="81">
        <f t="shared" ref="AN85:AX85" si="902">AN84*AN83</f>
        <v>24156.587696982904</v>
      </c>
      <c r="AO85" s="81">
        <f t="shared" si="902"/>
        <v>24526.16899094871</v>
      </c>
      <c r="AP85" s="81">
        <f t="shared" si="902"/>
        <v>35793.542574857529</v>
      </c>
      <c r="AQ85" s="81">
        <f t="shared" si="902"/>
        <v>82649.349378880317</v>
      </c>
      <c r="AR85" s="81">
        <f t="shared" si="902"/>
        <v>130630.97656882333</v>
      </c>
      <c r="AS85" s="81">
        <f t="shared" si="902"/>
        <v>155650.74895072074</v>
      </c>
      <c r="AT85" s="81">
        <f t="shared" si="902"/>
        <v>166090.06407686893</v>
      </c>
      <c r="AU85" s="81">
        <f t="shared" si="902"/>
        <v>119472.54576882333</v>
      </c>
      <c r="AV85" s="81">
        <f t="shared" si="902"/>
        <v>80015.804974857529</v>
      </c>
      <c r="AW85" s="81">
        <f t="shared" si="902"/>
        <v>46074.175556754948</v>
      </c>
      <c r="AX85" s="81">
        <f t="shared" si="902"/>
        <v>26222.699617096881</v>
      </c>
      <c r="AY85" s="81">
        <f>AY84*AY83</f>
        <v>24108.048003017098</v>
      </c>
      <c r="AZ85" s="81">
        <f t="shared" ref="AZ85:BJ85" si="903">AZ84*AZ83</f>
        <v>24156.587696982904</v>
      </c>
      <c r="BA85" s="81">
        <f t="shared" si="903"/>
        <v>24526.16899094871</v>
      </c>
      <c r="BB85" s="81">
        <f t="shared" si="903"/>
        <v>35793.542574857529</v>
      </c>
      <c r="BC85" s="81">
        <f t="shared" si="903"/>
        <v>82649.349378880317</v>
      </c>
      <c r="BD85" s="81">
        <f t="shared" si="903"/>
        <v>130630.97656882333</v>
      </c>
      <c r="BE85" s="81">
        <f t="shared" si="903"/>
        <v>155650.74895072074</v>
      </c>
      <c r="BF85" s="81">
        <f t="shared" si="903"/>
        <v>166090.06407686893</v>
      </c>
      <c r="BG85" s="81">
        <f t="shared" si="903"/>
        <v>119472.54576882333</v>
      </c>
      <c r="BH85" s="81">
        <f t="shared" si="903"/>
        <v>80015.804974857529</v>
      </c>
      <c r="BI85" s="81">
        <f t="shared" si="903"/>
        <v>46074.175556754948</v>
      </c>
      <c r="BJ85" s="81">
        <f t="shared" si="903"/>
        <v>26222.699617096881</v>
      </c>
      <c r="BK85" s="81">
        <f>BK84*BK83</f>
        <v>24108.048003017098</v>
      </c>
      <c r="BL85" s="81">
        <f t="shared" ref="BL85:BV85" si="904">BL84*BL83</f>
        <v>24156.587696982904</v>
      </c>
      <c r="BM85" s="81">
        <f t="shared" si="904"/>
        <v>24526.16899094871</v>
      </c>
      <c r="BN85" s="81">
        <f t="shared" si="904"/>
        <v>35793.542574857529</v>
      </c>
      <c r="BO85" s="81">
        <f t="shared" si="904"/>
        <v>82649.349378880317</v>
      </c>
      <c r="BP85" s="81">
        <f t="shared" si="904"/>
        <v>130630.97656882333</v>
      </c>
      <c r="BQ85" s="81">
        <f t="shared" si="904"/>
        <v>155650.74895072074</v>
      </c>
      <c r="BR85" s="81">
        <f t="shared" si="904"/>
        <v>166090.06407686893</v>
      </c>
      <c r="BS85" s="81">
        <f t="shared" si="904"/>
        <v>119472.54576882333</v>
      </c>
      <c r="BT85" s="81">
        <f t="shared" si="904"/>
        <v>80015.804974857529</v>
      </c>
      <c r="BU85" s="81">
        <f t="shared" si="904"/>
        <v>46074.175556754948</v>
      </c>
      <c r="BV85" s="81">
        <f t="shared" si="904"/>
        <v>26222.699617096881</v>
      </c>
      <c r="BW85" s="81">
        <f>BW84*BW83</f>
        <v>24108.048003017098</v>
      </c>
      <c r="BX85" s="81">
        <f t="shared" ref="BX85:CH85" si="905">BX84*BX83</f>
        <v>24156.587696982904</v>
      </c>
      <c r="BY85" s="81">
        <f t="shared" si="905"/>
        <v>24526.16899094871</v>
      </c>
      <c r="BZ85" s="81">
        <f t="shared" si="905"/>
        <v>35793.542574857529</v>
      </c>
      <c r="CA85" s="81">
        <f t="shared" si="905"/>
        <v>82649.349378880317</v>
      </c>
      <c r="CB85" s="81">
        <f t="shared" si="905"/>
        <v>130630.97656882333</v>
      </c>
      <c r="CC85" s="81">
        <f t="shared" si="905"/>
        <v>155650.74895072074</v>
      </c>
      <c r="CD85" s="81">
        <f t="shared" si="905"/>
        <v>166090.06407686893</v>
      </c>
      <c r="CE85" s="81">
        <f t="shared" si="905"/>
        <v>119472.54576882333</v>
      </c>
      <c r="CF85" s="81">
        <f t="shared" si="905"/>
        <v>80015.804974857529</v>
      </c>
      <c r="CG85" s="81">
        <f t="shared" si="905"/>
        <v>46074.175556754948</v>
      </c>
      <c r="CH85" s="81">
        <f t="shared" si="905"/>
        <v>26222.699617096881</v>
      </c>
    </row>
    <row r="86" spans="1:86">
      <c r="A86" s="233">
        <v>74</v>
      </c>
      <c r="B86" s="26" t="s">
        <v>529</v>
      </c>
      <c r="C86" s="486">
        <f>'Bill Frequency'!C$38+'Contract &amp; Vol Adj'!C38</f>
        <v>25208.536100000001</v>
      </c>
      <c r="D86" s="309">
        <f>'Bill Frequency'!D$38+'Contract &amp; Vol Adj'!D38</f>
        <v>23056.099600000001</v>
      </c>
      <c r="E86" s="309">
        <f>'Bill Frequency'!E$38+'Contract &amp; Vol Adj'!E38</f>
        <v>24993.189399999999</v>
      </c>
      <c r="F86" s="309">
        <f>'Bill Frequency'!F$38+'Contract &amp; Vol Adj'!F38</f>
        <v>35496.914499999999</v>
      </c>
      <c r="G86" s="309">
        <f>'Bill Frequency'!G$38+'Contract &amp; Vol Adj'!G38</f>
        <v>60531.873099999997</v>
      </c>
      <c r="H86" s="309">
        <f>'Bill Frequency'!H$38+'Contract &amp; Vol Adj'!H38</f>
        <v>100376.4814</v>
      </c>
      <c r="I86" s="309">
        <f>'Bill Frequency'!I$38+'Contract &amp; Vol Adj'!I38</f>
        <v>160820.06340000001</v>
      </c>
      <c r="J86" s="309">
        <f>'Bill Frequency'!J$38+'Contract &amp; Vol Adj'!J38</f>
        <v>149718.93960000001</v>
      </c>
      <c r="K86" s="309">
        <f>'Bill Frequency'!K$38+'Contract &amp; Vol Adj'!K38</f>
        <v>90896.729800000001</v>
      </c>
      <c r="L86" s="309">
        <f>'Bill Frequency'!L$38+'Contract &amp; Vol Adj'!L38</f>
        <v>68133.071899999995</v>
      </c>
      <c r="M86" s="309">
        <f>'Bill Frequency'!M$38+'Contract &amp; Vol Adj'!M38</f>
        <v>45246.2716</v>
      </c>
      <c r="N86" s="487">
        <f>'Bill Frequency'!N$38+'Contract &amp; Vol Adj'!N38</f>
        <v>28192.145799999998</v>
      </c>
      <c r="O86" s="228" t="s">
        <v>539</v>
      </c>
      <c r="P86" s="228" t="s">
        <v>539</v>
      </c>
      <c r="Q86" s="228" t="s">
        <v>539</v>
      </c>
      <c r="R86" s="228" t="s">
        <v>539</v>
      </c>
      <c r="S86" s="228" t="s">
        <v>539</v>
      </c>
      <c r="T86" s="228" t="s">
        <v>539</v>
      </c>
      <c r="U86" s="228" t="s">
        <v>539</v>
      </c>
      <c r="V86" s="228" t="s">
        <v>539</v>
      </c>
      <c r="W86" s="228" t="s">
        <v>539</v>
      </c>
      <c r="X86" s="228" t="s">
        <v>539</v>
      </c>
      <c r="Y86" s="228" t="s">
        <v>539</v>
      </c>
      <c r="Z86" s="228" t="s">
        <v>539</v>
      </c>
      <c r="AA86" s="228" t="s">
        <v>539</v>
      </c>
      <c r="AB86" s="228" t="s">
        <v>539</v>
      </c>
      <c r="AC86" s="228" t="s">
        <v>539</v>
      </c>
      <c r="AD86" s="228" t="s">
        <v>539</v>
      </c>
      <c r="AE86" s="228" t="s">
        <v>539</v>
      </c>
      <c r="AF86" s="228" t="s">
        <v>539</v>
      </c>
      <c r="AG86" s="228" t="s">
        <v>539</v>
      </c>
      <c r="AH86" s="228" t="s">
        <v>539</v>
      </c>
      <c r="AI86" s="228" t="s">
        <v>539</v>
      </c>
      <c r="AJ86" s="228" t="s">
        <v>539</v>
      </c>
      <c r="AK86" s="228" t="s">
        <v>539</v>
      </c>
      <c r="AL86" s="228" t="s">
        <v>539</v>
      </c>
      <c r="AM86" s="228" t="s">
        <v>539</v>
      </c>
      <c r="AN86" s="228" t="s">
        <v>539</v>
      </c>
      <c r="AO86" s="228" t="s">
        <v>539</v>
      </c>
      <c r="AP86" s="228" t="s">
        <v>539</v>
      </c>
      <c r="AQ86" s="228" t="s">
        <v>539</v>
      </c>
      <c r="AR86" s="228" t="s">
        <v>539</v>
      </c>
      <c r="AS86" s="228" t="s">
        <v>539</v>
      </c>
      <c r="AT86" s="228" t="s">
        <v>539</v>
      </c>
      <c r="AU86" s="228" t="s">
        <v>539</v>
      </c>
      <c r="AV86" s="228" t="s">
        <v>539</v>
      </c>
      <c r="AW86" s="228" t="s">
        <v>539</v>
      </c>
      <c r="AX86" s="228" t="s">
        <v>539</v>
      </c>
      <c r="AY86" s="228" t="s">
        <v>539</v>
      </c>
      <c r="AZ86" s="228" t="s">
        <v>539</v>
      </c>
      <c r="BA86" s="228" t="s">
        <v>539</v>
      </c>
      <c r="BB86" s="228" t="s">
        <v>539</v>
      </c>
      <c r="BC86" s="228" t="s">
        <v>539</v>
      </c>
      <c r="BD86" s="228" t="s">
        <v>539</v>
      </c>
      <c r="BE86" s="228" t="s">
        <v>539</v>
      </c>
      <c r="BF86" s="228" t="s">
        <v>539</v>
      </c>
      <c r="BG86" s="228" t="s">
        <v>539</v>
      </c>
      <c r="BH86" s="228" t="s">
        <v>539</v>
      </c>
      <c r="BI86" s="228" t="s">
        <v>539</v>
      </c>
      <c r="BJ86" s="228" t="s">
        <v>539</v>
      </c>
      <c r="BK86" s="228" t="s">
        <v>539</v>
      </c>
      <c r="BL86" s="228" t="s">
        <v>539</v>
      </c>
      <c r="BM86" s="228" t="s">
        <v>539</v>
      </c>
      <c r="BN86" s="228" t="s">
        <v>539</v>
      </c>
      <c r="BO86" s="228" t="s">
        <v>539</v>
      </c>
      <c r="BP86" s="228" t="s">
        <v>539</v>
      </c>
      <c r="BQ86" s="228" t="s">
        <v>539</v>
      </c>
      <c r="BR86" s="228" t="s">
        <v>539</v>
      </c>
      <c r="BS86" s="228" t="s">
        <v>539</v>
      </c>
      <c r="BT86" s="228" t="s">
        <v>539</v>
      </c>
      <c r="BU86" s="228" t="s">
        <v>539</v>
      </c>
      <c r="BV86" s="228" t="s">
        <v>539</v>
      </c>
      <c r="BW86" s="228" t="s">
        <v>539</v>
      </c>
      <c r="BX86" s="228" t="s">
        <v>539</v>
      </c>
      <c r="BY86" s="228" t="s">
        <v>539</v>
      </c>
      <c r="BZ86" s="228" t="s">
        <v>539</v>
      </c>
      <c r="CA86" s="228" t="s">
        <v>539</v>
      </c>
      <c r="CB86" s="228" t="s">
        <v>539</v>
      </c>
      <c r="CC86" s="228" t="s">
        <v>539</v>
      </c>
      <c r="CD86" s="228" t="s">
        <v>539</v>
      </c>
      <c r="CE86" s="228" t="s">
        <v>539</v>
      </c>
      <c r="CF86" s="228" t="s">
        <v>539</v>
      </c>
      <c r="CG86" s="228" t="s">
        <v>539</v>
      </c>
      <c r="CH86" s="228" t="s">
        <v>539</v>
      </c>
    </row>
    <row r="87" spans="1:86">
      <c r="A87" s="233">
        <v>75</v>
      </c>
      <c r="B87" s="26" t="s">
        <v>544</v>
      </c>
      <c r="C87" s="29">
        <f>C84*(C80*C$15+C82)</f>
        <v>24108.048003017098</v>
      </c>
      <c r="D87" s="29">
        <f t="shared" ref="D87:BO87" si="906">D84*(D80*D$15+D82)</f>
        <v>24156.587696982904</v>
      </c>
      <c r="E87" s="29">
        <f t="shared" si="906"/>
        <v>26773.707388333114</v>
      </c>
      <c r="F87" s="29">
        <f t="shared" si="906"/>
        <v>57420.486728331816</v>
      </c>
      <c r="G87" s="29">
        <f t="shared" si="906"/>
        <v>106665.24390924777</v>
      </c>
      <c r="H87" s="29">
        <f t="shared" si="906"/>
        <v>153433.0036925585</v>
      </c>
      <c r="I87" s="29">
        <f t="shared" si="906"/>
        <v>160856.62380146986</v>
      </c>
      <c r="J87" s="29">
        <f t="shared" si="906"/>
        <v>141735.62998644699</v>
      </c>
      <c r="K87" s="29">
        <f t="shared" si="906"/>
        <v>102330.53804606688</v>
      </c>
      <c r="L87" s="29">
        <f t="shared" si="906"/>
        <v>59841.407715171394</v>
      </c>
      <c r="M87" s="29">
        <f t="shared" si="906"/>
        <v>34059.45665552307</v>
      </c>
      <c r="N87" s="29">
        <f t="shared" si="906"/>
        <v>23994.788717096882</v>
      </c>
      <c r="O87" s="29">
        <f t="shared" si="906"/>
        <v>24108.048003017098</v>
      </c>
      <c r="P87" s="29">
        <f t="shared" si="906"/>
        <v>24156.587696982904</v>
      </c>
      <c r="Q87" s="29">
        <f t="shared" si="906"/>
        <v>26773.707189684606</v>
      </c>
      <c r="R87" s="29">
        <f t="shared" si="906"/>
        <v>57420.484169537194</v>
      </c>
      <c r="S87" s="29">
        <f t="shared" si="906"/>
        <v>106665.23753946584</v>
      </c>
      <c r="T87" s="29">
        <f t="shared" si="906"/>
        <v>153432.9937121142</v>
      </c>
      <c r="U87" s="29">
        <f t="shared" si="906"/>
        <v>160856.61325816042</v>
      </c>
      <c r="V87" s="29">
        <f t="shared" si="906"/>
        <v>141735.62090564737</v>
      </c>
      <c r="W87" s="29">
        <f t="shared" si="906"/>
        <v>102330.53201777847</v>
      </c>
      <c r="X87" s="29">
        <f t="shared" si="906"/>
        <v>59841.404969147887</v>
      </c>
      <c r="Y87" s="29">
        <f t="shared" si="906"/>
        <v>34059.45591468265</v>
      </c>
      <c r="Z87" s="29">
        <f t="shared" si="906"/>
        <v>23994.788717096882</v>
      </c>
      <c r="AA87" s="29">
        <f t="shared" si="906"/>
        <v>24108.048003017098</v>
      </c>
      <c r="AB87" s="29">
        <f t="shared" si="906"/>
        <v>24156.587696982904</v>
      </c>
      <c r="AC87" s="29">
        <f t="shared" si="906"/>
        <v>26773.707189684606</v>
      </c>
      <c r="AD87" s="29">
        <f t="shared" si="906"/>
        <v>57420.484169537194</v>
      </c>
      <c r="AE87" s="29">
        <f t="shared" si="906"/>
        <v>106665.23753946584</v>
      </c>
      <c r="AF87" s="29">
        <f t="shared" si="906"/>
        <v>153432.9937121142</v>
      </c>
      <c r="AG87" s="29">
        <f t="shared" si="906"/>
        <v>160856.61325816042</v>
      </c>
      <c r="AH87" s="29">
        <f t="shared" si="906"/>
        <v>141735.62090564737</v>
      </c>
      <c r="AI87" s="29">
        <f t="shared" si="906"/>
        <v>102330.53201777847</v>
      </c>
      <c r="AJ87" s="29">
        <f t="shared" si="906"/>
        <v>59841.404969147887</v>
      </c>
      <c r="AK87" s="29">
        <f t="shared" si="906"/>
        <v>34059.45591468265</v>
      </c>
      <c r="AL87" s="29">
        <f t="shared" si="906"/>
        <v>23994.788717096882</v>
      </c>
      <c r="AM87" s="29">
        <f t="shared" si="906"/>
        <v>24108.048003017098</v>
      </c>
      <c r="AN87" s="29">
        <f t="shared" si="906"/>
        <v>24156.587696982904</v>
      </c>
      <c r="AO87" s="29">
        <f t="shared" si="906"/>
        <v>26773.707189684606</v>
      </c>
      <c r="AP87" s="29">
        <f t="shared" si="906"/>
        <v>57420.484169537194</v>
      </c>
      <c r="AQ87" s="29">
        <f t="shared" si="906"/>
        <v>106665.23753946584</v>
      </c>
      <c r="AR87" s="29">
        <f t="shared" si="906"/>
        <v>153432.9937121142</v>
      </c>
      <c r="AS87" s="29">
        <f t="shared" si="906"/>
        <v>160856.61325816042</v>
      </c>
      <c r="AT87" s="29">
        <f t="shared" si="906"/>
        <v>141735.62090564737</v>
      </c>
      <c r="AU87" s="29">
        <f t="shared" si="906"/>
        <v>102330.53201777847</v>
      </c>
      <c r="AV87" s="29">
        <f t="shared" si="906"/>
        <v>59841.404969147887</v>
      </c>
      <c r="AW87" s="29">
        <f t="shared" si="906"/>
        <v>34059.45591468265</v>
      </c>
      <c r="AX87" s="29">
        <f t="shared" si="906"/>
        <v>23994.788717096882</v>
      </c>
      <c r="AY87" s="29">
        <f t="shared" si="906"/>
        <v>24108.048003017098</v>
      </c>
      <c r="AZ87" s="29">
        <f t="shared" si="906"/>
        <v>24156.587696982904</v>
      </c>
      <c r="BA87" s="29">
        <f t="shared" si="906"/>
        <v>26773.707189684606</v>
      </c>
      <c r="BB87" s="29">
        <f t="shared" si="906"/>
        <v>57420.484169537194</v>
      </c>
      <c r="BC87" s="29">
        <f t="shared" si="906"/>
        <v>106665.23753946584</v>
      </c>
      <c r="BD87" s="29">
        <f t="shared" si="906"/>
        <v>153432.9937121142</v>
      </c>
      <c r="BE87" s="29">
        <f t="shared" si="906"/>
        <v>160856.61325816042</v>
      </c>
      <c r="BF87" s="29">
        <f t="shared" si="906"/>
        <v>141735.62090564737</v>
      </c>
      <c r="BG87" s="29">
        <f t="shared" si="906"/>
        <v>102330.53201777847</v>
      </c>
      <c r="BH87" s="29">
        <f t="shared" si="906"/>
        <v>59841.404969147887</v>
      </c>
      <c r="BI87" s="29">
        <f t="shared" si="906"/>
        <v>34059.45591468265</v>
      </c>
      <c r="BJ87" s="29">
        <f t="shared" si="906"/>
        <v>23994.788717096882</v>
      </c>
      <c r="BK87" s="29">
        <f t="shared" si="906"/>
        <v>24108.048003017098</v>
      </c>
      <c r="BL87" s="29">
        <f t="shared" si="906"/>
        <v>24156.587696982904</v>
      </c>
      <c r="BM87" s="29">
        <f t="shared" si="906"/>
        <v>26773.707189684606</v>
      </c>
      <c r="BN87" s="29">
        <f t="shared" si="906"/>
        <v>57420.484169537194</v>
      </c>
      <c r="BO87" s="29">
        <f t="shared" si="906"/>
        <v>106665.23753946584</v>
      </c>
      <c r="BP87" s="29">
        <f t="shared" ref="BP87:CH87" si="907">BP84*(BP80*BP$15+BP82)</f>
        <v>153432.9937121142</v>
      </c>
      <c r="BQ87" s="29">
        <f t="shared" si="907"/>
        <v>160856.61325816042</v>
      </c>
      <c r="BR87" s="29">
        <f t="shared" si="907"/>
        <v>141735.62090564737</v>
      </c>
      <c r="BS87" s="29">
        <f t="shared" si="907"/>
        <v>102330.53201777847</v>
      </c>
      <c r="BT87" s="29">
        <f t="shared" si="907"/>
        <v>59841.404969147887</v>
      </c>
      <c r="BU87" s="29">
        <f t="shared" si="907"/>
        <v>34059.45591468265</v>
      </c>
      <c r="BV87" s="29">
        <f t="shared" si="907"/>
        <v>23994.788717096882</v>
      </c>
      <c r="BW87" s="29">
        <f t="shared" si="907"/>
        <v>24108.048003017098</v>
      </c>
      <c r="BX87" s="29">
        <f t="shared" si="907"/>
        <v>24156.587696982904</v>
      </c>
      <c r="BY87" s="29">
        <f t="shared" si="907"/>
        <v>26773.707189684606</v>
      </c>
      <c r="BZ87" s="29">
        <f t="shared" si="907"/>
        <v>57420.484169537194</v>
      </c>
      <c r="CA87" s="29">
        <f t="shared" si="907"/>
        <v>106665.23753946584</v>
      </c>
      <c r="CB87" s="29">
        <f t="shared" si="907"/>
        <v>153432.9937121142</v>
      </c>
      <c r="CC87" s="29">
        <f t="shared" si="907"/>
        <v>160856.61325816042</v>
      </c>
      <c r="CD87" s="29">
        <f t="shared" si="907"/>
        <v>141735.62090564737</v>
      </c>
      <c r="CE87" s="29">
        <f t="shared" si="907"/>
        <v>102330.53201777847</v>
      </c>
      <c r="CF87" s="29">
        <f t="shared" si="907"/>
        <v>59841.404969147887</v>
      </c>
      <c r="CG87" s="29">
        <f t="shared" si="907"/>
        <v>34059.45591468265</v>
      </c>
      <c r="CH87" s="29">
        <f t="shared" si="907"/>
        <v>23994.788717096882</v>
      </c>
    </row>
    <row r="88" spans="1:86">
      <c r="A88" s="233">
        <v>76</v>
      </c>
      <c r="B88" s="26" t="s">
        <v>546</v>
      </c>
      <c r="C88" s="29">
        <f>C87/SUM(C87:N87)*SUM(C85:N85)</f>
        <v>24108.448053992757</v>
      </c>
      <c r="D88" s="29">
        <f>D87/SUM(C87:N87)*SUM(C85:N85)</f>
        <v>24156.988553430325</v>
      </c>
      <c r="E88" s="29">
        <f>E87/SUM(C87:N87)*SUM(C85:N85)</f>
        <v>26774.151673484754</v>
      </c>
      <c r="F88" s="29">
        <f>F87/SUM(C87:N87)*SUM(C85:N85)</f>
        <v>57421.43956871672</v>
      </c>
      <c r="G88" s="29">
        <f>G87/SUM(C87:N87)*SUM(C85:N85)</f>
        <v>106667.01392127403</v>
      </c>
      <c r="H88" s="29">
        <f>H87/SUM(C87:N87)*SUM(C85:N85)</f>
        <v>153435.54977272302</v>
      </c>
      <c r="I88" s="29">
        <f>I87/SUM(C87:N87)*SUM(C85:N85)</f>
        <v>160859.29306981066</v>
      </c>
      <c r="J88" s="29">
        <f>J87/SUM(C87:N87)*SUM(C85:N85)</f>
        <v>141737.98195940867</v>
      </c>
      <c r="K88" s="29">
        <f>K87/SUM(C87:N87)*SUM(C85:N85)</f>
        <v>102332.23612761956</v>
      </c>
      <c r="L88" s="29">
        <f>L87/SUM(C87:N87)*SUM(C85:N85)</f>
        <v>59842.400728522713</v>
      </c>
      <c r="M88" s="29">
        <f>M87/SUM(C87:N87)*SUM(C85:N85)</f>
        <v>34060.021841010661</v>
      </c>
      <c r="N88" s="29">
        <f>N87/SUM(C87:N87)*SUM(C85:N85)</f>
        <v>23995.186888638425</v>
      </c>
      <c r="O88" s="29">
        <f>O87/SUM(O87:Z87)*SUM(O85:Z85)</f>
        <v>24108.44932468293</v>
      </c>
      <c r="P88" s="29">
        <f>P87/SUM(O87:Z87)*SUM(O85:Z85)</f>
        <v>24156.989826678935</v>
      </c>
      <c r="Q88" s="29">
        <f>Q87/SUM(O87:Z87)*SUM(O85:Z85)</f>
        <v>26774.152886025036</v>
      </c>
      <c r="R88" s="29">
        <f>R87/SUM(O87:Z87)*SUM(O85:Z85)</f>
        <v>57421.440036406086</v>
      </c>
      <c r="S88" s="29">
        <f>S87/SUM(O87:Z87)*SUM(O85:Z85)</f>
        <v>106667.0131735118</v>
      </c>
      <c r="T88" s="29">
        <f>T87/SUM(O87:Z87)*SUM(O85:Z85)</f>
        <v>153435.54787927956</v>
      </c>
      <c r="U88" s="29">
        <f>U87/SUM(O87:Z87)*SUM(O85:Z85)</f>
        <v>160859.29100477786</v>
      </c>
      <c r="V88" s="29">
        <f>V87/SUM(O87:Z87)*SUM(O85:Z85)</f>
        <v>141737.98034907813</v>
      </c>
      <c r="W88" s="29">
        <f>W87/SUM(O87:Z87)*SUM(O85:Z85)</f>
        <v>102332.2354928823</v>
      </c>
      <c r="X88" s="29">
        <f>X87/SUM(O87:Z87)*SUM(O85:Z85)</f>
        <v>59842.40113658231</v>
      </c>
      <c r="Y88" s="29">
        <f>Y87/SUM(O87:Z87)*SUM(O85:Z85)</f>
        <v>34060.022895368238</v>
      </c>
      <c r="Z88" s="29">
        <f>Z87/SUM(O87:Z87)*SUM(O85:Z85)</f>
        <v>23995.188153358915</v>
      </c>
      <c r="AA88" s="29">
        <f>AA87/SUM(AA87:AL87)*SUM(AA85:AL85)</f>
        <v>24108.44932468293</v>
      </c>
      <c r="AB88" s="29">
        <f>AB87/SUM(AA87:AL87)*SUM(AA85:AL85)</f>
        <v>24156.989826678935</v>
      </c>
      <c r="AC88" s="29">
        <f>AC87/SUM(AA87:AL87)*SUM(AA85:AL85)</f>
        <v>26774.152886025036</v>
      </c>
      <c r="AD88" s="29">
        <f>AD87/SUM(AA87:AL87)*SUM(AA85:AL85)</f>
        <v>57421.440036406086</v>
      </c>
      <c r="AE88" s="29">
        <f>AE87/SUM(AA87:AL87)*SUM(AA85:AL85)</f>
        <v>106667.0131735118</v>
      </c>
      <c r="AF88" s="29">
        <f>AF87/SUM(AA87:AL87)*SUM(AA85:AL85)</f>
        <v>153435.54787927956</v>
      </c>
      <c r="AG88" s="29">
        <f>AG87/SUM(AA87:AL87)*SUM(AA85:AL85)</f>
        <v>160859.29100477786</v>
      </c>
      <c r="AH88" s="29">
        <f>AH87/SUM(AA87:AL87)*SUM(AA85:AL85)</f>
        <v>141737.98034907813</v>
      </c>
      <c r="AI88" s="29">
        <f>AI87/SUM(AA87:AL87)*SUM(AA85:AL85)</f>
        <v>102332.2354928823</v>
      </c>
      <c r="AJ88" s="29">
        <f>AJ87/SUM(AA87:AL87)*SUM(AA85:AL85)</f>
        <v>59842.40113658231</v>
      </c>
      <c r="AK88" s="29">
        <f>AK87/SUM(AA87:AL87)*SUM(AA85:AL85)</f>
        <v>34060.022895368238</v>
      </c>
      <c r="AL88" s="29">
        <f>AL87/SUM(AA87:AL87)*SUM(AA85:AL85)</f>
        <v>23995.188153358915</v>
      </c>
      <c r="AM88" s="29">
        <f>AM87/SUM(AM87:AX87)*SUM(AM85:AX85)</f>
        <v>24108.44932468293</v>
      </c>
      <c r="AN88" s="29">
        <f>AN87/SUM(AM87:AX87)*SUM(AM85:AX85)</f>
        <v>24156.989826678935</v>
      </c>
      <c r="AO88" s="29">
        <f>AO87/SUM(AM87:AX87)*SUM(AM85:AX85)</f>
        <v>26774.152886025036</v>
      </c>
      <c r="AP88" s="29">
        <f>AP87/SUM(AM87:AX87)*SUM(AM85:AX85)</f>
        <v>57421.440036406086</v>
      </c>
      <c r="AQ88" s="29">
        <f>AQ87/SUM(AM87:AX87)*SUM(AM85:AX85)</f>
        <v>106667.0131735118</v>
      </c>
      <c r="AR88" s="29">
        <f>AR87/SUM(AM87:AX87)*SUM(AM85:AX85)</f>
        <v>153435.54787927956</v>
      </c>
      <c r="AS88" s="29">
        <f>AS87/SUM(AM87:AX87)*SUM(AM85:AX85)</f>
        <v>160859.29100477786</v>
      </c>
      <c r="AT88" s="29">
        <f>AT87/SUM(AM87:AX87)*SUM(AM85:AX85)</f>
        <v>141737.98034907813</v>
      </c>
      <c r="AU88" s="29">
        <f>AU87/SUM(AM87:AX87)*SUM(AM85:AX85)</f>
        <v>102332.2354928823</v>
      </c>
      <c r="AV88" s="29">
        <f>AV87/SUM(AM87:AX87)*SUM(AM85:AX85)</f>
        <v>59842.40113658231</v>
      </c>
      <c r="AW88" s="29">
        <f>AW87/SUM(AM87:AX87)*SUM(AM85:AX85)</f>
        <v>34060.022895368238</v>
      </c>
      <c r="AX88" s="29">
        <f>AX87/SUM(AM87:AX87)*SUM(AM85:AX85)</f>
        <v>23995.188153358915</v>
      </c>
      <c r="AY88" s="29">
        <f>AY87/SUM(AY87:BJ87)*SUM(AY85:BJ85)</f>
        <v>24108.44932468293</v>
      </c>
      <c r="AZ88" s="29">
        <f>AZ87/SUM(AY87:BJ87)*SUM(AY85:BJ85)</f>
        <v>24156.989826678935</v>
      </c>
      <c r="BA88" s="29">
        <f>BA87/SUM(AY87:BJ87)*SUM(AY85:BJ85)</f>
        <v>26774.152886025036</v>
      </c>
      <c r="BB88" s="29">
        <f>BB87/SUM(AY87:BJ87)*SUM(AY85:BJ85)</f>
        <v>57421.440036406086</v>
      </c>
      <c r="BC88" s="29">
        <f>BC87/SUM(AY87:BJ87)*SUM(AY85:BJ85)</f>
        <v>106667.0131735118</v>
      </c>
      <c r="BD88" s="29">
        <f>BD87/SUM(AY87:BJ87)*SUM(AY85:BJ85)</f>
        <v>153435.54787927956</v>
      </c>
      <c r="BE88" s="29">
        <f>BE87/SUM(AY87:BJ87)*SUM(AY85:BJ85)</f>
        <v>160859.29100477786</v>
      </c>
      <c r="BF88" s="29">
        <f>BF87/SUM(AY87:BJ87)*SUM(AY85:BJ85)</f>
        <v>141737.98034907813</v>
      </c>
      <c r="BG88" s="29">
        <f>BG87/SUM(AY87:BJ87)*SUM(AY85:BJ85)</f>
        <v>102332.2354928823</v>
      </c>
      <c r="BH88" s="29">
        <f>BH87/SUM(AY87:BJ87)*SUM(AY85:BJ85)</f>
        <v>59842.40113658231</v>
      </c>
      <c r="BI88" s="29">
        <f>BI87/SUM(AY87:BJ87)*SUM(AY85:BJ85)</f>
        <v>34060.022895368238</v>
      </c>
      <c r="BJ88" s="29">
        <f>BJ87/SUM(AY87:BJ87)*SUM(AY85:BJ85)</f>
        <v>23995.188153358915</v>
      </c>
      <c r="BK88" s="29">
        <f>BK87/SUM(BK87:BV87)*SUM(BK85:BV85)</f>
        <v>24108.44932468293</v>
      </c>
      <c r="BL88" s="29">
        <f>BL87/SUM(BK87:BV87)*SUM(BK85:BV85)</f>
        <v>24156.989826678935</v>
      </c>
      <c r="BM88" s="29">
        <f>BM87/SUM(BK87:BV87)*SUM(BK85:BV85)</f>
        <v>26774.152886025036</v>
      </c>
      <c r="BN88" s="29">
        <f>BN87/SUM(BK87:BV87)*SUM(BK85:BV85)</f>
        <v>57421.440036406086</v>
      </c>
      <c r="BO88" s="29">
        <f>BO87/SUM(BK87:BV87)*SUM(BK85:BV85)</f>
        <v>106667.0131735118</v>
      </c>
      <c r="BP88" s="29">
        <f>BP87/SUM(BK87:BV87)*SUM(BK85:BV85)</f>
        <v>153435.54787927956</v>
      </c>
      <c r="BQ88" s="29">
        <f>BQ87/SUM(BK87:BV87)*SUM(BK85:BV85)</f>
        <v>160859.29100477786</v>
      </c>
      <c r="BR88" s="29">
        <f>BR87/SUM(BK87:BV87)*SUM(BK85:BV85)</f>
        <v>141737.98034907813</v>
      </c>
      <c r="BS88" s="29">
        <f>BS87/SUM(BK87:BV87)*SUM(BK85:BV85)</f>
        <v>102332.2354928823</v>
      </c>
      <c r="BT88" s="29">
        <f>BT87/SUM(BK87:BV87)*SUM(BK85:BV85)</f>
        <v>59842.40113658231</v>
      </c>
      <c r="BU88" s="29">
        <f>BU87/SUM(BK87:BV87)*SUM(BK85:BV85)</f>
        <v>34060.022895368238</v>
      </c>
      <c r="BV88" s="29">
        <f>BV87/SUM(BK87:BV87)*SUM(BK85:BV85)</f>
        <v>23995.188153358915</v>
      </c>
      <c r="BW88" s="29">
        <f>BW87/SUM(BW87:CH87)*SUM(BW85:CH85)</f>
        <v>24108.44932468293</v>
      </c>
      <c r="BX88" s="29">
        <f>BX87/SUM(BW87:CH87)*SUM(BW85:CH85)</f>
        <v>24156.989826678935</v>
      </c>
      <c r="BY88" s="29">
        <f>BY87/SUM(BW87:CH87)*SUM(BW85:CH85)</f>
        <v>26774.152886025036</v>
      </c>
      <c r="BZ88" s="29">
        <f>BZ87/SUM(BW87:CH87)*SUM(BW85:CH85)</f>
        <v>57421.440036406086</v>
      </c>
      <c r="CA88" s="29">
        <f>CA87/SUM(BW87:CH87)*SUM(BW85:CH85)</f>
        <v>106667.0131735118</v>
      </c>
      <c r="CB88" s="29">
        <f>CB87/SUM(BW87:CH87)*SUM(BW85:CH85)</f>
        <v>153435.54787927956</v>
      </c>
      <c r="CC88" s="29">
        <f>CC87/SUM(BW87:CH87)*SUM(BW85:CH85)</f>
        <v>160859.29100477786</v>
      </c>
      <c r="CD88" s="29">
        <f>CD87/SUM(BW87:CH87)*SUM(BW85:CH85)</f>
        <v>141737.98034907813</v>
      </c>
      <c r="CE88" s="29">
        <f>CE87/SUM(BW87:CH87)*SUM(BW85:CH85)</f>
        <v>102332.2354928823</v>
      </c>
      <c r="CF88" s="29">
        <f>CF87/SUM(BW87:CH87)*SUM(BW85:CH85)</f>
        <v>59842.40113658231</v>
      </c>
      <c r="CG88" s="29">
        <f>CG87/SUM(BW87:CH87)*SUM(BW85:CH85)</f>
        <v>34060.022895368238</v>
      </c>
      <c r="CH88" s="29">
        <f>CH87/SUM(BW87:CH87)*SUM(BW85:CH85)</f>
        <v>23995.188153358915</v>
      </c>
    </row>
    <row r="89" spans="1:86">
      <c r="A89" s="233">
        <v>77</v>
      </c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</row>
    <row r="90" spans="1:86">
      <c r="A90" s="233">
        <v>78</v>
      </c>
      <c r="B90" s="26" t="s">
        <v>530</v>
      </c>
      <c r="C90" s="235">
        <f t="shared" ref="C90:N90" si="908">ROUND(C85-C86,0)</f>
        <v>-1100</v>
      </c>
      <c r="D90" s="235">
        <f t="shared" si="908"/>
        <v>1100</v>
      </c>
      <c r="E90" s="235">
        <f t="shared" si="908"/>
        <v>-467</v>
      </c>
      <c r="F90" s="235">
        <f t="shared" si="908"/>
        <v>297</v>
      </c>
      <c r="G90" s="235">
        <f t="shared" si="908"/>
        <v>22117</v>
      </c>
      <c r="H90" s="235">
        <f t="shared" si="908"/>
        <v>30254</v>
      </c>
      <c r="I90" s="235">
        <f t="shared" si="908"/>
        <v>-5169</v>
      </c>
      <c r="J90" s="235">
        <f t="shared" si="908"/>
        <v>16371</v>
      </c>
      <c r="K90" s="235">
        <f t="shared" si="908"/>
        <v>28576</v>
      </c>
      <c r="L90" s="235">
        <f t="shared" si="908"/>
        <v>11883</v>
      </c>
      <c r="M90" s="235">
        <f t="shared" si="908"/>
        <v>828</v>
      </c>
      <c r="N90" s="235">
        <f t="shared" si="908"/>
        <v>-1969</v>
      </c>
      <c r="O90" s="235">
        <f>O85-C85</f>
        <v>0</v>
      </c>
      <c r="P90" s="235">
        <f t="shared" ref="P90" si="909">P85-D85</f>
        <v>0</v>
      </c>
      <c r="Q90" s="235">
        <f t="shared" ref="Q90" si="910">Q85-E85</f>
        <v>0</v>
      </c>
      <c r="R90" s="235">
        <f t="shared" ref="R90" si="911">R85-F85</f>
        <v>0</v>
      </c>
      <c r="S90" s="235">
        <f t="shared" ref="S90" si="912">S85-G85</f>
        <v>0</v>
      </c>
      <c r="T90" s="235">
        <f t="shared" ref="T90" si="913">T85-H85</f>
        <v>0</v>
      </c>
      <c r="U90" s="235">
        <f t="shared" ref="U90" si="914">U85-I85</f>
        <v>0</v>
      </c>
      <c r="V90" s="235">
        <f t="shared" ref="V90" si="915">V85-J85</f>
        <v>0</v>
      </c>
      <c r="W90" s="235">
        <f t="shared" ref="W90" si="916">W85-K85</f>
        <v>0</v>
      </c>
      <c r="X90" s="235">
        <f t="shared" ref="X90" si="917">X85-L85</f>
        <v>0</v>
      </c>
      <c r="Y90" s="235">
        <f t="shared" ref="Y90" si="918">Y85-M85</f>
        <v>0</v>
      </c>
      <c r="Z90" s="235">
        <f t="shared" ref="Z90" si="919">Z85-N85</f>
        <v>0</v>
      </c>
      <c r="AA90" s="235">
        <f t="shared" ref="AA90" si="920">AA85-O85</f>
        <v>0</v>
      </c>
      <c r="AB90" s="235">
        <f t="shared" ref="AB90" si="921">AB85-P85</f>
        <v>0</v>
      </c>
      <c r="AC90" s="235">
        <f t="shared" ref="AC90" si="922">AC85-Q85</f>
        <v>0</v>
      </c>
      <c r="AD90" s="235">
        <f t="shared" ref="AD90" si="923">AD85-R85</f>
        <v>0</v>
      </c>
      <c r="AE90" s="235">
        <f t="shared" ref="AE90" si="924">AE85-S85</f>
        <v>0</v>
      </c>
      <c r="AF90" s="235">
        <f t="shared" ref="AF90" si="925">AF85-T85</f>
        <v>0</v>
      </c>
      <c r="AG90" s="235">
        <f t="shared" ref="AG90" si="926">AG85-U85</f>
        <v>0</v>
      </c>
      <c r="AH90" s="235">
        <f t="shared" ref="AH90" si="927">AH85-V85</f>
        <v>0</v>
      </c>
      <c r="AI90" s="235">
        <f t="shared" ref="AI90" si="928">AI85-W85</f>
        <v>0</v>
      </c>
      <c r="AJ90" s="235">
        <f t="shared" ref="AJ90" si="929">AJ85-X85</f>
        <v>0</v>
      </c>
      <c r="AK90" s="235">
        <f t="shared" ref="AK90" si="930">AK85-Y85</f>
        <v>0</v>
      </c>
      <c r="AL90" s="235">
        <f t="shared" ref="AL90" si="931">AL85-Z85</f>
        <v>0</v>
      </c>
      <c r="AM90" s="235">
        <f t="shared" ref="AM90" si="932">AM85-AA85</f>
        <v>0</v>
      </c>
      <c r="AN90" s="235">
        <f t="shared" ref="AN90" si="933">AN85-AB85</f>
        <v>0</v>
      </c>
      <c r="AO90" s="235">
        <f t="shared" ref="AO90" si="934">AO85-AC85</f>
        <v>0</v>
      </c>
      <c r="AP90" s="235">
        <f t="shared" ref="AP90" si="935">AP85-AD85</f>
        <v>0</v>
      </c>
      <c r="AQ90" s="235">
        <f t="shared" ref="AQ90" si="936">AQ85-AE85</f>
        <v>0</v>
      </c>
      <c r="AR90" s="235">
        <f t="shared" ref="AR90" si="937">AR85-AF85</f>
        <v>0</v>
      </c>
      <c r="AS90" s="235">
        <f t="shared" ref="AS90" si="938">AS85-AG85</f>
        <v>0</v>
      </c>
      <c r="AT90" s="235">
        <f t="shared" ref="AT90" si="939">AT85-AH85</f>
        <v>0</v>
      </c>
      <c r="AU90" s="235">
        <f t="shared" ref="AU90" si="940">AU85-AI85</f>
        <v>0</v>
      </c>
      <c r="AV90" s="235">
        <f t="shared" ref="AV90" si="941">AV85-AJ85</f>
        <v>0</v>
      </c>
      <c r="AW90" s="235">
        <f t="shared" ref="AW90" si="942">AW85-AK85</f>
        <v>0</v>
      </c>
      <c r="AX90" s="235">
        <f t="shared" ref="AX90" si="943">AX85-AL85</f>
        <v>0</v>
      </c>
      <c r="AY90" s="235">
        <f t="shared" ref="AY90" si="944">AY85-AM85</f>
        <v>0</v>
      </c>
      <c r="AZ90" s="235">
        <f t="shared" ref="AZ90" si="945">AZ85-AN85</f>
        <v>0</v>
      </c>
      <c r="BA90" s="235">
        <f t="shared" ref="BA90" si="946">BA85-AO85</f>
        <v>0</v>
      </c>
      <c r="BB90" s="235">
        <f t="shared" ref="BB90" si="947">BB85-AP85</f>
        <v>0</v>
      </c>
      <c r="BC90" s="235">
        <f t="shared" ref="BC90" si="948">BC85-AQ85</f>
        <v>0</v>
      </c>
      <c r="BD90" s="235">
        <f t="shared" ref="BD90" si="949">BD85-AR85</f>
        <v>0</v>
      </c>
      <c r="BE90" s="235">
        <f t="shared" ref="BE90" si="950">BE85-AS85</f>
        <v>0</v>
      </c>
      <c r="BF90" s="235">
        <f t="shared" ref="BF90" si="951">BF85-AT85</f>
        <v>0</v>
      </c>
      <c r="BG90" s="235">
        <f t="shared" ref="BG90" si="952">BG85-AU85</f>
        <v>0</v>
      </c>
      <c r="BH90" s="235">
        <f t="shared" ref="BH90" si="953">BH85-AV85</f>
        <v>0</v>
      </c>
      <c r="BI90" s="235">
        <f t="shared" ref="BI90" si="954">BI85-AW85</f>
        <v>0</v>
      </c>
      <c r="BJ90" s="235">
        <f t="shared" ref="BJ90" si="955">BJ85-AX85</f>
        <v>0</v>
      </c>
      <c r="BK90" s="235">
        <f t="shared" ref="BK90" si="956">BK85-AY85</f>
        <v>0</v>
      </c>
      <c r="BL90" s="235">
        <f t="shared" ref="BL90" si="957">BL85-AZ85</f>
        <v>0</v>
      </c>
      <c r="BM90" s="235">
        <f t="shared" ref="BM90" si="958">BM85-BA85</f>
        <v>0</v>
      </c>
      <c r="BN90" s="235">
        <f t="shared" ref="BN90" si="959">BN85-BB85</f>
        <v>0</v>
      </c>
      <c r="BO90" s="235">
        <f t="shared" ref="BO90" si="960">BO85-BC85</f>
        <v>0</v>
      </c>
      <c r="BP90" s="235">
        <f t="shared" ref="BP90" si="961">BP85-BD85</f>
        <v>0</v>
      </c>
      <c r="BQ90" s="235">
        <f t="shared" ref="BQ90" si="962">BQ85-BE85</f>
        <v>0</v>
      </c>
      <c r="BR90" s="235">
        <f t="shared" ref="BR90" si="963">BR85-BF85</f>
        <v>0</v>
      </c>
      <c r="BS90" s="235">
        <f t="shared" ref="BS90" si="964">BS85-BG85</f>
        <v>0</v>
      </c>
      <c r="BT90" s="235">
        <f t="shared" ref="BT90" si="965">BT85-BH85</f>
        <v>0</v>
      </c>
      <c r="BU90" s="235">
        <f t="shared" ref="BU90" si="966">BU85-BI85</f>
        <v>0</v>
      </c>
      <c r="BV90" s="235">
        <f t="shared" ref="BV90" si="967">BV85-BJ85</f>
        <v>0</v>
      </c>
      <c r="BW90" s="235">
        <f t="shared" ref="BW90" si="968">BW85-BK85</f>
        <v>0</v>
      </c>
      <c r="BX90" s="235">
        <f t="shared" ref="BX90" si="969">BX85-BL85</f>
        <v>0</v>
      </c>
      <c r="BY90" s="235">
        <f t="shared" ref="BY90" si="970">BY85-BM85</f>
        <v>0</v>
      </c>
      <c r="BZ90" s="235">
        <f t="shared" ref="BZ90" si="971">BZ85-BN85</f>
        <v>0</v>
      </c>
      <c r="CA90" s="235">
        <f t="shared" ref="CA90" si="972">CA85-BO85</f>
        <v>0</v>
      </c>
      <c r="CB90" s="235">
        <f t="shared" ref="CB90" si="973">CB85-BP85</f>
        <v>0</v>
      </c>
      <c r="CC90" s="235">
        <f t="shared" ref="CC90" si="974">CC85-BQ85</f>
        <v>0</v>
      </c>
      <c r="CD90" s="235">
        <f t="shared" ref="CD90" si="975">CD85-BR85</f>
        <v>0</v>
      </c>
      <c r="CE90" s="235">
        <f t="shared" ref="CE90" si="976">CE85-BS85</f>
        <v>0</v>
      </c>
      <c r="CF90" s="235">
        <f t="shared" ref="CF90" si="977">CF85-BT85</f>
        <v>0</v>
      </c>
      <c r="CG90" s="235">
        <f t="shared" ref="CG90" si="978">CG85-BU85</f>
        <v>0</v>
      </c>
      <c r="CH90" s="235">
        <f t="shared" ref="CH90" si="979">CH85-BV85</f>
        <v>0</v>
      </c>
    </row>
    <row r="91" spans="1:86">
      <c r="A91" s="233">
        <v>79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</row>
    <row r="92" spans="1:86">
      <c r="A92" s="233">
        <v>80</v>
      </c>
      <c r="B92" s="26" t="s">
        <v>533</v>
      </c>
      <c r="C92" s="81">
        <f>C$90*'Bill Frequency'!C35/'Bill Frequency'!C$38</f>
        <v>-974.5547544904839</v>
      </c>
      <c r="D92" s="81">
        <f>D$90*'Bill Frequency'!D35/'Bill Frequency'!D$38</f>
        <v>976.92419579936245</v>
      </c>
      <c r="E92" s="81">
        <f>E$90*'Bill Frequency'!E35/'Bill Frequency'!E$38</f>
        <v>-450.17800008349474</v>
      </c>
      <c r="F92" s="81">
        <f>F$90*'Bill Frequency'!F35/'Bill Frequency'!F$38</f>
        <v>262.31466389846361</v>
      </c>
      <c r="G92" s="81">
        <f>G$90*'Bill Frequency'!G35/'Bill Frequency'!G$38</f>
        <v>19645.738312576683</v>
      </c>
      <c r="H92" s="81">
        <f>H$90*'Bill Frequency'!H35/'Bill Frequency'!H$38</f>
        <v>26561.146521675149</v>
      </c>
      <c r="I92" s="81">
        <f>I$90*'Bill Frequency'!I35/'Bill Frequency'!I$38</f>
        <v>-4150.3933788686709</v>
      </c>
      <c r="J92" s="81">
        <f>J$90*'Bill Frequency'!J35/'Bill Frequency'!J$38</f>
        <v>13247.544815776935</v>
      </c>
      <c r="K92" s="81">
        <f>K$90*'Bill Frequency'!K35/'Bill Frequency'!K$38</f>
        <v>25291.135069688724</v>
      </c>
      <c r="L92" s="81">
        <f>L$90*'Bill Frequency'!L35/'Bill Frequency'!L$38</f>
        <v>10777.702350856429</v>
      </c>
      <c r="M92" s="81">
        <f>M$90*'Bill Frequency'!M35/'Bill Frequency'!M$38</f>
        <v>706.02436035414689</v>
      </c>
      <c r="N92" s="81">
        <f>N$90*'Bill Frequency'!N35/'Bill Frequency'!N$38</f>
        <v>-1687.6073853236103</v>
      </c>
      <c r="O92" s="81">
        <f>IFERROR(C92/C$95*O$90,0)</f>
        <v>0</v>
      </c>
      <c r="P92" s="81">
        <f t="shared" ref="P92:P94" si="980">IFERROR(D92/D$95*P$90,0)</f>
        <v>0</v>
      </c>
      <c r="Q92" s="81">
        <f t="shared" ref="Q92:Q94" si="981">IFERROR(E92/E$95*Q$90,0)</f>
        <v>0</v>
      </c>
      <c r="R92" s="81">
        <f t="shared" ref="R92:R94" si="982">IFERROR(F92/F$95*R$90,0)</f>
        <v>0</v>
      </c>
      <c r="S92" s="81">
        <f t="shared" ref="S92:S94" si="983">IFERROR(G92/G$95*S$90,0)</f>
        <v>0</v>
      </c>
      <c r="T92" s="81">
        <f t="shared" ref="T92:T94" si="984">IFERROR(H92/H$95*T$90,0)</f>
        <v>0</v>
      </c>
      <c r="U92" s="81">
        <f t="shared" ref="U92:U94" si="985">IFERROR(I92/I$95*U$90,0)</f>
        <v>0</v>
      </c>
      <c r="V92" s="81">
        <f t="shared" ref="V92:V94" si="986">IFERROR(J92/J$95*V$90,0)</f>
        <v>0</v>
      </c>
      <c r="W92" s="81">
        <f t="shared" ref="W92:W94" si="987">IFERROR(K92/K$95*W$90,0)</f>
        <v>0</v>
      </c>
      <c r="X92" s="81">
        <f t="shared" ref="X92:X94" si="988">IFERROR(L92/L$95*X$90,0)</f>
        <v>0</v>
      </c>
      <c r="Y92" s="81">
        <f t="shared" ref="Y92:Y94" si="989">IFERROR(M92/M$95*Y$90,0)</f>
        <v>0</v>
      </c>
      <c r="Z92" s="81">
        <f t="shared" ref="Z92:Z94" si="990">IFERROR(N92/N$95*Z$90,0)</f>
        <v>0</v>
      </c>
      <c r="AA92" s="81">
        <f t="shared" ref="AA92:AA94" si="991">IFERROR(O92/O$95*AA$90,0)</f>
        <v>0</v>
      </c>
      <c r="AB92" s="81">
        <f t="shared" ref="AB92:AB94" si="992">IFERROR(P92/P$95*AB$90,0)</f>
        <v>0</v>
      </c>
      <c r="AC92" s="81">
        <f t="shared" ref="AC92:AC94" si="993">IFERROR(Q92/Q$95*AC$90,0)</f>
        <v>0</v>
      </c>
      <c r="AD92" s="81">
        <f t="shared" ref="AD92:AD94" si="994">IFERROR(R92/R$95*AD$90,0)</f>
        <v>0</v>
      </c>
      <c r="AE92" s="81">
        <f t="shared" ref="AE92:AE94" si="995">IFERROR(S92/S$95*AE$90,0)</f>
        <v>0</v>
      </c>
      <c r="AF92" s="81">
        <f t="shared" ref="AF92:AF94" si="996">IFERROR(T92/T$95*AF$90,0)</f>
        <v>0</v>
      </c>
      <c r="AG92" s="81">
        <f t="shared" ref="AG92:AG94" si="997">IFERROR(U92/U$95*AG$90,0)</f>
        <v>0</v>
      </c>
      <c r="AH92" s="81">
        <f t="shared" ref="AH92:AH94" si="998">IFERROR(V92/V$95*AH$90,0)</f>
        <v>0</v>
      </c>
      <c r="AI92" s="81">
        <f t="shared" ref="AI92:AI94" si="999">IFERROR(W92/W$95*AI$90,0)</f>
        <v>0</v>
      </c>
      <c r="AJ92" s="81">
        <f t="shared" ref="AJ92:AJ94" si="1000">IFERROR(X92/X$95*AJ$90,0)</f>
        <v>0</v>
      </c>
      <c r="AK92" s="81">
        <f t="shared" ref="AK92:AK94" si="1001">IFERROR(Y92/Y$95*AK$90,0)</f>
        <v>0</v>
      </c>
      <c r="AL92" s="81">
        <f t="shared" ref="AL92:AL94" si="1002">IFERROR(Z92/Z$95*AL$90,0)</f>
        <v>0</v>
      </c>
      <c r="AM92" s="81">
        <f t="shared" ref="AM92:AM94" si="1003">IFERROR(AA92/AA$95*AM$90,0)</f>
        <v>0</v>
      </c>
      <c r="AN92" s="81">
        <f t="shared" ref="AN92:AN94" si="1004">IFERROR(AB92/AB$95*AN$90,0)</f>
        <v>0</v>
      </c>
      <c r="AO92" s="81">
        <f t="shared" ref="AO92:AO94" si="1005">IFERROR(AC92/AC$95*AO$90,0)</f>
        <v>0</v>
      </c>
      <c r="AP92" s="81">
        <f t="shared" ref="AP92:AP94" si="1006">IFERROR(AD92/AD$95*AP$90,0)</f>
        <v>0</v>
      </c>
      <c r="AQ92" s="81">
        <f t="shared" ref="AQ92:AQ94" si="1007">IFERROR(AE92/AE$95*AQ$90,0)</f>
        <v>0</v>
      </c>
      <c r="AR92" s="81">
        <f t="shared" ref="AR92:AR94" si="1008">IFERROR(AF92/AF$95*AR$90,0)</f>
        <v>0</v>
      </c>
      <c r="AS92" s="81">
        <f t="shared" ref="AS92:AS94" si="1009">IFERROR(AG92/AG$95*AS$90,0)</f>
        <v>0</v>
      </c>
      <c r="AT92" s="81">
        <f t="shared" ref="AT92:AT94" si="1010">IFERROR(AH92/AH$95*AT$90,0)</f>
        <v>0</v>
      </c>
      <c r="AU92" s="81">
        <f t="shared" ref="AU92:AU94" si="1011">IFERROR(AI92/AI$95*AU$90,0)</f>
        <v>0</v>
      </c>
      <c r="AV92" s="81">
        <f t="shared" ref="AV92:AV94" si="1012">IFERROR(AJ92/AJ$95*AV$90,0)</f>
        <v>0</v>
      </c>
      <c r="AW92" s="81">
        <f t="shared" ref="AW92:AW94" si="1013">IFERROR(AK92/AK$95*AW$90,0)</f>
        <v>0</v>
      </c>
      <c r="AX92" s="81">
        <f t="shared" ref="AX92:AX94" si="1014">IFERROR(AL92/AL$95*AX$90,0)</f>
        <v>0</v>
      </c>
      <c r="AY92" s="81">
        <f t="shared" ref="AY92:AY94" si="1015">IFERROR(AM92/AM$95*AY$90,0)</f>
        <v>0</v>
      </c>
      <c r="AZ92" s="81">
        <f t="shared" ref="AZ92:AZ94" si="1016">IFERROR(AN92/AN$95*AZ$90,0)</f>
        <v>0</v>
      </c>
      <c r="BA92" s="81">
        <f t="shared" ref="BA92:BA94" si="1017">IFERROR(AO92/AO$95*BA$90,0)</f>
        <v>0</v>
      </c>
      <c r="BB92" s="81">
        <f t="shared" ref="BB92:BB94" si="1018">IFERROR(AP92/AP$95*BB$90,0)</f>
        <v>0</v>
      </c>
      <c r="BC92" s="81">
        <f t="shared" ref="BC92:BC94" si="1019">IFERROR(AQ92/AQ$95*BC$90,0)</f>
        <v>0</v>
      </c>
      <c r="BD92" s="81">
        <f t="shared" ref="BD92:BD94" si="1020">IFERROR(AR92/AR$95*BD$90,0)</f>
        <v>0</v>
      </c>
      <c r="BE92" s="81">
        <f t="shared" ref="BE92:BE94" si="1021">IFERROR(AS92/AS$95*BE$90,0)</f>
        <v>0</v>
      </c>
      <c r="BF92" s="81">
        <f t="shared" ref="BF92:BF94" si="1022">IFERROR(AT92/AT$95*BF$90,0)</f>
        <v>0</v>
      </c>
      <c r="BG92" s="81">
        <f t="shared" ref="BG92:BG94" si="1023">IFERROR(AU92/AU$95*BG$90,0)</f>
        <v>0</v>
      </c>
      <c r="BH92" s="81">
        <f t="shared" ref="BH92:BH94" si="1024">IFERROR(AV92/AV$95*BH$90,0)</f>
        <v>0</v>
      </c>
      <c r="BI92" s="81">
        <f t="shared" ref="BI92:BI94" si="1025">IFERROR(AW92/AW$95*BI$90,0)</f>
        <v>0</v>
      </c>
      <c r="BJ92" s="81">
        <f t="shared" ref="BJ92:BJ94" si="1026">IFERROR(AX92/AX$95*BJ$90,0)</f>
        <v>0</v>
      </c>
      <c r="BK92" s="81">
        <f t="shared" ref="BK92:BK94" si="1027">IFERROR(AY92/AY$95*BK$90,0)</f>
        <v>0</v>
      </c>
      <c r="BL92" s="81">
        <f t="shared" ref="BL92:BL94" si="1028">IFERROR(AZ92/AZ$95*BL$90,0)</f>
        <v>0</v>
      </c>
      <c r="BM92" s="81">
        <f t="shared" ref="BM92:BM94" si="1029">IFERROR(BA92/BA$95*BM$90,0)</f>
        <v>0</v>
      </c>
      <c r="BN92" s="81">
        <f t="shared" ref="BN92:BN94" si="1030">IFERROR(BB92/BB$95*BN$90,0)</f>
        <v>0</v>
      </c>
      <c r="BO92" s="81">
        <f t="shared" ref="BO92:BO94" si="1031">IFERROR(BC92/BC$95*BO$90,0)</f>
        <v>0</v>
      </c>
      <c r="BP92" s="81">
        <f t="shared" ref="BP92:BP94" si="1032">IFERROR(BD92/BD$95*BP$90,0)</f>
        <v>0</v>
      </c>
      <c r="BQ92" s="81">
        <f t="shared" ref="BQ92:BQ94" si="1033">IFERROR(BE92/BE$95*BQ$90,0)</f>
        <v>0</v>
      </c>
      <c r="BR92" s="81">
        <f t="shared" ref="BR92:BR94" si="1034">IFERROR(BF92/BF$95*BR$90,0)</f>
        <v>0</v>
      </c>
      <c r="BS92" s="81">
        <f t="shared" ref="BS92:BS94" si="1035">IFERROR(BG92/BG$95*BS$90,0)</f>
        <v>0</v>
      </c>
      <c r="BT92" s="81">
        <f t="shared" ref="BT92:BT94" si="1036">IFERROR(BH92/BH$95*BT$90,0)</f>
        <v>0</v>
      </c>
      <c r="BU92" s="81">
        <f t="shared" ref="BU92:BU94" si="1037">IFERROR(BI92/BI$95*BU$90,0)</f>
        <v>0</v>
      </c>
      <c r="BV92" s="81">
        <f t="shared" ref="BV92:BV94" si="1038">IFERROR(BJ92/BJ$95*BV$90,0)</f>
        <v>0</v>
      </c>
      <c r="BW92" s="81">
        <f t="shared" ref="BW92:BW94" si="1039">IFERROR(BK92/BK$95*BW$90,0)</f>
        <v>0</v>
      </c>
      <c r="BX92" s="81">
        <f t="shared" ref="BX92:BX94" si="1040">IFERROR(BL92/BL$95*BX$90,0)</f>
        <v>0</v>
      </c>
      <c r="BY92" s="81">
        <f t="shared" ref="BY92:BY94" si="1041">IFERROR(BM92/BM$95*BY$90,0)</f>
        <v>0</v>
      </c>
      <c r="BZ92" s="81">
        <f t="shared" ref="BZ92:BZ94" si="1042">IFERROR(BN92/BN$95*BZ$90,0)</f>
        <v>0</v>
      </c>
      <c r="CA92" s="81">
        <f t="shared" ref="CA92:CA94" si="1043">IFERROR(BO92/BO$95*CA$90,0)</f>
        <v>0</v>
      </c>
      <c r="CB92" s="81">
        <f t="shared" ref="CB92:CB94" si="1044">IFERROR(BP92/BP$95*CB$90,0)</f>
        <v>0</v>
      </c>
      <c r="CC92" s="81">
        <f t="shared" ref="CC92:CC94" si="1045">IFERROR(BQ92/BQ$95*CC$90,0)</f>
        <v>0</v>
      </c>
      <c r="CD92" s="81">
        <f t="shared" ref="CD92:CD94" si="1046">IFERROR(BR92/BR$95*CD$90,0)</f>
        <v>0</v>
      </c>
      <c r="CE92" s="81">
        <f t="shared" ref="CE92:CE94" si="1047">IFERROR(BS92/BS$95*CE$90,0)</f>
        <v>0</v>
      </c>
      <c r="CF92" s="81">
        <f t="shared" ref="CF92:CF94" si="1048">IFERROR(BT92/BT$95*CF$90,0)</f>
        <v>0</v>
      </c>
      <c r="CG92" s="81">
        <f t="shared" ref="CG92:CG94" si="1049">IFERROR(BU92/BU$95*CG$90,0)</f>
        <v>0</v>
      </c>
      <c r="CH92" s="81">
        <f t="shared" ref="CH92:CH94" si="1050">IFERROR(BV92/BV$95*CH$90,0)</f>
        <v>0</v>
      </c>
    </row>
    <row r="93" spans="1:86">
      <c r="A93" s="233">
        <v>81</v>
      </c>
      <c r="B93" s="26" t="s">
        <v>534</v>
      </c>
      <c r="C93" s="81">
        <f>C$90*'Bill Frequency'!C36/'Bill Frequency'!C$38</f>
        <v>-125.44524550951611</v>
      </c>
      <c r="D93" s="81">
        <f>D$90*'Bill Frequency'!D36/'Bill Frequency'!D$38</f>
        <v>123.07580420063763</v>
      </c>
      <c r="E93" s="81">
        <f>E$90*'Bill Frequency'!E36/'Bill Frequency'!E$38</f>
        <v>-16.821999916505256</v>
      </c>
      <c r="F93" s="81">
        <f>F$90*'Bill Frequency'!F36/'Bill Frequency'!F$38</f>
        <v>34.685336101536372</v>
      </c>
      <c r="G93" s="81">
        <f>G$90*'Bill Frequency'!G36/'Bill Frequency'!G$38</f>
        <v>2471.2616874233154</v>
      </c>
      <c r="H93" s="81">
        <f>H$90*'Bill Frequency'!H36/'Bill Frequency'!H$38</f>
        <v>3692.8534783248538</v>
      </c>
      <c r="I93" s="81">
        <f>I$90*'Bill Frequency'!I36/'Bill Frequency'!I$38</f>
        <v>-1018.6066211313283</v>
      </c>
      <c r="J93" s="81">
        <f>J$90*'Bill Frequency'!J36/'Bill Frequency'!J$38</f>
        <v>3123.4551842230649</v>
      </c>
      <c r="K93" s="81">
        <f>K$90*'Bill Frequency'!K36/'Bill Frequency'!K$38</f>
        <v>3284.864930311277</v>
      </c>
      <c r="L93" s="81">
        <f>L$90*'Bill Frequency'!L36/'Bill Frequency'!L$38</f>
        <v>1105.2976491435727</v>
      </c>
      <c r="M93" s="81">
        <f>M$90*'Bill Frequency'!M36/'Bill Frequency'!M$38</f>
        <v>121.97563964585316</v>
      </c>
      <c r="N93" s="81">
        <f>N$90*'Bill Frequency'!N36/'Bill Frequency'!N$38</f>
        <v>-281.39261467638977</v>
      </c>
      <c r="O93" s="81">
        <f t="shared" ref="O93:O94" si="1051">IFERROR(C93/C$95*O$90,0)</f>
        <v>0</v>
      </c>
      <c r="P93" s="81">
        <f t="shared" si="980"/>
        <v>0</v>
      </c>
      <c r="Q93" s="81">
        <f t="shared" si="981"/>
        <v>0</v>
      </c>
      <c r="R93" s="81">
        <f t="shared" si="982"/>
        <v>0</v>
      </c>
      <c r="S93" s="81">
        <f t="shared" si="983"/>
        <v>0</v>
      </c>
      <c r="T93" s="81">
        <f t="shared" si="984"/>
        <v>0</v>
      </c>
      <c r="U93" s="81">
        <f t="shared" si="985"/>
        <v>0</v>
      </c>
      <c r="V93" s="81">
        <f t="shared" si="986"/>
        <v>0</v>
      </c>
      <c r="W93" s="81">
        <f t="shared" si="987"/>
        <v>0</v>
      </c>
      <c r="X93" s="81">
        <f t="shared" si="988"/>
        <v>0</v>
      </c>
      <c r="Y93" s="81">
        <f t="shared" si="989"/>
        <v>0</v>
      </c>
      <c r="Z93" s="81">
        <f t="shared" si="990"/>
        <v>0</v>
      </c>
      <c r="AA93" s="81">
        <f t="shared" si="991"/>
        <v>0</v>
      </c>
      <c r="AB93" s="81">
        <f t="shared" si="992"/>
        <v>0</v>
      </c>
      <c r="AC93" s="81">
        <f t="shared" si="993"/>
        <v>0</v>
      </c>
      <c r="AD93" s="81">
        <f t="shared" si="994"/>
        <v>0</v>
      </c>
      <c r="AE93" s="81">
        <f t="shared" si="995"/>
        <v>0</v>
      </c>
      <c r="AF93" s="81">
        <f t="shared" si="996"/>
        <v>0</v>
      </c>
      <c r="AG93" s="81">
        <f t="shared" si="997"/>
        <v>0</v>
      </c>
      <c r="AH93" s="81">
        <f t="shared" si="998"/>
        <v>0</v>
      </c>
      <c r="AI93" s="81">
        <f t="shared" si="999"/>
        <v>0</v>
      </c>
      <c r="AJ93" s="81">
        <f t="shared" si="1000"/>
        <v>0</v>
      </c>
      <c r="AK93" s="81">
        <f t="shared" si="1001"/>
        <v>0</v>
      </c>
      <c r="AL93" s="81">
        <f t="shared" si="1002"/>
        <v>0</v>
      </c>
      <c r="AM93" s="81">
        <f t="shared" si="1003"/>
        <v>0</v>
      </c>
      <c r="AN93" s="81">
        <f t="shared" si="1004"/>
        <v>0</v>
      </c>
      <c r="AO93" s="81">
        <f t="shared" si="1005"/>
        <v>0</v>
      </c>
      <c r="AP93" s="81">
        <f t="shared" si="1006"/>
        <v>0</v>
      </c>
      <c r="AQ93" s="81">
        <f t="shared" si="1007"/>
        <v>0</v>
      </c>
      <c r="AR93" s="81">
        <f t="shared" si="1008"/>
        <v>0</v>
      </c>
      <c r="AS93" s="81">
        <f t="shared" si="1009"/>
        <v>0</v>
      </c>
      <c r="AT93" s="81">
        <f t="shared" si="1010"/>
        <v>0</v>
      </c>
      <c r="AU93" s="81">
        <f t="shared" si="1011"/>
        <v>0</v>
      </c>
      <c r="AV93" s="81">
        <f t="shared" si="1012"/>
        <v>0</v>
      </c>
      <c r="AW93" s="81">
        <f t="shared" si="1013"/>
        <v>0</v>
      </c>
      <c r="AX93" s="81">
        <f t="shared" si="1014"/>
        <v>0</v>
      </c>
      <c r="AY93" s="81">
        <f t="shared" si="1015"/>
        <v>0</v>
      </c>
      <c r="AZ93" s="81">
        <f t="shared" si="1016"/>
        <v>0</v>
      </c>
      <c r="BA93" s="81">
        <f t="shared" si="1017"/>
        <v>0</v>
      </c>
      <c r="BB93" s="81">
        <f t="shared" si="1018"/>
        <v>0</v>
      </c>
      <c r="BC93" s="81">
        <f t="shared" si="1019"/>
        <v>0</v>
      </c>
      <c r="BD93" s="81">
        <f t="shared" si="1020"/>
        <v>0</v>
      </c>
      <c r="BE93" s="81">
        <f t="shared" si="1021"/>
        <v>0</v>
      </c>
      <c r="BF93" s="81">
        <f t="shared" si="1022"/>
        <v>0</v>
      </c>
      <c r="BG93" s="81">
        <f t="shared" si="1023"/>
        <v>0</v>
      </c>
      <c r="BH93" s="81">
        <f t="shared" si="1024"/>
        <v>0</v>
      </c>
      <c r="BI93" s="81">
        <f t="shared" si="1025"/>
        <v>0</v>
      </c>
      <c r="BJ93" s="81">
        <f t="shared" si="1026"/>
        <v>0</v>
      </c>
      <c r="BK93" s="81">
        <f t="shared" si="1027"/>
        <v>0</v>
      </c>
      <c r="BL93" s="81">
        <f t="shared" si="1028"/>
        <v>0</v>
      </c>
      <c r="BM93" s="81">
        <f t="shared" si="1029"/>
        <v>0</v>
      </c>
      <c r="BN93" s="81">
        <f t="shared" si="1030"/>
        <v>0</v>
      </c>
      <c r="BO93" s="81">
        <f t="shared" si="1031"/>
        <v>0</v>
      </c>
      <c r="BP93" s="81">
        <f t="shared" si="1032"/>
        <v>0</v>
      </c>
      <c r="BQ93" s="81">
        <f t="shared" si="1033"/>
        <v>0</v>
      </c>
      <c r="BR93" s="81">
        <f t="shared" si="1034"/>
        <v>0</v>
      </c>
      <c r="BS93" s="81">
        <f t="shared" si="1035"/>
        <v>0</v>
      </c>
      <c r="BT93" s="81">
        <f t="shared" si="1036"/>
        <v>0</v>
      </c>
      <c r="BU93" s="81">
        <f t="shared" si="1037"/>
        <v>0</v>
      </c>
      <c r="BV93" s="81">
        <f t="shared" si="1038"/>
        <v>0</v>
      </c>
      <c r="BW93" s="81">
        <f t="shared" si="1039"/>
        <v>0</v>
      </c>
      <c r="BX93" s="81">
        <f t="shared" si="1040"/>
        <v>0</v>
      </c>
      <c r="BY93" s="81">
        <f t="shared" si="1041"/>
        <v>0</v>
      </c>
      <c r="BZ93" s="81">
        <f t="shared" si="1042"/>
        <v>0</v>
      </c>
      <c r="CA93" s="81">
        <f t="shared" si="1043"/>
        <v>0</v>
      </c>
      <c r="CB93" s="81">
        <f t="shared" si="1044"/>
        <v>0</v>
      </c>
      <c r="CC93" s="81">
        <f t="shared" si="1045"/>
        <v>0</v>
      </c>
      <c r="CD93" s="81">
        <f t="shared" si="1046"/>
        <v>0</v>
      </c>
      <c r="CE93" s="81">
        <f t="shared" si="1047"/>
        <v>0</v>
      </c>
      <c r="CF93" s="81">
        <f t="shared" si="1048"/>
        <v>0</v>
      </c>
      <c r="CG93" s="81">
        <f t="shared" si="1049"/>
        <v>0</v>
      </c>
      <c r="CH93" s="81">
        <f t="shared" si="1050"/>
        <v>0</v>
      </c>
    </row>
    <row r="94" spans="1:86">
      <c r="A94" s="233">
        <v>82</v>
      </c>
      <c r="B94" s="26" t="s">
        <v>535</v>
      </c>
      <c r="C94" s="81">
        <f>C$90*'Bill Frequency'!C37/'Bill Frequency'!C$38</f>
        <v>0</v>
      </c>
      <c r="D94" s="81">
        <f>D$90*'Bill Frequency'!D37/'Bill Frequency'!D$38</f>
        <v>0</v>
      </c>
      <c r="E94" s="81">
        <f>E$90*'Bill Frequency'!E37/'Bill Frequency'!E$38</f>
        <v>0</v>
      </c>
      <c r="F94" s="81">
        <f>F$90*'Bill Frequency'!F37/'Bill Frequency'!F$38</f>
        <v>0</v>
      </c>
      <c r="G94" s="81">
        <f>G$90*'Bill Frequency'!G37/'Bill Frequency'!G$38</f>
        <v>0</v>
      </c>
      <c r="H94" s="81">
        <f>H$90*'Bill Frequency'!H37/'Bill Frequency'!H$38</f>
        <v>0</v>
      </c>
      <c r="I94" s="81">
        <f>I$90*'Bill Frequency'!I37/'Bill Frequency'!I$38</f>
        <v>0</v>
      </c>
      <c r="J94" s="81">
        <f>J$90*'Bill Frequency'!J37/'Bill Frequency'!J$38</f>
        <v>0</v>
      </c>
      <c r="K94" s="81">
        <f>K$90*'Bill Frequency'!K37/'Bill Frequency'!K$38</f>
        <v>0</v>
      </c>
      <c r="L94" s="81">
        <f>L$90*'Bill Frequency'!L37/'Bill Frequency'!L$38</f>
        <v>0</v>
      </c>
      <c r="M94" s="81">
        <f>M$90*'Bill Frequency'!M37/'Bill Frequency'!M$38</f>
        <v>0</v>
      </c>
      <c r="N94" s="81">
        <f>N$90*'Bill Frequency'!N37/'Bill Frequency'!N$38</f>
        <v>0</v>
      </c>
      <c r="O94" s="81">
        <f t="shared" si="1051"/>
        <v>0</v>
      </c>
      <c r="P94" s="81">
        <f t="shared" si="980"/>
        <v>0</v>
      </c>
      <c r="Q94" s="81">
        <f t="shared" si="981"/>
        <v>0</v>
      </c>
      <c r="R94" s="81">
        <f t="shared" si="982"/>
        <v>0</v>
      </c>
      <c r="S94" s="81">
        <f t="shared" si="983"/>
        <v>0</v>
      </c>
      <c r="T94" s="81">
        <f t="shared" si="984"/>
        <v>0</v>
      </c>
      <c r="U94" s="81">
        <f t="shared" si="985"/>
        <v>0</v>
      </c>
      <c r="V94" s="81">
        <f t="shared" si="986"/>
        <v>0</v>
      </c>
      <c r="W94" s="81">
        <f t="shared" si="987"/>
        <v>0</v>
      </c>
      <c r="X94" s="81">
        <f t="shared" si="988"/>
        <v>0</v>
      </c>
      <c r="Y94" s="81">
        <f t="shared" si="989"/>
        <v>0</v>
      </c>
      <c r="Z94" s="81">
        <f t="shared" si="990"/>
        <v>0</v>
      </c>
      <c r="AA94" s="81">
        <f t="shared" si="991"/>
        <v>0</v>
      </c>
      <c r="AB94" s="81">
        <f t="shared" si="992"/>
        <v>0</v>
      </c>
      <c r="AC94" s="81">
        <f t="shared" si="993"/>
        <v>0</v>
      </c>
      <c r="AD94" s="81">
        <f t="shared" si="994"/>
        <v>0</v>
      </c>
      <c r="AE94" s="81">
        <f t="shared" si="995"/>
        <v>0</v>
      </c>
      <c r="AF94" s="81">
        <f t="shared" si="996"/>
        <v>0</v>
      </c>
      <c r="AG94" s="81">
        <f t="shared" si="997"/>
        <v>0</v>
      </c>
      <c r="AH94" s="81">
        <f t="shared" si="998"/>
        <v>0</v>
      </c>
      <c r="AI94" s="81">
        <f t="shared" si="999"/>
        <v>0</v>
      </c>
      <c r="AJ94" s="81">
        <f t="shared" si="1000"/>
        <v>0</v>
      </c>
      <c r="AK94" s="81">
        <f t="shared" si="1001"/>
        <v>0</v>
      </c>
      <c r="AL94" s="81">
        <f t="shared" si="1002"/>
        <v>0</v>
      </c>
      <c r="AM94" s="81">
        <f t="shared" si="1003"/>
        <v>0</v>
      </c>
      <c r="AN94" s="81">
        <f t="shared" si="1004"/>
        <v>0</v>
      </c>
      <c r="AO94" s="81">
        <f t="shared" si="1005"/>
        <v>0</v>
      </c>
      <c r="AP94" s="81">
        <f t="shared" si="1006"/>
        <v>0</v>
      </c>
      <c r="AQ94" s="81">
        <f t="shared" si="1007"/>
        <v>0</v>
      </c>
      <c r="AR94" s="81">
        <f t="shared" si="1008"/>
        <v>0</v>
      </c>
      <c r="AS94" s="81">
        <f t="shared" si="1009"/>
        <v>0</v>
      </c>
      <c r="AT94" s="81">
        <f t="shared" si="1010"/>
        <v>0</v>
      </c>
      <c r="AU94" s="81">
        <f t="shared" si="1011"/>
        <v>0</v>
      </c>
      <c r="AV94" s="81">
        <f t="shared" si="1012"/>
        <v>0</v>
      </c>
      <c r="AW94" s="81">
        <f t="shared" si="1013"/>
        <v>0</v>
      </c>
      <c r="AX94" s="81">
        <f t="shared" si="1014"/>
        <v>0</v>
      </c>
      <c r="AY94" s="81">
        <f t="shared" si="1015"/>
        <v>0</v>
      </c>
      <c r="AZ94" s="81">
        <f t="shared" si="1016"/>
        <v>0</v>
      </c>
      <c r="BA94" s="81">
        <f t="shared" si="1017"/>
        <v>0</v>
      </c>
      <c r="BB94" s="81">
        <f t="shared" si="1018"/>
        <v>0</v>
      </c>
      <c r="BC94" s="81">
        <f t="shared" si="1019"/>
        <v>0</v>
      </c>
      <c r="BD94" s="81">
        <f t="shared" si="1020"/>
        <v>0</v>
      </c>
      <c r="BE94" s="81">
        <f t="shared" si="1021"/>
        <v>0</v>
      </c>
      <c r="BF94" s="81">
        <f t="shared" si="1022"/>
        <v>0</v>
      </c>
      <c r="BG94" s="81">
        <f t="shared" si="1023"/>
        <v>0</v>
      </c>
      <c r="BH94" s="81">
        <f t="shared" si="1024"/>
        <v>0</v>
      </c>
      <c r="BI94" s="81">
        <f t="shared" si="1025"/>
        <v>0</v>
      </c>
      <c r="BJ94" s="81">
        <f t="shared" si="1026"/>
        <v>0</v>
      </c>
      <c r="BK94" s="81">
        <f t="shared" si="1027"/>
        <v>0</v>
      </c>
      <c r="BL94" s="81">
        <f t="shared" si="1028"/>
        <v>0</v>
      </c>
      <c r="BM94" s="81">
        <f t="shared" si="1029"/>
        <v>0</v>
      </c>
      <c r="BN94" s="81">
        <f t="shared" si="1030"/>
        <v>0</v>
      </c>
      <c r="BO94" s="81">
        <f t="shared" si="1031"/>
        <v>0</v>
      </c>
      <c r="BP94" s="81">
        <f t="shared" si="1032"/>
        <v>0</v>
      </c>
      <c r="BQ94" s="81">
        <f t="shared" si="1033"/>
        <v>0</v>
      </c>
      <c r="BR94" s="81">
        <f t="shared" si="1034"/>
        <v>0</v>
      </c>
      <c r="BS94" s="81">
        <f t="shared" si="1035"/>
        <v>0</v>
      </c>
      <c r="BT94" s="81">
        <f t="shared" si="1036"/>
        <v>0</v>
      </c>
      <c r="BU94" s="81">
        <f t="shared" si="1037"/>
        <v>0</v>
      </c>
      <c r="BV94" s="81">
        <f t="shared" si="1038"/>
        <v>0</v>
      </c>
      <c r="BW94" s="81">
        <f t="shared" si="1039"/>
        <v>0</v>
      </c>
      <c r="BX94" s="81">
        <f t="shared" si="1040"/>
        <v>0</v>
      </c>
      <c r="BY94" s="81">
        <f t="shared" si="1041"/>
        <v>0</v>
      </c>
      <c r="BZ94" s="81">
        <f t="shared" si="1042"/>
        <v>0</v>
      </c>
      <c r="CA94" s="81">
        <f t="shared" si="1043"/>
        <v>0</v>
      </c>
      <c r="CB94" s="81">
        <f t="shared" si="1044"/>
        <v>0</v>
      </c>
      <c r="CC94" s="81">
        <f t="shared" si="1045"/>
        <v>0</v>
      </c>
      <c r="CD94" s="81">
        <f t="shared" si="1046"/>
        <v>0</v>
      </c>
      <c r="CE94" s="81">
        <f t="shared" si="1047"/>
        <v>0</v>
      </c>
      <c r="CF94" s="81">
        <f t="shared" si="1048"/>
        <v>0</v>
      </c>
      <c r="CG94" s="81">
        <f t="shared" si="1049"/>
        <v>0</v>
      </c>
      <c r="CH94" s="81">
        <f t="shared" si="1050"/>
        <v>0</v>
      </c>
    </row>
    <row r="95" spans="1:86" ht="13.5" thickBot="1">
      <c r="A95" s="233">
        <v>83</v>
      </c>
      <c r="B95" s="26" t="s">
        <v>18</v>
      </c>
      <c r="C95" s="488">
        <f>SUM(C92:C94)</f>
        <v>-1100</v>
      </c>
      <c r="D95" s="488">
        <f t="shared" ref="D95:N95" si="1052">SUM(D92:D94)</f>
        <v>1100</v>
      </c>
      <c r="E95" s="488">
        <f t="shared" si="1052"/>
        <v>-467</v>
      </c>
      <c r="F95" s="488">
        <f t="shared" si="1052"/>
        <v>297</v>
      </c>
      <c r="G95" s="488">
        <f t="shared" si="1052"/>
        <v>22117</v>
      </c>
      <c r="H95" s="488">
        <f t="shared" si="1052"/>
        <v>30254.000000000004</v>
      </c>
      <c r="I95" s="488">
        <f t="shared" si="1052"/>
        <v>-5168.9999999999991</v>
      </c>
      <c r="J95" s="488">
        <f t="shared" si="1052"/>
        <v>16371</v>
      </c>
      <c r="K95" s="488">
        <f t="shared" si="1052"/>
        <v>28576</v>
      </c>
      <c r="L95" s="488">
        <f t="shared" si="1052"/>
        <v>11883.000000000002</v>
      </c>
      <c r="M95" s="488">
        <f t="shared" si="1052"/>
        <v>828</v>
      </c>
      <c r="N95" s="488">
        <f t="shared" si="1052"/>
        <v>-1969</v>
      </c>
      <c r="O95" s="488">
        <f t="shared" ref="O95:BZ95" si="1053">SUM(O92:O94)</f>
        <v>0</v>
      </c>
      <c r="P95" s="488">
        <f t="shared" si="1053"/>
        <v>0</v>
      </c>
      <c r="Q95" s="488">
        <f t="shared" si="1053"/>
        <v>0</v>
      </c>
      <c r="R95" s="488">
        <f t="shared" si="1053"/>
        <v>0</v>
      </c>
      <c r="S95" s="488">
        <f t="shared" si="1053"/>
        <v>0</v>
      </c>
      <c r="T95" s="488">
        <f t="shared" si="1053"/>
        <v>0</v>
      </c>
      <c r="U95" s="488">
        <f t="shared" si="1053"/>
        <v>0</v>
      </c>
      <c r="V95" s="488">
        <f t="shared" si="1053"/>
        <v>0</v>
      </c>
      <c r="W95" s="488">
        <f t="shared" si="1053"/>
        <v>0</v>
      </c>
      <c r="X95" s="488">
        <f t="shared" si="1053"/>
        <v>0</v>
      </c>
      <c r="Y95" s="488">
        <f t="shared" si="1053"/>
        <v>0</v>
      </c>
      <c r="Z95" s="488">
        <f t="shared" si="1053"/>
        <v>0</v>
      </c>
      <c r="AA95" s="488">
        <f t="shared" si="1053"/>
        <v>0</v>
      </c>
      <c r="AB95" s="488">
        <f t="shared" si="1053"/>
        <v>0</v>
      </c>
      <c r="AC95" s="488">
        <f t="shared" si="1053"/>
        <v>0</v>
      </c>
      <c r="AD95" s="488">
        <f t="shared" si="1053"/>
        <v>0</v>
      </c>
      <c r="AE95" s="488">
        <f t="shared" si="1053"/>
        <v>0</v>
      </c>
      <c r="AF95" s="488">
        <f t="shared" si="1053"/>
        <v>0</v>
      </c>
      <c r="AG95" s="488">
        <f t="shared" si="1053"/>
        <v>0</v>
      </c>
      <c r="AH95" s="488">
        <f t="shared" si="1053"/>
        <v>0</v>
      </c>
      <c r="AI95" s="488">
        <f t="shared" si="1053"/>
        <v>0</v>
      </c>
      <c r="AJ95" s="488">
        <f t="shared" si="1053"/>
        <v>0</v>
      </c>
      <c r="AK95" s="488">
        <f t="shared" si="1053"/>
        <v>0</v>
      </c>
      <c r="AL95" s="488">
        <f t="shared" si="1053"/>
        <v>0</v>
      </c>
      <c r="AM95" s="488">
        <f t="shared" si="1053"/>
        <v>0</v>
      </c>
      <c r="AN95" s="488">
        <f t="shared" si="1053"/>
        <v>0</v>
      </c>
      <c r="AO95" s="488">
        <f t="shared" si="1053"/>
        <v>0</v>
      </c>
      <c r="AP95" s="488">
        <f t="shared" si="1053"/>
        <v>0</v>
      </c>
      <c r="AQ95" s="488">
        <f t="shared" si="1053"/>
        <v>0</v>
      </c>
      <c r="AR95" s="488">
        <f t="shared" si="1053"/>
        <v>0</v>
      </c>
      <c r="AS95" s="488">
        <f t="shared" si="1053"/>
        <v>0</v>
      </c>
      <c r="AT95" s="488">
        <f t="shared" si="1053"/>
        <v>0</v>
      </c>
      <c r="AU95" s="488">
        <f t="shared" si="1053"/>
        <v>0</v>
      </c>
      <c r="AV95" s="488">
        <f t="shared" si="1053"/>
        <v>0</v>
      </c>
      <c r="AW95" s="488">
        <f t="shared" si="1053"/>
        <v>0</v>
      </c>
      <c r="AX95" s="488">
        <f t="shared" si="1053"/>
        <v>0</v>
      </c>
      <c r="AY95" s="488">
        <f t="shared" si="1053"/>
        <v>0</v>
      </c>
      <c r="AZ95" s="488">
        <f t="shared" si="1053"/>
        <v>0</v>
      </c>
      <c r="BA95" s="488">
        <f t="shared" si="1053"/>
        <v>0</v>
      </c>
      <c r="BB95" s="488">
        <f t="shared" si="1053"/>
        <v>0</v>
      </c>
      <c r="BC95" s="488">
        <f t="shared" si="1053"/>
        <v>0</v>
      </c>
      <c r="BD95" s="488">
        <f t="shared" si="1053"/>
        <v>0</v>
      </c>
      <c r="BE95" s="488">
        <f t="shared" si="1053"/>
        <v>0</v>
      </c>
      <c r="BF95" s="488">
        <f t="shared" si="1053"/>
        <v>0</v>
      </c>
      <c r="BG95" s="488">
        <f t="shared" si="1053"/>
        <v>0</v>
      </c>
      <c r="BH95" s="488">
        <f t="shared" si="1053"/>
        <v>0</v>
      </c>
      <c r="BI95" s="488">
        <f t="shared" si="1053"/>
        <v>0</v>
      </c>
      <c r="BJ95" s="488">
        <f t="shared" si="1053"/>
        <v>0</v>
      </c>
      <c r="BK95" s="488">
        <f t="shared" si="1053"/>
        <v>0</v>
      </c>
      <c r="BL95" s="488">
        <f t="shared" si="1053"/>
        <v>0</v>
      </c>
      <c r="BM95" s="488">
        <f t="shared" si="1053"/>
        <v>0</v>
      </c>
      <c r="BN95" s="488">
        <f t="shared" si="1053"/>
        <v>0</v>
      </c>
      <c r="BO95" s="488">
        <f t="shared" si="1053"/>
        <v>0</v>
      </c>
      <c r="BP95" s="488">
        <f t="shared" si="1053"/>
        <v>0</v>
      </c>
      <c r="BQ95" s="488">
        <f t="shared" si="1053"/>
        <v>0</v>
      </c>
      <c r="BR95" s="488">
        <f t="shared" si="1053"/>
        <v>0</v>
      </c>
      <c r="BS95" s="488">
        <f t="shared" si="1053"/>
        <v>0</v>
      </c>
      <c r="BT95" s="488">
        <f t="shared" si="1053"/>
        <v>0</v>
      </c>
      <c r="BU95" s="488">
        <f t="shared" si="1053"/>
        <v>0</v>
      </c>
      <c r="BV95" s="488">
        <f t="shared" si="1053"/>
        <v>0</v>
      </c>
      <c r="BW95" s="488">
        <f t="shared" si="1053"/>
        <v>0</v>
      </c>
      <c r="BX95" s="488">
        <f t="shared" si="1053"/>
        <v>0</v>
      </c>
      <c r="BY95" s="488">
        <f t="shared" si="1053"/>
        <v>0</v>
      </c>
      <c r="BZ95" s="488">
        <f t="shared" si="1053"/>
        <v>0</v>
      </c>
      <c r="CA95" s="488">
        <f t="shared" ref="CA95:CH95" si="1054">SUM(CA92:CA94)</f>
        <v>0</v>
      </c>
      <c r="CB95" s="488">
        <f t="shared" si="1054"/>
        <v>0</v>
      </c>
      <c r="CC95" s="488">
        <f t="shared" si="1054"/>
        <v>0</v>
      </c>
      <c r="CD95" s="488">
        <f t="shared" si="1054"/>
        <v>0</v>
      </c>
      <c r="CE95" s="488">
        <f t="shared" si="1054"/>
        <v>0</v>
      </c>
      <c r="CF95" s="488">
        <f t="shared" si="1054"/>
        <v>0</v>
      </c>
      <c r="CG95" s="488">
        <f t="shared" si="1054"/>
        <v>0</v>
      </c>
      <c r="CH95" s="488">
        <f t="shared" si="1054"/>
        <v>0</v>
      </c>
    </row>
    <row r="100" spans="2:14" ht="13.5">
      <c r="B100" s="340" t="s">
        <v>660</v>
      </c>
      <c r="C100" s="672" t="s">
        <v>664</v>
      </c>
      <c r="D100" s="672"/>
      <c r="E100" s="672"/>
      <c r="F100" s="672"/>
      <c r="G100" s="672"/>
      <c r="H100" s="672"/>
      <c r="I100" s="672"/>
      <c r="J100" s="672"/>
      <c r="K100" s="672"/>
      <c r="L100" s="672"/>
      <c r="M100" s="672"/>
      <c r="N100" s="673"/>
    </row>
    <row r="101" spans="2:14" ht="13.5">
      <c r="B101" s="336" t="s">
        <v>667</v>
      </c>
      <c r="C101" s="489">
        <f>MONTH(C10)</f>
        <v>7</v>
      </c>
      <c r="D101" s="490">
        <f t="shared" ref="D101:H101" si="1055">MONTH(D10)</f>
        <v>8</v>
      </c>
      <c r="E101" s="490">
        <f t="shared" si="1055"/>
        <v>9</v>
      </c>
      <c r="F101" s="490">
        <f t="shared" si="1055"/>
        <v>10</v>
      </c>
      <c r="G101" s="490">
        <f t="shared" si="1055"/>
        <v>11</v>
      </c>
      <c r="H101" s="490">
        <f t="shared" si="1055"/>
        <v>12</v>
      </c>
      <c r="I101" s="490">
        <f t="shared" ref="I101:N101" si="1056">MONTH(I10)</f>
        <v>1</v>
      </c>
      <c r="J101" s="490">
        <f t="shared" si="1056"/>
        <v>2</v>
      </c>
      <c r="K101" s="490">
        <f t="shared" si="1056"/>
        <v>3</v>
      </c>
      <c r="L101" s="490">
        <f t="shared" si="1056"/>
        <v>4</v>
      </c>
      <c r="M101" s="490">
        <f t="shared" si="1056"/>
        <v>5</v>
      </c>
      <c r="N101" s="491">
        <f t="shared" si="1056"/>
        <v>6</v>
      </c>
    </row>
    <row r="102" spans="2:14" ht="13.5">
      <c r="B102" s="336" t="s">
        <v>668</v>
      </c>
      <c r="C102" s="339">
        <v>7</v>
      </c>
      <c r="D102" s="337">
        <v>8</v>
      </c>
      <c r="E102" s="337"/>
      <c r="F102" s="337"/>
      <c r="G102" s="337"/>
      <c r="H102" s="337"/>
      <c r="I102" s="337"/>
      <c r="J102" s="337"/>
      <c r="K102" s="337"/>
      <c r="L102" s="337"/>
      <c r="M102" s="337"/>
      <c r="N102" s="338"/>
    </row>
    <row r="103" spans="2:14">
      <c r="G103" s="335"/>
      <c r="H103" s="335"/>
    </row>
    <row r="106" spans="2:14">
      <c r="C106" s="354"/>
      <c r="D106" s="355"/>
      <c r="E106" s="356"/>
    </row>
    <row r="107" spans="2:14">
      <c r="C107" s="354"/>
      <c r="D107" s="355"/>
      <c r="E107" s="356"/>
    </row>
    <row r="108" spans="2:14">
      <c r="C108" s="354"/>
      <c r="D108" s="355"/>
      <c r="E108" s="356"/>
    </row>
  </sheetData>
  <mergeCells count="8">
    <mergeCell ref="C100:N100"/>
    <mergeCell ref="C9:N9"/>
    <mergeCell ref="X9:AI9"/>
    <mergeCell ref="M3:N3"/>
    <mergeCell ref="A5:N5"/>
    <mergeCell ref="A4:N4"/>
    <mergeCell ref="A6:N6"/>
    <mergeCell ref="A7:N7"/>
  </mergeCells>
  <printOptions horizontalCentered="1"/>
  <pageMargins left="0.25" right="0.25" top="0.75" bottom="0.75" header="0.3" footer="0.3"/>
  <pageSetup scale="70" fitToHeight="3" orientation="landscape" r:id="rId1"/>
  <headerFooter alignWithMargins="0">
    <oddFooter>&amp;C&amp;A&amp;RPage &amp;P</oddFooter>
  </headerFooter>
  <rowBreaks count="2" manualBreakCount="2">
    <brk id="42" max="13" man="1"/>
    <brk id="69" max="13" man="1"/>
  </rowBreaks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transitionEntry="1" codeName="Sheet17"/>
  <dimension ref="A1:CM118"/>
  <sheetViews>
    <sheetView zoomScaleNormal="100" workbookViewId="0">
      <selection activeCell="D50" sqref="D50"/>
    </sheetView>
  </sheetViews>
  <sheetFormatPr defaultColWidth="12.5703125" defaultRowHeight="12.75"/>
  <cols>
    <col min="1" max="1" width="5.5703125" style="2" bestFit="1" customWidth="1"/>
    <col min="2" max="2" width="29.5703125" style="2" customWidth="1"/>
    <col min="3" max="3" width="8.5703125" style="2" customWidth="1"/>
    <col min="4" max="15" width="10.5703125" style="2" customWidth="1"/>
    <col min="16" max="16" width="12.28515625" style="2" bestFit="1" customWidth="1"/>
    <col min="17" max="17" width="10.5703125" style="2" customWidth="1"/>
    <col min="18" max="29" width="10.5703125" style="26" customWidth="1"/>
    <col min="30" max="63" width="10.5703125" style="2" customWidth="1"/>
    <col min="64" max="67" width="9.5703125" style="2" customWidth="1"/>
    <col min="68" max="16384" width="12.5703125" style="2"/>
  </cols>
  <sheetData>
    <row r="1" spans="1:91">
      <c r="P1" s="6"/>
      <c r="Q1" s="6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</row>
    <row r="2" spans="1:91">
      <c r="P2" s="6"/>
      <c r="Q2" s="6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</row>
    <row r="3" spans="1:91">
      <c r="P3" s="492" t="str">
        <f>CONCATENATE("EXHIBIT ",Dashboard!D16,"-5")</f>
        <v>EXHIBIT TLT-5</v>
      </c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</row>
    <row r="4" spans="1:91">
      <c r="A4" s="666" t="s">
        <v>677</v>
      </c>
      <c r="B4" s="666"/>
      <c r="C4" s="666"/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  <c r="P4" s="666"/>
      <c r="Q4" s="38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</row>
    <row r="5" spans="1:91">
      <c r="A5" s="666" t="s">
        <v>262</v>
      </c>
      <c r="B5" s="666"/>
      <c r="C5" s="666"/>
      <c r="D5" s="666"/>
      <c r="E5" s="666"/>
      <c r="F5" s="666"/>
      <c r="G5" s="666"/>
      <c r="H5" s="666"/>
      <c r="I5" s="666"/>
      <c r="J5" s="666"/>
      <c r="K5" s="666"/>
      <c r="L5" s="666"/>
      <c r="M5" s="666"/>
      <c r="N5" s="666"/>
      <c r="O5" s="666"/>
      <c r="P5" s="666"/>
      <c r="Q5" s="14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</row>
    <row r="6" spans="1:91">
      <c r="A6" s="666" t="str">
        <f>'Test Year Revenue Present'!A6</f>
        <v>TEST YEAR ENDING MARCH 31 2026</v>
      </c>
      <c r="B6" s="666"/>
      <c r="C6" s="666"/>
      <c r="D6" s="666"/>
      <c r="E6" s="666"/>
      <c r="F6" s="666"/>
      <c r="G6" s="666"/>
      <c r="H6" s="666"/>
      <c r="I6" s="666"/>
      <c r="J6" s="666"/>
      <c r="K6" s="666"/>
      <c r="L6" s="666"/>
      <c r="M6" s="666"/>
      <c r="N6" s="666"/>
      <c r="O6" s="666"/>
      <c r="P6" s="666"/>
      <c r="Q6" s="14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</row>
    <row r="7" spans="1:91">
      <c r="A7" s="676" t="s">
        <v>358</v>
      </c>
      <c r="B7" s="676"/>
      <c r="C7" s="676"/>
      <c r="D7" s="676"/>
      <c r="E7" s="676"/>
      <c r="F7" s="676"/>
      <c r="G7" s="676"/>
      <c r="H7" s="676"/>
      <c r="I7" s="676"/>
      <c r="J7" s="676"/>
      <c r="K7" s="676"/>
      <c r="L7" s="676"/>
      <c r="M7" s="676"/>
      <c r="N7" s="676"/>
      <c r="O7" s="676"/>
      <c r="P7" s="676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</row>
    <row r="8" spans="1:91">
      <c r="A8" s="7" t="s">
        <v>11</v>
      </c>
      <c r="P8" s="4" t="s">
        <v>18</v>
      </c>
      <c r="Q8" s="4" t="s">
        <v>18</v>
      </c>
      <c r="V8" s="233" t="s">
        <v>141</v>
      </c>
      <c r="W8" s="233" t="s">
        <v>142</v>
      </c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</row>
    <row r="9" spans="1:91">
      <c r="A9" s="8" t="s">
        <v>16</v>
      </c>
      <c r="B9" s="9" t="s">
        <v>26</v>
      </c>
      <c r="C9" s="10" t="s">
        <v>5</v>
      </c>
      <c r="D9" s="35">
        <f>'Summary of Revenue'!AA7</f>
        <v>45777</v>
      </c>
      <c r="E9" s="35">
        <f>'Summary of Revenue'!AB7</f>
        <v>45808</v>
      </c>
      <c r="F9" s="35">
        <f>'Summary of Revenue'!AC7</f>
        <v>45838</v>
      </c>
      <c r="G9" s="35">
        <f>'Summary of Revenue'!AD7</f>
        <v>45869</v>
      </c>
      <c r="H9" s="35">
        <f>'Summary of Revenue'!AE7</f>
        <v>45900</v>
      </c>
      <c r="I9" s="35">
        <f>'Summary of Revenue'!AF7</f>
        <v>45930</v>
      </c>
      <c r="J9" s="35">
        <f>'Summary of Revenue'!AG7</f>
        <v>45961</v>
      </c>
      <c r="K9" s="35">
        <f>'Summary of Revenue'!AH7</f>
        <v>45991</v>
      </c>
      <c r="L9" s="35">
        <f>'Summary of Revenue'!AI7</f>
        <v>46022</v>
      </c>
      <c r="M9" s="35">
        <f>'Summary of Revenue'!AJ7</f>
        <v>46053</v>
      </c>
      <c r="N9" s="35">
        <f>'Summary of Revenue'!AK7</f>
        <v>46081</v>
      </c>
      <c r="O9" s="35">
        <f>'Summary of Revenue'!AL7</f>
        <v>46112</v>
      </c>
      <c r="P9" s="35" t="s">
        <v>315</v>
      </c>
      <c r="Q9" s="35" t="s">
        <v>21</v>
      </c>
      <c r="V9" s="233" t="s">
        <v>51</v>
      </c>
      <c r="W9" s="233" t="s">
        <v>51</v>
      </c>
      <c r="Y9" s="233" t="s">
        <v>141</v>
      </c>
      <c r="Z9" s="233" t="s">
        <v>142</v>
      </c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</row>
    <row r="10" spans="1:91">
      <c r="B10" s="42"/>
      <c r="C10" s="42"/>
      <c r="D10" s="42" t="s">
        <v>12</v>
      </c>
      <c r="E10" s="42" t="s">
        <v>13</v>
      </c>
      <c r="F10" s="4" t="s">
        <v>14</v>
      </c>
      <c r="G10" s="48" t="s">
        <v>15</v>
      </c>
      <c r="H10" s="49" t="s">
        <v>80</v>
      </c>
      <c r="I10" s="49" t="s">
        <v>81</v>
      </c>
      <c r="J10" s="49" t="s">
        <v>82</v>
      </c>
      <c r="K10" s="49" t="s">
        <v>83</v>
      </c>
      <c r="L10" s="49" t="s">
        <v>84</v>
      </c>
      <c r="M10" s="49" t="s">
        <v>85</v>
      </c>
      <c r="N10" s="49" t="s">
        <v>86</v>
      </c>
      <c r="O10" s="49" t="s">
        <v>87</v>
      </c>
      <c r="P10" s="49" t="s">
        <v>88</v>
      </c>
      <c r="Q10" s="49" t="s">
        <v>204</v>
      </c>
      <c r="Y10" s="233"/>
      <c r="Z10" s="233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</row>
    <row r="11" spans="1:91"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30"/>
      <c r="Q11" s="2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</row>
    <row r="12" spans="1:91">
      <c r="A12" s="4">
        <v>1</v>
      </c>
      <c r="B12" s="23" t="s">
        <v>29</v>
      </c>
      <c r="C12" s="4"/>
      <c r="D12" s="50">
        <f t="shared" ref="D12:O12" si="0">D13*$C$13+D14*$C$14+D15*$C$15+D16*$C$16</f>
        <v>4497799.4522190634</v>
      </c>
      <c r="E12" s="50">
        <f t="shared" si="0"/>
        <v>3790403.6886797687</v>
      </c>
      <c r="F12" s="50">
        <f t="shared" si="0"/>
        <v>3382286.3949138192</v>
      </c>
      <c r="G12" s="50">
        <f t="shared" si="0"/>
        <v>3304326.0103908717</v>
      </c>
      <c r="H12" s="50">
        <f t="shared" si="0"/>
        <v>3299833.1304265987</v>
      </c>
      <c r="I12" s="50">
        <f t="shared" si="0"/>
        <v>3282895.2218366954</v>
      </c>
      <c r="J12" s="50">
        <f t="shared" si="0"/>
        <v>3526700.0371501367</v>
      </c>
      <c r="K12" s="50">
        <f t="shared" si="0"/>
        <v>4489137.0864267787</v>
      </c>
      <c r="L12" s="50">
        <f t="shared" si="0"/>
        <v>5472659.2447268227</v>
      </c>
      <c r="M12" s="50">
        <f t="shared" si="0"/>
        <v>5988793.6646467466</v>
      </c>
      <c r="N12" s="50">
        <f t="shared" si="0"/>
        <v>6232440.2200904908</v>
      </c>
      <c r="O12" s="50">
        <f t="shared" si="0"/>
        <v>5283243.0108737489</v>
      </c>
      <c r="P12" s="50">
        <f>SUM(D12:O12)</f>
        <v>52550517.162381545</v>
      </c>
      <c r="Q12" s="51"/>
      <c r="S12" s="99">
        <f>(P12+P19)/P13</f>
        <v>53.518838985791284</v>
      </c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67"/>
      <c r="BM12" s="67"/>
      <c r="BN12" s="67"/>
      <c r="BO12" s="67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</row>
    <row r="13" spans="1:91">
      <c r="A13" s="4">
        <v>2</v>
      </c>
      <c r="B13" s="2" t="s">
        <v>22</v>
      </c>
      <c r="C13" s="11">
        <f>'Rate Design'!G12</f>
        <v>19.3</v>
      </c>
      <c r="D13" s="6">
        <f>'Monthly Forecast'!Y12</f>
        <v>162288</v>
      </c>
      <c r="E13" s="6">
        <f>'Monthly Forecast'!Z12</f>
        <v>161528</v>
      </c>
      <c r="F13" s="6">
        <f>'Monthly Forecast'!AA12</f>
        <v>160443</v>
      </c>
      <c r="G13" s="6">
        <f>'Monthly Forecast'!AB12</f>
        <v>158859</v>
      </c>
      <c r="H13" s="6">
        <f>'Monthly Forecast'!AC12</f>
        <v>158643</v>
      </c>
      <c r="I13" s="6">
        <f>'Monthly Forecast'!AD12</f>
        <v>157525</v>
      </c>
      <c r="J13" s="6">
        <f>'Monthly Forecast'!AE12</f>
        <v>158693</v>
      </c>
      <c r="K13" s="6">
        <f>'Monthly Forecast'!AF12</f>
        <v>160008</v>
      </c>
      <c r="L13" s="6">
        <f>'Monthly Forecast'!AG12</f>
        <v>161112</v>
      </c>
      <c r="M13" s="6">
        <f>'Monthly Forecast'!AH12</f>
        <v>162059</v>
      </c>
      <c r="N13" s="6">
        <f>'Monthly Forecast'!AI12</f>
        <v>162229</v>
      </c>
      <c r="O13" s="6">
        <f>'Monthly Forecast'!AJ12</f>
        <v>162136</v>
      </c>
      <c r="P13" s="6">
        <f>ROUND((SUM(D13:O13)),0)</f>
        <v>1925523</v>
      </c>
      <c r="Q13" s="6">
        <f>P13*C13</f>
        <v>37162593.899999999</v>
      </c>
      <c r="S13" s="158"/>
      <c r="T13" s="99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71"/>
      <c r="BM13" s="71"/>
      <c r="BN13" s="71"/>
      <c r="BO13" s="71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</row>
    <row r="14" spans="1:91">
      <c r="A14" s="4">
        <v>3</v>
      </c>
      <c r="B14" s="2" t="s">
        <v>23</v>
      </c>
      <c r="C14" s="13">
        <f>'Rate Design'!G23</f>
        <v>1.5483</v>
      </c>
      <c r="D14" s="6">
        <f>'Monthly Forecast'!Y13</f>
        <v>882026.12686111452</v>
      </c>
      <c r="E14" s="6">
        <f>'Monthly Forecast'!Z13</f>
        <v>434614.2793255627</v>
      </c>
      <c r="F14" s="6">
        <f>'Monthly Forecast'!AA13</f>
        <v>184548.5338202024</v>
      </c>
      <c r="G14" s="6">
        <f>'Monthly Forecast'!AB13</f>
        <v>153941.29715873633</v>
      </c>
      <c r="H14" s="6">
        <f>'Monthly Forecast'!AC13</f>
        <v>153731.98374126368</v>
      </c>
      <c r="I14" s="6">
        <f>'Monthly Forecast'!AD13</f>
        <v>156728.49049712287</v>
      </c>
      <c r="J14" s="6">
        <f>'Monthly Forecast'!AE13</f>
        <v>299635.17222123418</v>
      </c>
      <c r="K14" s="6">
        <f>'Monthly Forecast'!AF13</f>
        <v>904852.21625445888</v>
      </c>
      <c r="L14" s="6">
        <f>'Monthly Forecast'!AG13</f>
        <v>1526317.6675882081</v>
      </c>
      <c r="M14" s="6">
        <f>'Monthly Forecast'!AH13</f>
        <v>1847868.6072768497</v>
      </c>
      <c r="N14" s="6">
        <f>'Monthly Forecast'!AI13</f>
        <v>2003113.4276887493</v>
      </c>
      <c r="O14" s="6">
        <f>'Monthly Forecast'!AJ13</f>
        <v>1391215.0170340042</v>
      </c>
      <c r="P14" s="6">
        <f>SUM(D14:O14)</f>
        <v>9938592.8194675054</v>
      </c>
      <c r="Q14" s="6">
        <f>P14*C14</f>
        <v>15387923.262381539</v>
      </c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</row>
    <row r="15" spans="1:91">
      <c r="A15" s="4">
        <v>4</v>
      </c>
      <c r="B15" s="2" t="s">
        <v>24</v>
      </c>
      <c r="C15" s="13">
        <f>'Rate Design'!G24</f>
        <v>1.0762</v>
      </c>
      <c r="D15" s="6">
        <f>'Monthly Forecast'!Y14</f>
        <v>0</v>
      </c>
      <c r="E15" s="6">
        <f>'Monthly Forecast'!Z14</f>
        <v>0</v>
      </c>
      <c r="F15" s="6">
        <f>'Monthly Forecast'!AA14</f>
        <v>0</v>
      </c>
      <c r="G15" s="6">
        <f>'Monthly Forecast'!AB14</f>
        <v>0</v>
      </c>
      <c r="H15" s="6">
        <f>'Monthly Forecast'!AC14</f>
        <v>0</v>
      </c>
      <c r="I15" s="6">
        <f>'Monthly Forecast'!AD14</f>
        <v>0</v>
      </c>
      <c r="J15" s="6">
        <f>'Monthly Forecast'!AE14</f>
        <v>0</v>
      </c>
      <c r="K15" s="6">
        <f>'Monthly Forecast'!AF14</f>
        <v>0</v>
      </c>
      <c r="L15" s="6">
        <f>'Monthly Forecast'!AG14</f>
        <v>0</v>
      </c>
      <c r="M15" s="6">
        <f>'Monthly Forecast'!AH14</f>
        <v>0</v>
      </c>
      <c r="N15" s="6">
        <f>'Monthly Forecast'!AI14</f>
        <v>0</v>
      </c>
      <c r="O15" s="6">
        <f>'Monthly Forecast'!AJ14</f>
        <v>0</v>
      </c>
      <c r="P15" s="6">
        <f>SUM(D15:O15)</f>
        <v>0</v>
      </c>
      <c r="Q15" s="6">
        <f>P15*C15</f>
        <v>0</v>
      </c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</row>
    <row r="16" spans="1:91">
      <c r="A16" s="4">
        <v>5</v>
      </c>
      <c r="B16" s="2" t="s">
        <v>55</v>
      </c>
      <c r="C16" s="13">
        <f>'Rate Design'!G25</f>
        <v>0.88880000000000003</v>
      </c>
      <c r="D16" s="6">
        <f>'Monthly Forecast'!Y15</f>
        <v>0</v>
      </c>
      <c r="E16" s="6">
        <f>'Monthly Forecast'!Z15</f>
        <v>0</v>
      </c>
      <c r="F16" s="6">
        <f>'Monthly Forecast'!AA15</f>
        <v>0</v>
      </c>
      <c r="G16" s="6">
        <f>'Monthly Forecast'!AB15</f>
        <v>0</v>
      </c>
      <c r="H16" s="6">
        <f>'Monthly Forecast'!AC15</f>
        <v>0</v>
      </c>
      <c r="I16" s="6">
        <f>'Monthly Forecast'!AD15</f>
        <v>0</v>
      </c>
      <c r="J16" s="6">
        <f>'Monthly Forecast'!AE15</f>
        <v>0</v>
      </c>
      <c r="K16" s="6">
        <f>'Monthly Forecast'!AF15</f>
        <v>0</v>
      </c>
      <c r="L16" s="6">
        <f>'Monthly Forecast'!AG15</f>
        <v>0</v>
      </c>
      <c r="M16" s="6">
        <f>'Monthly Forecast'!AH15</f>
        <v>0</v>
      </c>
      <c r="N16" s="6">
        <f>'Monthly Forecast'!AI15</f>
        <v>0</v>
      </c>
      <c r="O16" s="6">
        <f>'Monthly Forecast'!AJ15</f>
        <v>0</v>
      </c>
      <c r="P16" s="6">
        <f>SUM(D16:O16)</f>
        <v>0</v>
      </c>
      <c r="Q16" s="6">
        <f>P16*C16</f>
        <v>0</v>
      </c>
      <c r="S16" s="98"/>
      <c r="T16" s="98"/>
      <c r="U16" s="98"/>
      <c r="V16" s="99">
        <f>'Summary of Rates'!D11</f>
        <v>19.3</v>
      </c>
      <c r="W16" s="99">
        <f>'Summary of Rates'!E11</f>
        <v>25</v>
      </c>
      <c r="X16" s="98"/>
      <c r="Y16" s="438">
        <f>V16+U17*(V17+V18)</f>
        <v>48.358229818619755</v>
      </c>
      <c r="Z16" s="438">
        <f>W16+U17*(W17+W18)</f>
        <v>57.912840289426036</v>
      </c>
      <c r="AA16" s="430">
        <f>(Z16-Y16)/Y16</f>
        <v>0.1975798226412207</v>
      </c>
      <c r="AB16" s="98"/>
      <c r="AC16" s="98"/>
      <c r="AD16" s="98"/>
      <c r="AE16" s="98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</row>
    <row r="17" spans="1:27">
      <c r="A17" s="4">
        <v>6</v>
      </c>
      <c r="B17" s="21" t="s">
        <v>53</v>
      </c>
      <c r="C17" s="21"/>
      <c r="D17" s="20">
        <f t="shared" ref="D17:P17" si="1">D14+D15+D16</f>
        <v>882026.12686111452</v>
      </c>
      <c r="E17" s="20">
        <f t="shared" si="1"/>
        <v>434614.2793255627</v>
      </c>
      <c r="F17" s="20">
        <f t="shared" si="1"/>
        <v>184548.5338202024</v>
      </c>
      <c r="G17" s="20">
        <f t="shared" si="1"/>
        <v>153941.29715873633</v>
      </c>
      <c r="H17" s="20">
        <f t="shared" si="1"/>
        <v>153731.98374126368</v>
      </c>
      <c r="I17" s="20">
        <f t="shared" si="1"/>
        <v>156728.49049712287</v>
      </c>
      <c r="J17" s="20">
        <f t="shared" si="1"/>
        <v>299635.17222123418</v>
      </c>
      <c r="K17" s="20">
        <f t="shared" si="1"/>
        <v>904852.21625445888</v>
      </c>
      <c r="L17" s="20">
        <f t="shared" si="1"/>
        <v>1526317.6675882081</v>
      </c>
      <c r="M17" s="20">
        <f t="shared" si="1"/>
        <v>1847868.6072768497</v>
      </c>
      <c r="N17" s="20">
        <f t="shared" si="1"/>
        <v>2003113.4276887493</v>
      </c>
      <c r="O17" s="20">
        <f t="shared" si="1"/>
        <v>1391215.0170340042</v>
      </c>
      <c r="P17" s="20">
        <f t="shared" si="1"/>
        <v>9938592.8194675054</v>
      </c>
      <c r="Q17" s="20">
        <f>SUM(Q13:Q16)</f>
        <v>52550517.162381537</v>
      </c>
      <c r="R17" s="29"/>
      <c r="S17" s="98"/>
      <c r="T17" s="98"/>
      <c r="U17" s="493">
        <f>P17/(P13)</f>
        <v>5.1615030407154343</v>
      </c>
      <c r="V17" s="494">
        <f>'Summary of Rates'!D23</f>
        <v>1.5483</v>
      </c>
      <c r="W17" s="494">
        <f>'Summary of Rates'!E23</f>
        <v>2.2951000000000001</v>
      </c>
      <c r="X17" s="98"/>
      <c r="Y17" s="98"/>
      <c r="Z17" s="98"/>
      <c r="AA17" s="98"/>
    </row>
    <row r="18" spans="1:27">
      <c r="A18" s="4">
        <v>7</v>
      </c>
      <c r="B18" s="2" t="s">
        <v>196</v>
      </c>
      <c r="D18" s="11">
        <f>'Monthly Forecast'!Y17</f>
        <v>4.5812916609737586</v>
      </c>
      <c r="E18" s="11">
        <f>'Monthly Forecast'!Z17</f>
        <v>4.9331682240840156</v>
      </c>
      <c r="F18" s="11">
        <f>'Monthly Forecast'!AA17</f>
        <v>4.9331682240840156</v>
      </c>
      <c r="G18" s="11">
        <f>'Monthly Forecast'!AB17</f>
        <v>4.9331682240840156</v>
      </c>
      <c r="H18" s="11">
        <f>'Monthly Forecast'!AC17</f>
        <v>5.2989478814284547</v>
      </c>
      <c r="I18" s="11">
        <f>'Monthly Forecast'!AD17</f>
        <v>5.2989478814284547</v>
      </c>
      <c r="J18" s="11">
        <f>'Monthly Forecast'!AE17</f>
        <v>5.2989478814284547</v>
      </c>
      <c r="K18" s="11">
        <f>'Monthly Forecast'!AF17</f>
        <v>5.329817872818098</v>
      </c>
      <c r="L18" s="11">
        <f>'Monthly Forecast'!AG17</f>
        <v>5.329817872818098</v>
      </c>
      <c r="M18" s="11">
        <f>'Monthly Forecast'!AH17</f>
        <v>5.329817872818098</v>
      </c>
      <c r="N18" s="11">
        <f>'Monthly Forecast'!AI17</f>
        <v>4.8926337200932446</v>
      </c>
      <c r="O18" s="11">
        <f>'Monthly Forecast'!AJ17</f>
        <v>4.8926337200932446</v>
      </c>
      <c r="P18" s="11"/>
      <c r="Q18" s="11"/>
      <c r="S18" s="98"/>
      <c r="T18" s="98"/>
      <c r="U18" s="98"/>
      <c r="V18" s="494">
        <f>'Monthly Forecast'!Q17</f>
        <v>4.0815000000000001</v>
      </c>
      <c r="W18" s="494">
        <f>V18</f>
        <v>4.0815000000000001</v>
      </c>
      <c r="X18" s="98"/>
      <c r="Y18" s="98"/>
      <c r="Z18" s="98"/>
      <c r="AA18" s="98"/>
    </row>
    <row r="19" spans="1:27">
      <c r="A19" s="4">
        <v>8</v>
      </c>
      <c r="B19" s="2" t="s">
        <v>188</v>
      </c>
      <c r="D19" s="3">
        <f t="shared" ref="D19:O19" si="2">D18*D17</f>
        <v>4040818.9397498067</v>
      </c>
      <c r="E19" s="3">
        <f t="shared" si="2"/>
        <v>2144025.3525020406</v>
      </c>
      <c r="F19" s="3">
        <f t="shared" si="2"/>
        <v>910408.96284311672</v>
      </c>
      <c r="G19" s="3">
        <f t="shared" si="2"/>
        <v>759418.31551775301</v>
      </c>
      <c r="H19" s="3">
        <f t="shared" si="2"/>
        <v>814617.76955356286</v>
      </c>
      <c r="I19" s="3">
        <f t="shared" si="2"/>
        <v>830496.10267920897</v>
      </c>
      <c r="J19" s="3">
        <f t="shared" si="2"/>
        <v>1587751.161043159</v>
      </c>
      <c r="K19" s="3">
        <f t="shared" si="2"/>
        <v>4822697.5144520821</v>
      </c>
      <c r="L19" s="3">
        <f t="shared" si="2"/>
        <v>8134995.1843096642</v>
      </c>
      <c r="M19" s="3">
        <f t="shared" si="2"/>
        <v>9848803.1296836399</v>
      </c>
      <c r="N19" s="3">
        <f t="shared" si="2"/>
        <v>9800500.3014815357</v>
      </c>
      <c r="O19" s="3">
        <f t="shared" si="2"/>
        <v>6806705.5042406665</v>
      </c>
      <c r="P19" s="3">
        <f>SUM(D19:O19)</f>
        <v>50501238.238056242</v>
      </c>
      <c r="Q19" s="3"/>
      <c r="S19" s="98"/>
      <c r="T19" s="98"/>
      <c r="U19" s="98"/>
      <c r="V19" s="98"/>
      <c r="W19" s="98"/>
      <c r="X19" s="98"/>
      <c r="Y19" s="98"/>
      <c r="Z19" s="98"/>
      <c r="AA19" s="98"/>
    </row>
    <row r="20" spans="1:27">
      <c r="A20" s="4">
        <v>9</v>
      </c>
      <c r="C20" s="6"/>
      <c r="D20" s="29"/>
      <c r="P20" s="6"/>
      <c r="Q20" s="6"/>
      <c r="S20" s="98"/>
      <c r="T20" s="98"/>
      <c r="U20" s="98"/>
      <c r="V20" s="98"/>
      <c r="W20" s="98"/>
      <c r="X20" s="98"/>
      <c r="Y20" s="98"/>
      <c r="Z20" s="98"/>
      <c r="AA20" s="98"/>
    </row>
    <row r="21" spans="1:27">
      <c r="A21" s="4">
        <v>10</v>
      </c>
      <c r="B21" s="23" t="s">
        <v>30</v>
      </c>
      <c r="D21" s="50">
        <f t="shared" ref="D21:O21" si="3">D22*$C$22+D23*$C$23+D24*$C$24+D25*$C$25</f>
        <v>1993206.7256141701</v>
      </c>
      <c r="E21" s="50">
        <f t="shared" si="3"/>
        <v>1654025.0975457665</v>
      </c>
      <c r="F21" s="50">
        <f t="shared" si="3"/>
        <v>1450975.2826639945</v>
      </c>
      <c r="G21" s="50">
        <f t="shared" si="3"/>
        <v>1405636.3299546661</v>
      </c>
      <c r="H21" s="50">
        <f t="shared" si="3"/>
        <v>1403551.1742040343</v>
      </c>
      <c r="I21" s="50">
        <f t="shared" si="3"/>
        <v>1386296.456806055</v>
      </c>
      <c r="J21" s="50">
        <f t="shared" si="3"/>
        <v>1487571.2048142287</v>
      </c>
      <c r="K21" s="50">
        <f t="shared" si="3"/>
        <v>1954908.5839999609</v>
      </c>
      <c r="L21" s="50">
        <f t="shared" si="3"/>
        <v>2410511.3437672909</v>
      </c>
      <c r="M21" s="50">
        <f t="shared" si="3"/>
        <v>2646438.0113482573</v>
      </c>
      <c r="N21" s="50">
        <f t="shared" si="3"/>
        <v>2757769.6389602222</v>
      </c>
      <c r="O21" s="50">
        <f t="shared" si="3"/>
        <v>2349469.0499139586</v>
      </c>
      <c r="P21" s="50">
        <f>SUM(D21:O21)</f>
        <v>22900358.899592608</v>
      </c>
      <c r="Q21" s="51"/>
      <c r="S21" s="99">
        <f>(P21+P28)/P22</f>
        <v>232.78163452960487</v>
      </c>
      <c r="T21" s="22"/>
      <c r="U21" s="98"/>
      <c r="V21" s="98"/>
      <c r="W21" s="98"/>
      <c r="X21" s="98"/>
      <c r="Y21" s="98"/>
      <c r="Z21" s="98"/>
      <c r="AA21" s="98"/>
    </row>
    <row r="22" spans="1:27">
      <c r="A22" s="4">
        <v>11</v>
      </c>
      <c r="B22" s="2" t="s">
        <v>22</v>
      </c>
      <c r="C22" s="44">
        <f>'Rate Design'!G13</f>
        <v>66</v>
      </c>
      <c r="D22" s="6">
        <f>'Monthly Forecast'!Y21</f>
        <v>18884</v>
      </c>
      <c r="E22" s="6">
        <f>'Monthly Forecast'!Z21</f>
        <v>18586</v>
      </c>
      <c r="F22" s="6">
        <f>'Monthly Forecast'!AA21</f>
        <v>18217</v>
      </c>
      <c r="G22" s="6">
        <f>'Monthly Forecast'!AB21</f>
        <v>17906</v>
      </c>
      <c r="H22" s="6">
        <f>'Monthly Forecast'!AC21</f>
        <v>17852</v>
      </c>
      <c r="I22" s="6">
        <f>'Monthly Forecast'!AD21</f>
        <v>17731</v>
      </c>
      <c r="J22" s="6">
        <f>'Monthly Forecast'!AE21</f>
        <v>17935</v>
      </c>
      <c r="K22" s="6">
        <f>'Monthly Forecast'!AF21</f>
        <v>18360</v>
      </c>
      <c r="L22" s="6">
        <f>'Monthly Forecast'!AG21</f>
        <v>18636</v>
      </c>
      <c r="M22" s="6">
        <f>'Monthly Forecast'!AH21</f>
        <v>18899</v>
      </c>
      <c r="N22" s="6">
        <f>'Monthly Forecast'!AI21</f>
        <v>18881</v>
      </c>
      <c r="O22" s="6">
        <f>'Monthly Forecast'!AJ21</f>
        <v>18894</v>
      </c>
      <c r="P22" s="6">
        <f>ROUND((SUM(D22:O22)),0)</f>
        <v>220781</v>
      </c>
      <c r="Q22" s="6">
        <f>P22*C22</f>
        <v>14571546</v>
      </c>
      <c r="S22" s="98"/>
      <c r="T22" s="98"/>
      <c r="U22" s="99"/>
      <c r="V22" s="98"/>
      <c r="W22" s="98"/>
      <c r="X22" s="98"/>
      <c r="Y22" s="98"/>
      <c r="Z22" s="98"/>
      <c r="AA22" s="98"/>
    </row>
    <row r="23" spans="1:27">
      <c r="A23" s="4">
        <v>12</v>
      </c>
      <c r="B23" s="2" t="s">
        <v>23</v>
      </c>
      <c r="C23" s="13">
        <f>C14</f>
        <v>1.5483</v>
      </c>
      <c r="D23" s="6">
        <f>'Monthly Forecast'!Y22</f>
        <v>450438.39086677105</v>
      </c>
      <c r="E23" s="6">
        <f>'Monthly Forecast'!Z22</f>
        <v>256777.33183943888</v>
      </c>
      <c r="F23" s="6">
        <f>'Monthly Forecast'!AA22</f>
        <v>147122.54030253537</v>
      </c>
      <c r="G23" s="6">
        <f>'Monthly Forecast'!AB22</f>
        <v>130646.31892965757</v>
      </c>
      <c r="H23" s="6">
        <f>'Monthly Forecast'!AC22</f>
        <v>134814.39468582821</v>
      </c>
      <c r="I23" s="6">
        <f>'Monthly Forecast'!AD22</f>
        <v>113316.03222846896</v>
      </c>
      <c r="J23" s="6">
        <f>'Monthly Forecast'!AE22</f>
        <v>149214.90200769715</v>
      </c>
      <c r="K23" s="6">
        <f>'Monthly Forecast'!AF22</f>
        <v>437071.41059518291</v>
      </c>
      <c r="L23" s="6">
        <f>'Monthly Forecast'!AG22</f>
        <v>697238.14561079466</v>
      </c>
      <c r="M23" s="6">
        <f>'Monthly Forecast'!AH22</f>
        <v>802225.24254819378</v>
      </c>
      <c r="N23" s="6">
        <f>'Monthly Forecast'!AI22</f>
        <v>879856.95446737448</v>
      </c>
      <c r="O23" s="6">
        <f>'Monthly Forecast'!AJ22</f>
        <v>660855.73601369164</v>
      </c>
      <c r="P23" s="6">
        <f>SUM(D23:O23)</f>
        <v>4859577.4000956351</v>
      </c>
      <c r="Q23" s="6">
        <f>P23*C23</f>
        <v>7524083.6885680715</v>
      </c>
      <c r="S23" s="98"/>
      <c r="T23" s="98"/>
      <c r="U23" s="98"/>
      <c r="V23" s="98"/>
      <c r="W23" s="98"/>
      <c r="X23" s="98"/>
      <c r="Y23" s="98"/>
      <c r="Z23" s="98"/>
      <c r="AA23" s="98"/>
    </row>
    <row r="24" spans="1:27">
      <c r="A24" s="4">
        <v>13</v>
      </c>
      <c r="B24" s="2" t="s">
        <v>24</v>
      </c>
      <c r="C24" s="13">
        <f>C15</f>
        <v>1.0762</v>
      </c>
      <c r="D24" s="6">
        <f>'Monthly Forecast'!Y23</f>
        <v>45947.746734016335</v>
      </c>
      <c r="E24" s="6">
        <f>'Monthly Forecast'!Z23</f>
        <v>27672.137761348546</v>
      </c>
      <c r="F24" s="6">
        <f>'Monthly Forecast'!AA23</f>
        <v>19386.223298252091</v>
      </c>
      <c r="G24" s="6">
        <f>'Monthly Forecast'!AB23</f>
        <v>20034.040471917302</v>
      </c>
      <c r="H24" s="6">
        <f>'Monthly Forecast'!AC23</f>
        <v>15411.677115746692</v>
      </c>
      <c r="I24" s="6">
        <f>'Monthly Forecast'!AD23</f>
        <v>37728.344273105904</v>
      </c>
      <c r="J24" s="6">
        <f>'Monthly Forecast'!AE23</f>
        <v>67674.941493877734</v>
      </c>
      <c r="K24" s="6">
        <f>'Monthly Forecast'!AF23</f>
        <v>61727.298806392049</v>
      </c>
      <c r="L24" s="6">
        <f>'Monthly Forecast'!AG23</f>
        <v>93850.142090780355</v>
      </c>
      <c r="M24" s="6">
        <f>'Monthly Forecast'!AH23</f>
        <v>145901.01125338109</v>
      </c>
      <c r="N24" s="6">
        <f>'Monthly Forecast'!AI23</f>
        <v>138767.06593420039</v>
      </c>
      <c r="O24" s="6">
        <f>'Monthly Forecast'!AJ23</f>
        <v>73649.984987883261</v>
      </c>
      <c r="P24" s="6">
        <f>SUM(D24:O24)</f>
        <v>747750.61422090186</v>
      </c>
      <c r="Q24" s="6">
        <f>P24*C24</f>
        <v>804729.21102453466</v>
      </c>
      <c r="S24" s="98"/>
      <c r="T24" s="98"/>
      <c r="U24" s="98"/>
      <c r="V24" s="98"/>
      <c r="W24" s="98"/>
      <c r="X24" s="98"/>
      <c r="Y24" s="98"/>
      <c r="Z24" s="98"/>
      <c r="AA24" s="98"/>
    </row>
    <row r="25" spans="1:27">
      <c r="A25" s="4">
        <v>14</v>
      </c>
      <c r="B25" s="2" t="s">
        <v>55</v>
      </c>
      <c r="C25" s="13">
        <f>C16</f>
        <v>0.88880000000000003</v>
      </c>
      <c r="D25" s="6">
        <f>'Monthly Forecast'!Y24</f>
        <v>0</v>
      </c>
      <c r="E25" s="6">
        <f>'Monthly Forecast'!Z24</f>
        <v>0</v>
      </c>
      <c r="F25" s="6">
        <f>'Monthly Forecast'!AA24</f>
        <v>0</v>
      </c>
      <c r="G25" s="6">
        <f>'Monthly Forecast'!AB24</f>
        <v>0</v>
      </c>
      <c r="H25" s="6">
        <f>'Monthly Forecast'!AC24</f>
        <v>0</v>
      </c>
      <c r="I25" s="6">
        <f>'Monthly Forecast'!AD24</f>
        <v>0</v>
      </c>
      <c r="J25" s="6">
        <f>'Monthly Forecast'!AE24</f>
        <v>0</v>
      </c>
      <c r="K25" s="6">
        <f>'Monthly Forecast'!AF24</f>
        <v>0</v>
      </c>
      <c r="L25" s="6">
        <f>'Monthly Forecast'!AG24</f>
        <v>0</v>
      </c>
      <c r="M25" s="6">
        <f>'Monthly Forecast'!AH24</f>
        <v>0</v>
      </c>
      <c r="N25" s="6">
        <f>'Monthly Forecast'!AI24</f>
        <v>0</v>
      </c>
      <c r="O25" s="6">
        <f>'Monthly Forecast'!AJ24</f>
        <v>0</v>
      </c>
      <c r="P25" s="6">
        <f>SUM(D25:O25)</f>
        <v>0</v>
      </c>
      <c r="Q25" s="6">
        <f>P25*C25</f>
        <v>0</v>
      </c>
      <c r="S25" s="98"/>
      <c r="T25" s="98"/>
      <c r="U25" s="98"/>
      <c r="V25" s="99">
        <f>'Summary of Rates'!D12</f>
        <v>66</v>
      </c>
      <c r="W25" s="99">
        <f>'Summary of Rates'!E12</f>
        <v>75</v>
      </c>
      <c r="X25" s="98"/>
      <c r="Y25" s="438">
        <f>V25+U26*(V26+V27)</f>
        <v>208.98393093155318</v>
      </c>
      <c r="Z25" s="438">
        <f>W25+U26*(W26+W27)</f>
        <v>236.95092791540407</v>
      </c>
      <c r="AA25" s="430">
        <f>(Z25-Y25)/Y25</f>
        <v>0.13382367179709476</v>
      </c>
    </row>
    <row r="26" spans="1:27">
      <c r="A26" s="4">
        <v>15</v>
      </c>
      <c r="B26" s="21" t="s">
        <v>53</v>
      </c>
      <c r="C26" s="21"/>
      <c r="D26" s="20">
        <f t="shared" ref="D26:P26" si="4">D23+D24+D25</f>
        <v>496386.13760078739</v>
      </c>
      <c r="E26" s="20">
        <f t="shared" si="4"/>
        <v>284449.46960078744</v>
      </c>
      <c r="F26" s="20">
        <f t="shared" si="4"/>
        <v>166508.76360078747</v>
      </c>
      <c r="G26" s="20">
        <f t="shared" si="4"/>
        <v>150680.35940157488</v>
      </c>
      <c r="H26" s="20">
        <f t="shared" si="4"/>
        <v>150226.0718015749</v>
      </c>
      <c r="I26" s="20">
        <f t="shared" si="4"/>
        <v>151044.37650157488</v>
      </c>
      <c r="J26" s="20">
        <f t="shared" si="4"/>
        <v>216889.84350157488</v>
      </c>
      <c r="K26" s="20">
        <f t="shared" si="4"/>
        <v>498798.70940157498</v>
      </c>
      <c r="L26" s="20">
        <f t="shared" si="4"/>
        <v>791088.28770157497</v>
      </c>
      <c r="M26" s="20">
        <f t="shared" si="4"/>
        <v>948126.25380157493</v>
      </c>
      <c r="N26" s="20">
        <f t="shared" si="4"/>
        <v>1018624.0204015749</v>
      </c>
      <c r="O26" s="20">
        <f t="shared" si="4"/>
        <v>734505.72100157489</v>
      </c>
      <c r="P26" s="20">
        <f t="shared" si="4"/>
        <v>5607328.0143165365</v>
      </c>
      <c r="Q26" s="20">
        <f>SUM(Q22:Q25)</f>
        <v>22900358.899592604</v>
      </c>
      <c r="S26" s="98"/>
      <c r="T26" s="98"/>
      <c r="U26" s="493">
        <f>P26/(P22)</f>
        <v>25.397692801085856</v>
      </c>
      <c r="V26" s="494">
        <f>V17</f>
        <v>1.5483</v>
      </c>
      <c r="W26" s="494">
        <f>W17</f>
        <v>2.2951000000000001</v>
      </c>
      <c r="X26" s="98"/>
      <c r="Y26" s="98"/>
      <c r="Z26" s="98"/>
      <c r="AA26" s="98"/>
    </row>
    <row r="27" spans="1:27">
      <c r="A27" s="4">
        <v>16</v>
      </c>
      <c r="B27" s="2" t="s">
        <v>196</v>
      </c>
      <c r="D27" s="11">
        <f>'Monthly Forecast'!Y26</f>
        <v>4.5812916609737586</v>
      </c>
      <c r="E27" s="11">
        <f>'Monthly Forecast'!Z26</f>
        <v>4.9331682240840156</v>
      </c>
      <c r="F27" s="11">
        <f>'Monthly Forecast'!AA26</f>
        <v>4.9331682240840156</v>
      </c>
      <c r="G27" s="11">
        <f>'Monthly Forecast'!AB26</f>
        <v>4.9331682240840156</v>
      </c>
      <c r="H27" s="11">
        <f>'Monthly Forecast'!AC26</f>
        <v>5.2989478814284547</v>
      </c>
      <c r="I27" s="11">
        <f>'Monthly Forecast'!AD26</f>
        <v>5.2989478814284547</v>
      </c>
      <c r="J27" s="11">
        <f>'Monthly Forecast'!AE26</f>
        <v>5.2989478814284547</v>
      </c>
      <c r="K27" s="11">
        <f>'Monthly Forecast'!AF26</f>
        <v>5.329817872818098</v>
      </c>
      <c r="L27" s="11">
        <f>'Monthly Forecast'!AG26</f>
        <v>5.329817872818098</v>
      </c>
      <c r="M27" s="11">
        <f>'Monthly Forecast'!AH26</f>
        <v>5.329817872818098</v>
      </c>
      <c r="N27" s="11">
        <f>'Monthly Forecast'!AI26</f>
        <v>4.8926337200932446</v>
      </c>
      <c r="O27" s="11">
        <f>'Monthly Forecast'!AJ26</f>
        <v>4.8926337200932446</v>
      </c>
      <c r="P27" s="11"/>
      <c r="Q27" s="11"/>
      <c r="S27" s="98"/>
      <c r="T27" s="98"/>
      <c r="U27" s="98"/>
      <c r="V27" s="494">
        <f>V18</f>
        <v>4.0815000000000001</v>
      </c>
      <c r="W27" s="494">
        <f>V27</f>
        <v>4.0815000000000001</v>
      </c>
      <c r="X27" s="98"/>
      <c r="Y27" s="98"/>
      <c r="Z27" s="98"/>
      <c r="AA27" s="98"/>
    </row>
    <row r="28" spans="1:27">
      <c r="A28" s="4">
        <v>17</v>
      </c>
      <c r="B28" s="2" t="s">
        <v>188</v>
      </c>
      <c r="D28" s="3">
        <f t="shared" ref="D28:O28" si="5">D27*D26</f>
        <v>2274089.6728134598</v>
      </c>
      <c r="E28" s="3">
        <f t="shared" si="5"/>
        <v>1403237.0847921567</v>
      </c>
      <c r="F28" s="3">
        <f t="shared" si="5"/>
        <v>821415.74162692192</v>
      </c>
      <c r="G28" s="3">
        <f t="shared" si="5"/>
        <v>743331.56099340832</v>
      </c>
      <c r="H28" s="3">
        <f t="shared" si="5"/>
        <v>796040.12490827427</v>
      </c>
      <c r="I28" s="3">
        <f t="shared" si="5"/>
        <v>800376.27886470209</v>
      </c>
      <c r="J28" s="3">
        <f t="shared" si="5"/>
        <v>1149287.9767260193</v>
      </c>
      <c r="K28" s="3">
        <f t="shared" si="5"/>
        <v>2658506.2763071149</v>
      </c>
      <c r="L28" s="3">
        <f t="shared" si="5"/>
        <v>4216356.4947689194</v>
      </c>
      <c r="M28" s="3">
        <f t="shared" si="5"/>
        <v>5053340.2531997021</v>
      </c>
      <c r="N28" s="3">
        <f t="shared" si="5"/>
        <v>4983754.2303136941</v>
      </c>
      <c r="O28" s="3">
        <f t="shared" si="5"/>
        <v>3593667.4581737062</v>
      </c>
      <c r="P28" s="3">
        <f>SUM(D28:O28)</f>
        <v>28493403.153488085</v>
      </c>
      <c r="Q28" s="3"/>
      <c r="S28" s="98"/>
      <c r="T28" s="98"/>
      <c r="U28" s="98"/>
      <c r="V28" s="98"/>
      <c r="W28" s="98"/>
      <c r="X28" s="98"/>
      <c r="Y28" s="98"/>
      <c r="Z28" s="98"/>
      <c r="AA28" s="98"/>
    </row>
    <row r="29" spans="1:27">
      <c r="A29" s="4">
        <v>18</v>
      </c>
      <c r="D29" s="29"/>
      <c r="P29" s="6"/>
      <c r="Q29" s="6"/>
      <c r="S29" s="98"/>
      <c r="T29" s="98"/>
      <c r="U29" s="98"/>
      <c r="V29" s="98"/>
      <c r="W29" s="98"/>
      <c r="X29" s="98"/>
      <c r="Y29" s="98"/>
      <c r="Z29" s="98"/>
      <c r="AA29" s="98"/>
    </row>
    <row r="30" spans="1:27">
      <c r="A30" s="4">
        <v>19</v>
      </c>
      <c r="B30" s="23" t="s">
        <v>54</v>
      </c>
      <c r="C30" s="13"/>
      <c r="D30" s="50">
        <f t="shared" ref="D30:O30" si="6">D31*$C$31+D32*$C$32+D33*$C$33+D34*$C$34</f>
        <v>78935.194497119999</v>
      </c>
      <c r="E30" s="50">
        <f t="shared" si="6"/>
        <v>79593.051280900007</v>
      </c>
      <c r="F30" s="50">
        <f t="shared" si="6"/>
        <v>37876.725161330003</v>
      </c>
      <c r="G30" s="50">
        <f t="shared" si="6"/>
        <v>34476.761266009999</v>
      </c>
      <c r="H30" s="50">
        <f t="shared" si="6"/>
        <v>41537.042030080003</v>
      </c>
      <c r="I30" s="50">
        <f t="shared" si="6"/>
        <v>39382.586922149996</v>
      </c>
      <c r="J30" s="50">
        <f t="shared" si="6"/>
        <v>44235.408455609992</v>
      </c>
      <c r="K30" s="50">
        <f t="shared" si="6"/>
        <v>71836.672925709994</v>
      </c>
      <c r="L30" s="50">
        <f t="shared" si="6"/>
        <v>107820.87914045001</v>
      </c>
      <c r="M30" s="50">
        <f t="shared" si="6"/>
        <v>165804.88306844002</v>
      </c>
      <c r="N30" s="50">
        <f t="shared" si="6"/>
        <v>156328.97685337003</v>
      </c>
      <c r="O30" s="50">
        <f t="shared" si="6"/>
        <v>103640.03743631</v>
      </c>
      <c r="P30" s="50">
        <f>SUM(D30:O30)</f>
        <v>961468.21903747995</v>
      </c>
      <c r="Q30" s="51"/>
      <c r="S30" s="99">
        <f>(P30+P37)/P31</f>
        <v>1628.8921401577149</v>
      </c>
      <c r="T30" s="98"/>
      <c r="U30" s="98"/>
      <c r="V30" s="98"/>
      <c r="W30" s="98"/>
      <c r="X30" s="98"/>
      <c r="Y30" s="98"/>
      <c r="Z30" s="98"/>
      <c r="AA30" s="98"/>
    </row>
    <row r="31" spans="1:27">
      <c r="A31" s="4">
        <v>20</v>
      </c>
      <c r="B31" s="2" t="s">
        <v>22</v>
      </c>
      <c r="C31" s="11">
        <f>C22</f>
        <v>66</v>
      </c>
      <c r="D31" s="6">
        <f>'Monthly Forecast'!Y30</f>
        <v>213</v>
      </c>
      <c r="E31" s="6">
        <f>'Monthly Forecast'!Z30</f>
        <v>212</v>
      </c>
      <c r="F31" s="6">
        <f>'Monthly Forecast'!AA30</f>
        <v>210</v>
      </c>
      <c r="G31" s="6">
        <f>'Monthly Forecast'!AB30</f>
        <v>203</v>
      </c>
      <c r="H31" s="6">
        <f>'Monthly Forecast'!AC30</f>
        <v>215</v>
      </c>
      <c r="I31" s="6">
        <f>'Monthly Forecast'!AD30</f>
        <v>208</v>
      </c>
      <c r="J31" s="6">
        <f>'Monthly Forecast'!AE30</f>
        <v>210</v>
      </c>
      <c r="K31" s="6">
        <f>'Monthly Forecast'!AF30</f>
        <v>213</v>
      </c>
      <c r="L31" s="6">
        <f>'Monthly Forecast'!AG30</f>
        <v>208</v>
      </c>
      <c r="M31" s="6">
        <f>'Monthly Forecast'!AH30</f>
        <v>205</v>
      </c>
      <c r="N31" s="6">
        <f>'Monthly Forecast'!AI30</f>
        <v>212</v>
      </c>
      <c r="O31" s="6">
        <f>'Monthly Forecast'!AJ30</f>
        <v>215</v>
      </c>
      <c r="P31" s="6">
        <f>ROUND((SUM(D31:O31)),0)</f>
        <v>2524</v>
      </c>
      <c r="Q31" s="6">
        <f>P31*C31</f>
        <v>166584</v>
      </c>
      <c r="S31" s="98"/>
      <c r="T31" s="98"/>
      <c r="U31" s="98"/>
      <c r="V31" s="98"/>
      <c r="W31" s="98"/>
      <c r="X31" s="98"/>
      <c r="Y31" s="98"/>
      <c r="Z31" s="98"/>
      <c r="AA31" s="98"/>
    </row>
    <row r="32" spans="1:27">
      <c r="A32" s="4">
        <v>21</v>
      </c>
      <c r="B32" s="2" t="s">
        <v>23</v>
      </c>
      <c r="C32" s="13">
        <f>C23</f>
        <v>1.5483</v>
      </c>
      <c r="D32" s="6">
        <f>'Monthly Forecast'!Y31</f>
        <v>27357.7264</v>
      </c>
      <c r="E32" s="6">
        <f>'Monthly Forecast'!Z31</f>
        <v>16429.903000000002</v>
      </c>
      <c r="F32" s="6">
        <f>'Monthly Forecast'!AA31</f>
        <v>9573.3551000000007</v>
      </c>
      <c r="G32" s="6">
        <f>'Monthly Forecast'!AB31</f>
        <v>8454.1347000000005</v>
      </c>
      <c r="H32" s="6">
        <f>'Monthly Forecast'!AC31</f>
        <v>8648.4575999999997</v>
      </c>
      <c r="I32" s="6">
        <f>'Monthly Forecast'!AD31</f>
        <v>9242.5805</v>
      </c>
      <c r="J32" s="6">
        <f>'Monthly Forecast'!AE31</f>
        <v>10822.866699999995</v>
      </c>
      <c r="K32" s="6">
        <f>'Monthly Forecast'!AF31</f>
        <v>23510.049699999996</v>
      </c>
      <c r="L32" s="6">
        <f>'Monthly Forecast'!AG31</f>
        <v>34112.761500000008</v>
      </c>
      <c r="M32" s="6">
        <f>'Monthly Forecast'!AH31</f>
        <v>43948.126800000005</v>
      </c>
      <c r="N32" s="6">
        <f>'Monthly Forecast'!AI31</f>
        <v>45008.453900000015</v>
      </c>
      <c r="O32" s="6">
        <f>'Monthly Forecast'!AJ31</f>
        <v>34440.155699999996</v>
      </c>
      <c r="P32" s="6">
        <f>SUM(D32:O32)</f>
        <v>271548.57160000002</v>
      </c>
      <c r="Q32" s="6">
        <f>P32*C32</f>
        <v>420438.65340828005</v>
      </c>
      <c r="S32" s="98"/>
      <c r="T32" s="98"/>
      <c r="U32" s="98"/>
      <c r="V32" s="98"/>
      <c r="W32" s="98"/>
      <c r="X32" s="98"/>
      <c r="Y32" s="98"/>
      <c r="Z32" s="98"/>
      <c r="AA32" s="98"/>
    </row>
    <row r="33" spans="1:27">
      <c r="A33" s="4">
        <v>22</v>
      </c>
      <c r="B33" s="2" t="s">
        <v>24</v>
      </c>
      <c r="C33" s="13">
        <f>C24</f>
        <v>1.0762</v>
      </c>
      <c r="D33" s="6">
        <f>'Monthly Forecast'!Y32</f>
        <v>20924.759999999998</v>
      </c>
      <c r="E33" s="6">
        <f>'Monthly Forecast'!Z32</f>
        <v>37318.93</v>
      </c>
      <c r="F33" s="6">
        <f>'Monthly Forecast'!AA32</f>
        <v>8543.2999999999993</v>
      </c>
      <c r="G33" s="6">
        <f>'Monthly Forecast'!AB32</f>
        <v>7423.55</v>
      </c>
      <c r="H33" s="6">
        <f>'Monthly Forecast'!AC32</f>
        <v>12968.44</v>
      </c>
      <c r="I33" s="6">
        <f>'Monthly Forecast'!AD32</f>
        <v>10541.07</v>
      </c>
      <c r="J33" s="6">
        <f>'Monthly Forecast'!AE32</f>
        <v>12654.12</v>
      </c>
      <c r="K33" s="6">
        <f>'Monthly Forecast'!AF32</f>
        <v>19864.396000000001</v>
      </c>
      <c r="L33" s="6">
        <f>'Monthly Forecast'!AG32</f>
        <v>38353.549999999996</v>
      </c>
      <c r="M33" s="6">
        <f>'Monthly Forecast'!AH32</f>
        <v>78266.12</v>
      </c>
      <c r="N33" s="6">
        <f>'Monthly Forecast'!AI32</f>
        <v>67506.399999999994</v>
      </c>
      <c r="O33" s="6">
        <f>'Monthly Forecast'!AJ32</f>
        <v>33568.43</v>
      </c>
      <c r="P33" s="6">
        <f>SUM(D33:O33)</f>
        <v>347933.06599999999</v>
      </c>
      <c r="Q33" s="6">
        <f>P33*C33</f>
        <v>374445.56562920002</v>
      </c>
      <c r="S33" s="98"/>
      <c r="T33" s="98"/>
      <c r="U33" s="98"/>
      <c r="V33" s="98"/>
      <c r="W33" s="98"/>
      <c r="X33" s="98"/>
      <c r="Y33" s="98"/>
      <c r="Z33" s="98"/>
      <c r="AA33" s="98"/>
    </row>
    <row r="34" spans="1:27">
      <c r="A34" s="4">
        <v>23</v>
      </c>
      <c r="B34" s="2" t="s">
        <v>55</v>
      </c>
      <c r="C34" s="13">
        <f>C25</f>
        <v>0.88880000000000003</v>
      </c>
      <c r="D34" s="6">
        <f>'Monthly Forecast'!Y33</f>
        <v>0</v>
      </c>
      <c r="E34" s="6">
        <f>'Monthly Forecast'!Z33</f>
        <v>0</v>
      </c>
      <c r="F34" s="6">
        <f>'Monthly Forecast'!AA33</f>
        <v>0</v>
      </c>
      <c r="G34" s="6">
        <f>'Monthly Forecast'!AB33</f>
        <v>0</v>
      </c>
      <c r="H34" s="6">
        <f>'Monthly Forecast'!AC33</f>
        <v>0</v>
      </c>
      <c r="I34" s="6">
        <f>'Monthly Forecast'!AD33</f>
        <v>0</v>
      </c>
      <c r="J34" s="6">
        <f>'Monthly Forecast'!AE33</f>
        <v>0</v>
      </c>
      <c r="K34" s="6">
        <f>'Monthly Forecast'!AF33</f>
        <v>0</v>
      </c>
      <c r="L34" s="6">
        <f>'Monthly Forecast'!AG33</f>
        <v>0</v>
      </c>
      <c r="M34" s="6">
        <f>'Monthly Forecast'!AH33</f>
        <v>0</v>
      </c>
      <c r="N34" s="6">
        <f>'Monthly Forecast'!AI33</f>
        <v>0</v>
      </c>
      <c r="O34" s="6">
        <f>'Monthly Forecast'!AJ33</f>
        <v>0</v>
      </c>
      <c r="P34" s="6">
        <f>SUM(D34:O34)</f>
        <v>0</v>
      </c>
      <c r="Q34" s="6">
        <f>P34*C34</f>
        <v>0</v>
      </c>
      <c r="S34" s="98"/>
      <c r="T34" s="98"/>
      <c r="U34" s="98"/>
      <c r="V34" s="99">
        <f>'Summary of Rates'!D12</f>
        <v>66</v>
      </c>
      <c r="W34" s="99">
        <f>'Summary of Rates'!E12</f>
        <v>75</v>
      </c>
      <c r="X34" s="98"/>
      <c r="Y34" s="438">
        <f>V34+U35*(V35+V36)</f>
        <v>1447.7582105231697</v>
      </c>
      <c r="Z34" s="438">
        <f>W34+U35*(W35+W36)</f>
        <v>1640.0501625674169</v>
      </c>
      <c r="AA34" s="430">
        <f>(Z34-Y34)/Y34</f>
        <v>0.13282048801143356</v>
      </c>
    </row>
    <row r="35" spans="1:27">
      <c r="A35" s="4">
        <v>24</v>
      </c>
      <c r="B35" s="21" t="s">
        <v>53</v>
      </c>
      <c r="C35" s="21"/>
      <c r="D35" s="20">
        <f t="shared" ref="D35:P35" si="7">D32+D33+D34</f>
        <v>48282.486399999994</v>
      </c>
      <c r="E35" s="20">
        <f t="shared" si="7"/>
        <v>53748.832999999999</v>
      </c>
      <c r="F35" s="20">
        <f t="shared" si="7"/>
        <v>18116.6551</v>
      </c>
      <c r="G35" s="20">
        <f t="shared" si="7"/>
        <v>15877.684700000002</v>
      </c>
      <c r="H35" s="20">
        <f t="shared" si="7"/>
        <v>21616.8976</v>
      </c>
      <c r="I35" s="20">
        <f t="shared" si="7"/>
        <v>19783.6505</v>
      </c>
      <c r="J35" s="20">
        <f t="shared" si="7"/>
        <v>23476.986699999994</v>
      </c>
      <c r="K35" s="20">
        <f t="shared" si="7"/>
        <v>43374.445699999997</v>
      </c>
      <c r="L35" s="20">
        <f t="shared" si="7"/>
        <v>72466.311500000011</v>
      </c>
      <c r="M35" s="20">
        <f t="shared" si="7"/>
        <v>122214.24679999999</v>
      </c>
      <c r="N35" s="20">
        <f t="shared" si="7"/>
        <v>112514.85390000002</v>
      </c>
      <c r="O35" s="20">
        <f t="shared" si="7"/>
        <v>68008.585699999996</v>
      </c>
      <c r="P35" s="20">
        <f t="shared" si="7"/>
        <v>619481.63760000002</v>
      </c>
      <c r="Q35" s="20">
        <f>SUM(Q31:Q34)</f>
        <v>961468.21903748019</v>
      </c>
      <c r="S35" s="98"/>
      <c r="T35" s="98"/>
      <c r="U35" s="493">
        <f>P35/(P31)</f>
        <v>245.43646497622822</v>
      </c>
      <c r="V35" s="494">
        <f>V26</f>
        <v>1.5483</v>
      </c>
      <c r="W35" s="494">
        <f>W26</f>
        <v>2.2951000000000001</v>
      </c>
      <c r="X35" s="98"/>
      <c r="Y35" s="98"/>
      <c r="Z35" s="98"/>
      <c r="AA35" s="98"/>
    </row>
    <row r="36" spans="1:27">
      <c r="A36" s="4">
        <v>25</v>
      </c>
      <c r="B36" s="2" t="s">
        <v>196</v>
      </c>
      <c r="D36" s="11">
        <f>'Monthly Forecast'!Y35</f>
        <v>4.5812916609737586</v>
      </c>
      <c r="E36" s="11">
        <f>'Monthly Forecast'!Z35</f>
        <v>4.9331682240840156</v>
      </c>
      <c r="F36" s="11">
        <f>'Monthly Forecast'!AA35</f>
        <v>4.9331682240840156</v>
      </c>
      <c r="G36" s="11">
        <f>'Monthly Forecast'!AB35</f>
        <v>4.9331682240840156</v>
      </c>
      <c r="H36" s="11">
        <f>'Monthly Forecast'!AC35</f>
        <v>5.2989478814284547</v>
      </c>
      <c r="I36" s="11">
        <f>'Monthly Forecast'!AD35</f>
        <v>5.2989478814284547</v>
      </c>
      <c r="J36" s="11">
        <f>'Monthly Forecast'!AE35</f>
        <v>5.2989478814284547</v>
      </c>
      <c r="K36" s="11">
        <f>'Monthly Forecast'!AF35</f>
        <v>5.329817872818098</v>
      </c>
      <c r="L36" s="11">
        <f>'Monthly Forecast'!AG35</f>
        <v>5.329817872818098</v>
      </c>
      <c r="M36" s="11">
        <f>'Monthly Forecast'!AH35</f>
        <v>5.329817872818098</v>
      </c>
      <c r="N36" s="11">
        <f>'Monthly Forecast'!AI35</f>
        <v>4.8926337200932446</v>
      </c>
      <c r="O36" s="11">
        <f>'Monthly Forecast'!AJ35</f>
        <v>4.8926337200932446</v>
      </c>
      <c r="P36" s="11"/>
      <c r="Q36" s="11"/>
      <c r="S36" s="98"/>
      <c r="T36" s="98"/>
      <c r="U36" s="98"/>
      <c r="V36" s="494">
        <f>V27</f>
        <v>4.0815000000000001</v>
      </c>
      <c r="W36" s="494">
        <f>V36</f>
        <v>4.0815000000000001</v>
      </c>
      <c r="X36" s="98"/>
      <c r="Y36" s="98"/>
      <c r="Z36" s="98"/>
      <c r="AA36" s="98"/>
    </row>
    <row r="37" spans="1:27">
      <c r="A37" s="4">
        <v>26</v>
      </c>
      <c r="B37" s="2" t="s">
        <v>188</v>
      </c>
      <c r="D37" s="3">
        <f t="shared" ref="D37:O37" si="8">D36*D35</f>
        <v>221196.15231539888</v>
      </c>
      <c r="E37" s="3">
        <f t="shared" si="8"/>
        <v>265152.03503719834</v>
      </c>
      <c r="F37" s="3">
        <f t="shared" si="8"/>
        <v>89372.507266009619</v>
      </c>
      <c r="G37" s="3">
        <f t="shared" si="8"/>
        <v>78327.28963406496</v>
      </c>
      <c r="H37" s="3">
        <f t="shared" si="8"/>
        <v>114546.81374057585</v>
      </c>
      <c r="I37" s="3">
        <f t="shared" si="8"/>
        <v>104832.53290389599</v>
      </c>
      <c r="J37" s="3">
        <f t="shared" si="8"/>
        <v>124403.32893628898</v>
      </c>
      <c r="K37" s="3">
        <f t="shared" si="8"/>
        <v>231177.89591543807</v>
      </c>
      <c r="L37" s="3">
        <f t="shared" si="8"/>
        <v>386232.24220990372</v>
      </c>
      <c r="M37" s="3">
        <f t="shared" si="8"/>
        <v>651379.67690764205</v>
      </c>
      <c r="N37" s="3">
        <f t="shared" si="8"/>
        <v>550493.96820250503</v>
      </c>
      <c r="O37" s="3">
        <f t="shared" si="8"/>
        <v>332741.09965167119</v>
      </c>
      <c r="P37" s="3">
        <f>SUM(D37:O37)</f>
        <v>3149855.5427205926</v>
      </c>
      <c r="Q37" s="3"/>
      <c r="S37" s="98"/>
      <c r="T37" s="98"/>
      <c r="U37" s="98"/>
      <c r="V37" s="98"/>
      <c r="W37" s="98"/>
      <c r="X37" s="98"/>
      <c r="Y37" s="98"/>
      <c r="Z37" s="98"/>
      <c r="AA37" s="98"/>
    </row>
    <row r="38" spans="1:27">
      <c r="A38" s="4">
        <v>27</v>
      </c>
      <c r="D38" s="29"/>
      <c r="S38" s="98"/>
      <c r="T38" s="98"/>
      <c r="U38" s="98"/>
      <c r="V38" s="98"/>
      <c r="W38" s="98"/>
      <c r="X38" s="98"/>
      <c r="Y38" s="98"/>
      <c r="Z38" s="98"/>
      <c r="AA38" s="98"/>
    </row>
    <row r="39" spans="1:27">
      <c r="A39" s="4">
        <v>28</v>
      </c>
      <c r="B39" s="23" t="s">
        <v>56</v>
      </c>
      <c r="C39" s="13"/>
      <c r="D39" s="50">
        <f>D40*$C$40+D41*$C$41+D42*$C$42+D43*$C$43</f>
        <v>219639.18656260933</v>
      </c>
      <c r="E39" s="50">
        <f t="shared" ref="E39:O39" si="9">E40*$C$40+E41*$C$41+E42*$C$42+E43*$C$43</f>
        <v>167990.47939980321</v>
      </c>
      <c r="F39" s="50">
        <f t="shared" si="9"/>
        <v>136710.06063752872</v>
      </c>
      <c r="G39" s="50">
        <f t="shared" si="9"/>
        <v>134369.27134303504</v>
      </c>
      <c r="H39" s="50">
        <f t="shared" si="9"/>
        <v>134662.91799551688</v>
      </c>
      <c r="I39" s="50">
        <f t="shared" si="9"/>
        <v>136292.81380518057</v>
      </c>
      <c r="J39" s="50">
        <f t="shared" si="9"/>
        <v>152710.23816017646</v>
      </c>
      <c r="K39" s="50">
        <f t="shared" si="9"/>
        <v>222737.48146009745</v>
      </c>
      <c r="L39" s="50">
        <f t="shared" si="9"/>
        <v>294189.55237250286</v>
      </c>
      <c r="M39" s="50">
        <f t="shared" si="9"/>
        <v>326569.95819705608</v>
      </c>
      <c r="N39" s="50">
        <f t="shared" si="9"/>
        <v>341394.85353320831</v>
      </c>
      <c r="O39" s="50">
        <f t="shared" si="9"/>
        <v>277957.98794074007</v>
      </c>
      <c r="P39" s="50">
        <f>SUM(D39:O39)</f>
        <v>2545224.8014074555</v>
      </c>
      <c r="Q39" s="51"/>
      <c r="S39" s="99">
        <f>(P39+P46)/P40</f>
        <v>399.51765073753563</v>
      </c>
      <c r="T39" s="98"/>
      <c r="U39" s="98"/>
      <c r="V39" s="98"/>
      <c r="W39" s="98"/>
      <c r="X39" s="98"/>
      <c r="Y39" s="98"/>
      <c r="Z39" s="98"/>
      <c r="AA39" s="98"/>
    </row>
    <row r="40" spans="1:27">
      <c r="A40" s="4">
        <v>29</v>
      </c>
      <c r="B40" s="2" t="s">
        <v>22</v>
      </c>
      <c r="C40" s="11">
        <f>C31</f>
        <v>66</v>
      </c>
      <c r="D40" s="6">
        <f>'Monthly Forecast'!Y39</f>
        <v>1504</v>
      </c>
      <c r="E40" s="6">
        <f>'Monthly Forecast'!Z39</f>
        <v>1513</v>
      </c>
      <c r="F40" s="6">
        <f>'Monthly Forecast'!AA39</f>
        <v>1483</v>
      </c>
      <c r="G40" s="6">
        <f>'Monthly Forecast'!AB39</f>
        <v>1490</v>
      </c>
      <c r="H40" s="6">
        <f>'Monthly Forecast'!AC39</f>
        <v>1493</v>
      </c>
      <c r="I40" s="6">
        <f>'Monthly Forecast'!AD39</f>
        <v>1496</v>
      </c>
      <c r="J40" s="6">
        <f>'Monthly Forecast'!AE39</f>
        <v>1504</v>
      </c>
      <c r="K40" s="6">
        <f>'Monthly Forecast'!AF39</f>
        <v>1502</v>
      </c>
      <c r="L40" s="6">
        <f>'Monthly Forecast'!AG39</f>
        <v>1507</v>
      </c>
      <c r="M40" s="6">
        <f>'Monthly Forecast'!AH39</f>
        <v>1516</v>
      </c>
      <c r="N40" s="6">
        <f>'Monthly Forecast'!AI39</f>
        <v>1503</v>
      </c>
      <c r="O40" s="6">
        <f>'Monthly Forecast'!AJ39</f>
        <v>1507</v>
      </c>
      <c r="P40" s="6">
        <f>ROUND((SUM(D40:O40)),0)</f>
        <v>18018</v>
      </c>
      <c r="Q40" s="6">
        <f>P40*C40</f>
        <v>1189188</v>
      </c>
      <c r="S40" s="98"/>
      <c r="T40" s="98"/>
      <c r="U40" s="98"/>
      <c r="V40" s="98"/>
      <c r="W40" s="98"/>
      <c r="X40" s="98"/>
      <c r="Y40" s="98"/>
      <c r="Z40" s="98"/>
      <c r="AA40" s="98"/>
    </row>
    <row r="41" spans="1:27">
      <c r="A41" s="4">
        <v>30</v>
      </c>
      <c r="B41" s="2" t="s">
        <v>23</v>
      </c>
      <c r="C41" s="13">
        <f>C32</f>
        <v>1.5483</v>
      </c>
      <c r="D41" s="6">
        <f>'Monthly Forecast'!Y40</f>
        <v>72573.374250856432</v>
      </c>
      <c r="E41" s="6">
        <f>'Monthly Forecast'!Z40</f>
        <v>39286.905960354146</v>
      </c>
      <c r="F41" s="6">
        <f>'Monthly Forecast'!AA40</f>
        <v>22475.558414676387</v>
      </c>
      <c r="G41" s="6">
        <f>'Monthly Forecast'!AB40</f>
        <v>21359.171345509516</v>
      </c>
      <c r="H41" s="6">
        <f>'Monthly Forecast'!AC40</f>
        <v>21453.343795799363</v>
      </c>
      <c r="I41" s="6">
        <f>'Monthly Forecast'!AD40</f>
        <v>23642.721399916503</v>
      </c>
      <c r="J41" s="6">
        <f>'Monthly Forecast'!AE40</f>
        <v>31613.699163898465</v>
      </c>
      <c r="K41" s="6">
        <f>'Monthly Forecast'!AF40</f>
        <v>73414.031412576674</v>
      </c>
      <c r="L41" s="6">
        <f>'Monthly Forecast'!AG40</f>
        <v>114685.50792167516</v>
      </c>
      <c r="M41" s="6">
        <f>'Monthly Forecast'!AH40</f>
        <v>124978.36002113133</v>
      </c>
      <c r="N41" s="6">
        <f>'Monthly Forecast'!AI40</f>
        <v>134401.31441577696</v>
      </c>
      <c r="O41" s="6">
        <f>'Monthly Forecast'!AJ40</f>
        <v>105739.11486968872</v>
      </c>
      <c r="P41" s="6">
        <f>SUM(D41:O41)</f>
        <v>785623.10297185974</v>
      </c>
      <c r="Q41" s="6">
        <f>P41*C41</f>
        <v>1216380.2503313303</v>
      </c>
      <c r="S41" s="98"/>
      <c r="T41" s="98"/>
      <c r="U41" s="98"/>
      <c r="V41" s="98"/>
      <c r="W41" s="98"/>
      <c r="X41" s="98"/>
      <c r="Y41" s="98"/>
      <c r="Z41" s="98"/>
      <c r="AA41" s="98"/>
    </row>
    <row r="42" spans="1:27">
      <c r="A42" s="4">
        <v>31</v>
      </c>
      <c r="B42" s="2" t="s">
        <v>24</v>
      </c>
      <c r="C42" s="13">
        <f>C33</f>
        <v>1.0762</v>
      </c>
      <c r="D42" s="6">
        <f>'Monthly Forecast'!Y41</f>
        <v>7442.6976491435726</v>
      </c>
      <c r="E42" s="6">
        <f>'Monthly Forecast'!Z41</f>
        <v>6787.3656396458537</v>
      </c>
      <c r="F42" s="6">
        <f>'Monthly Forecast'!AA41</f>
        <v>3747.5873853236103</v>
      </c>
      <c r="G42" s="6">
        <f>'Monthly Forecast'!AB41</f>
        <v>2749.3647544904838</v>
      </c>
      <c r="H42" s="6">
        <f>'Monthly Forecast'!AC41</f>
        <v>2702.7558042006376</v>
      </c>
      <c r="I42" s="6">
        <f>'Monthly Forecast'!AD41</f>
        <v>883.46800008349476</v>
      </c>
      <c r="J42" s="6">
        <f>'Monthly Forecast'!AE41</f>
        <v>4180.2153361015362</v>
      </c>
      <c r="K42" s="6">
        <f>'Monthly Forecast'!AF41</f>
        <v>9234.8416874233153</v>
      </c>
      <c r="L42" s="6">
        <f>'Monthly Forecast'!AG41</f>
        <v>15944.973478324855</v>
      </c>
      <c r="M42" s="6">
        <f>'Monthly Forecast'!AH41</f>
        <v>30672.703378868671</v>
      </c>
      <c r="N42" s="6">
        <f>'Monthly Forecast'!AI41</f>
        <v>31688.625184223063</v>
      </c>
      <c r="O42" s="6">
        <f>'Monthly Forecast'!AJ41</f>
        <v>13733.614930311276</v>
      </c>
      <c r="P42" s="6">
        <f>SUM(D42:O42)</f>
        <v>129768.21322814038</v>
      </c>
      <c r="Q42" s="6">
        <f>P42*C42</f>
        <v>139656.55107612468</v>
      </c>
      <c r="S42" s="98"/>
      <c r="T42" s="98"/>
      <c r="U42" s="98"/>
      <c r="V42" s="98"/>
      <c r="W42" s="98"/>
      <c r="X42" s="98"/>
      <c r="Y42" s="98"/>
      <c r="Z42" s="98"/>
      <c r="AA42" s="98"/>
    </row>
    <row r="43" spans="1:27">
      <c r="A43" s="4">
        <v>32</v>
      </c>
      <c r="B43" s="2" t="s">
        <v>55</v>
      </c>
      <c r="C43" s="13">
        <f>C34</f>
        <v>0.88880000000000003</v>
      </c>
      <c r="D43" s="6">
        <f>'Monthly Forecast'!Y42</f>
        <v>0</v>
      </c>
      <c r="E43" s="6">
        <f>'Monthly Forecast'!Z42</f>
        <v>0</v>
      </c>
      <c r="F43" s="6">
        <f>'Monthly Forecast'!AA42</f>
        <v>0</v>
      </c>
      <c r="G43" s="6">
        <f>'Monthly Forecast'!AB42</f>
        <v>0</v>
      </c>
      <c r="H43" s="6">
        <f>'Monthly Forecast'!AC42</f>
        <v>0</v>
      </c>
      <c r="I43" s="6">
        <f>'Monthly Forecast'!AD42</f>
        <v>0</v>
      </c>
      <c r="J43" s="6">
        <f>'Monthly Forecast'!AE42</f>
        <v>0</v>
      </c>
      <c r="K43" s="6">
        <f>'Monthly Forecast'!AF42</f>
        <v>0</v>
      </c>
      <c r="L43" s="6">
        <f>'Monthly Forecast'!AG42</f>
        <v>0</v>
      </c>
      <c r="M43" s="6">
        <f>'Monthly Forecast'!AH42</f>
        <v>0</v>
      </c>
      <c r="N43" s="6">
        <f>'Monthly Forecast'!AI42</f>
        <v>0</v>
      </c>
      <c r="O43" s="6">
        <f>'Monthly Forecast'!AJ42</f>
        <v>0</v>
      </c>
      <c r="P43" s="6">
        <f>SUM(D43:O43)</f>
        <v>0</v>
      </c>
      <c r="Q43" s="6">
        <f>P43*C43</f>
        <v>0</v>
      </c>
      <c r="S43" s="98"/>
      <c r="T43" s="98"/>
      <c r="U43" s="98"/>
      <c r="V43" s="99">
        <f>'Summary of Rates'!D12</f>
        <v>66</v>
      </c>
      <c r="W43" s="99">
        <f>'Summary of Rates'!E12</f>
        <v>75</v>
      </c>
      <c r="X43" s="98"/>
      <c r="Y43" s="438">
        <f>V43+U44*(V44+V45)</f>
        <v>352.017872790696</v>
      </c>
      <c r="Z43" s="438">
        <f>W43+U44*(W44+W45)</f>
        <v>398.95850077039188</v>
      </c>
      <c r="AA43" s="430">
        <f>(Z43-Y43)/Y43</f>
        <v>0.13334728605557478</v>
      </c>
    </row>
    <row r="44" spans="1:27">
      <c r="A44" s="4">
        <v>33</v>
      </c>
      <c r="B44" s="21" t="s">
        <v>53</v>
      </c>
      <c r="C44" s="21"/>
      <c r="D44" s="20">
        <f t="shared" ref="D44:P44" si="10">D41+D42+D43</f>
        <v>80016.07190000001</v>
      </c>
      <c r="E44" s="20">
        <f t="shared" si="10"/>
        <v>46074.2716</v>
      </c>
      <c r="F44" s="20">
        <f t="shared" si="10"/>
        <v>26223.145799999998</v>
      </c>
      <c r="G44" s="20">
        <f t="shared" si="10"/>
        <v>24108.536100000001</v>
      </c>
      <c r="H44" s="20">
        <f t="shared" si="10"/>
        <v>24156.099600000001</v>
      </c>
      <c r="I44" s="20">
        <f t="shared" si="10"/>
        <v>24526.189399999999</v>
      </c>
      <c r="J44" s="20">
        <f t="shared" si="10"/>
        <v>35793.914499999999</v>
      </c>
      <c r="K44" s="20">
        <f t="shared" si="10"/>
        <v>82648.873099999997</v>
      </c>
      <c r="L44" s="20">
        <f t="shared" si="10"/>
        <v>130630.48140000002</v>
      </c>
      <c r="M44" s="20">
        <f t="shared" si="10"/>
        <v>155651.06340000001</v>
      </c>
      <c r="N44" s="20">
        <f t="shared" si="10"/>
        <v>166089.93960000001</v>
      </c>
      <c r="O44" s="20">
        <f t="shared" si="10"/>
        <v>119472.7298</v>
      </c>
      <c r="P44" s="20">
        <f t="shared" si="10"/>
        <v>915391.31620000012</v>
      </c>
      <c r="Q44" s="20">
        <f>SUM(Q40:Q43)</f>
        <v>2545224.801407455</v>
      </c>
      <c r="R44" s="20"/>
      <c r="S44" s="98"/>
      <c r="T44" s="98"/>
      <c r="U44" s="493">
        <f>P44/(P40)</f>
        <v>50.80426885336886</v>
      </c>
      <c r="V44" s="494">
        <f>V35</f>
        <v>1.5483</v>
      </c>
      <c r="W44" s="494">
        <f>W35</f>
        <v>2.2951000000000001</v>
      </c>
      <c r="X44" s="98"/>
      <c r="Y44" s="98"/>
      <c r="Z44" s="98"/>
      <c r="AA44" s="98"/>
    </row>
    <row r="45" spans="1:27">
      <c r="A45" s="4">
        <v>34</v>
      </c>
      <c r="B45" s="2" t="s">
        <v>196</v>
      </c>
      <c r="D45" s="11">
        <f>'Monthly Forecast'!Y44</f>
        <v>4.5812916609737586</v>
      </c>
      <c r="E45" s="11">
        <f>'Monthly Forecast'!Z44</f>
        <v>4.9331682240840156</v>
      </c>
      <c r="F45" s="11">
        <f>'Monthly Forecast'!AA44</f>
        <v>4.9331682240840156</v>
      </c>
      <c r="G45" s="11">
        <f>'Monthly Forecast'!AB44</f>
        <v>4.9331682240840156</v>
      </c>
      <c r="H45" s="11">
        <f>'Monthly Forecast'!AC44</f>
        <v>5.2989478814284547</v>
      </c>
      <c r="I45" s="11">
        <f>'Monthly Forecast'!AD44</f>
        <v>5.2989478814284547</v>
      </c>
      <c r="J45" s="11">
        <f>'Monthly Forecast'!AE44</f>
        <v>5.2989478814284547</v>
      </c>
      <c r="K45" s="11">
        <f>'Monthly Forecast'!AF44</f>
        <v>5.329817872818098</v>
      </c>
      <c r="L45" s="11">
        <f>'Monthly Forecast'!AG44</f>
        <v>5.329817872818098</v>
      </c>
      <c r="M45" s="11">
        <f>'Monthly Forecast'!AH44</f>
        <v>5.329817872818098</v>
      </c>
      <c r="N45" s="11">
        <f>'Monthly Forecast'!AI44</f>
        <v>4.8926337200932446</v>
      </c>
      <c r="O45" s="11">
        <f>'Monthly Forecast'!AJ44</f>
        <v>4.8926337200932446</v>
      </c>
      <c r="P45" s="11"/>
      <c r="Q45" s="11"/>
      <c r="S45" s="98"/>
      <c r="T45" s="98"/>
      <c r="U45" s="98"/>
      <c r="V45" s="494">
        <f>V36</f>
        <v>4.0815000000000001</v>
      </c>
      <c r="W45" s="494">
        <f>V45</f>
        <v>4.0815000000000001</v>
      </c>
      <c r="X45" s="98"/>
      <c r="Y45" s="98"/>
      <c r="Z45" s="98"/>
      <c r="AA45" s="98"/>
    </row>
    <row r="46" spans="1:27">
      <c r="A46" s="4">
        <v>35</v>
      </c>
      <c r="B46" s="2" t="s">
        <v>188</v>
      </c>
      <c r="D46" s="3">
        <f t="shared" ref="D46:O46" si="11">D45*D44</f>
        <v>366576.96293934673</v>
      </c>
      <c r="E46" s="3">
        <f t="shared" si="11"/>
        <v>227292.1326049366</v>
      </c>
      <c r="F46" s="3">
        <f t="shared" si="11"/>
        <v>129363.1895960822</v>
      </c>
      <c r="G46" s="3">
        <f t="shared" si="11"/>
        <v>118931.46421770238</v>
      </c>
      <c r="H46" s="3">
        <f t="shared" si="11"/>
        <v>128001.91279899474</v>
      </c>
      <c r="I46" s="3">
        <f t="shared" si="11"/>
        <v>129962.99936064302</v>
      </c>
      <c r="J46" s="3">
        <f t="shared" si="11"/>
        <v>189670.08740780625</v>
      </c>
      <c r="K46" s="3">
        <f t="shared" si="11"/>
        <v>440503.44101665489</v>
      </c>
      <c r="L46" s="3">
        <f t="shared" si="11"/>
        <v>696236.67450055224</v>
      </c>
      <c r="M46" s="3">
        <f t="shared" si="11"/>
        <v>829591.81963246304</v>
      </c>
      <c r="N46" s="3">
        <f t="shared" si="11"/>
        <v>812617.23905521038</v>
      </c>
      <c r="O46" s="3">
        <f t="shared" si="11"/>
        <v>584536.30645106907</v>
      </c>
      <c r="P46" s="3">
        <f>SUM(D46:O46)</f>
        <v>4653284.2295814613</v>
      </c>
      <c r="Q46" s="3"/>
      <c r="S46" s="98"/>
      <c r="T46" s="98"/>
      <c r="U46" s="98"/>
      <c r="V46" s="98"/>
      <c r="W46" s="98"/>
      <c r="X46" s="98"/>
      <c r="Y46" s="98"/>
      <c r="Z46" s="98"/>
      <c r="AA46" s="98"/>
    </row>
    <row r="47" spans="1:27">
      <c r="A47" s="4">
        <v>36</v>
      </c>
      <c r="D47" s="29"/>
      <c r="S47" s="98"/>
      <c r="T47" s="98"/>
      <c r="U47" s="98"/>
      <c r="V47" s="98"/>
      <c r="W47" s="98"/>
      <c r="X47" s="98"/>
      <c r="Y47" s="98"/>
      <c r="Z47" s="98"/>
      <c r="AA47" s="98"/>
    </row>
    <row r="48" spans="1:27">
      <c r="A48" s="4">
        <v>37</v>
      </c>
      <c r="B48" s="23" t="s">
        <v>57</v>
      </c>
      <c r="D48" s="50">
        <f t="shared" ref="D48:O48" si="12">D49*$C$49+D50*$C$50+D51*$C$51</f>
        <v>2079.2406024399997</v>
      </c>
      <c r="E48" s="50">
        <f t="shared" si="12"/>
        <v>2460.04241959</v>
      </c>
      <c r="F48" s="50">
        <f t="shared" si="12"/>
        <v>1096.67434798</v>
      </c>
      <c r="G48" s="50">
        <f t="shared" si="12"/>
        <v>1058.2202293600001</v>
      </c>
      <c r="H48" s="50">
        <f t="shared" si="12"/>
        <v>1067.4262963199999</v>
      </c>
      <c r="I48" s="50">
        <f t="shared" si="12"/>
        <v>1156.99335348</v>
      </c>
      <c r="J48" s="50">
        <f t="shared" si="12"/>
        <v>1082.3861551299999</v>
      </c>
      <c r="K48" s="50">
        <f t="shared" si="12"/>
        <v>1722.4079307699999</v>
      </c>
      <c r="L48" s="50">
        <f t="shared" si="12"/>
        <v>2487.4411934099999</v>
      </c>
      <c r="M48" s="50">
        <f t="shared" si="12"/>
        <v>2982.3806385299999</v>
      </c>
      <c r="N48" s="50">
        <f t="shared" si="12"/>
        <v>3345.1696148800002</v>
      </c>
      <c r="O48" s="50">
        <f t="shared" si="12"/>
        <v>2610.3687749000001</v>
      </c>
      <c r="P48" s="50">
        <f>SUM(D48:O48)</f>
        <v>23148.751556789997</v>
      </c>
      <c r="Q48" s="51"/>
      <c r="S48" s="98"/>
      <c r="T48" s="98"/>
      <c r="U48" s="98"/>
      <c r="V48" s="98"/>
      <c r="W48" s="98"/>
      <c r="X48" s="98"/>
      <c r="Y48" s="98"/>
      <c r="Z48" s="98"/>
      <c r="AA48" s="98"/>
    </row>
    <row r="49" spans="1:23">
      <c r="A49" s="4">
        <v>38</v>
      </c>
      <c r="B49" s="2" t="s">
        <v>58</v>
      </c>
      <c r="C49" s="44">
        <f>'Rate Design'!G14</f>
        <v>520</v>
      </c>
      <c r="D49" s="6">
        <f>'Monthly Forecast'!Y48</f>
        <v>3</v>
      </c>
      <c r="E49" s="6">
        <f>'Monthly Forecast'!Z48</f>
        <v>4</v>
      </c>
      <c r="F49" s="6">
        <f>'Monthly Forecast'!AA48</f>
        <v>2</v>
      </c>
      <c r="G49" s="6">
        <f>'Monthly Forecast'!AB48</f>
        <v>2</v>
      </c>
      <c r="H49" s="6">
        <f>'Monthly Forecast'!AC48</f>
        <v>2</v>
      </c>
      <c r="I49" s="6">
        <f>'Monthly Forecast'!AD48</f>
        <v>2</v>
      </c>
      <c r="J49" s="6">
        <f>'Monthly Forecast'!AE48</f>
        <v>2</v>
      </c>
      <c r="K49" s="6">
        <f>'Monthly Forecast'!AF48</f>
        <v>3</v>
      </c>
      <c r="L49" s="6">
        <f>'Monthly Forecast'!AG48</f>
        <v>3</v>
      </c>
      <c r="M49" s="6">
        <f>'Monthly Forecast'!AH48</f>
        <v>3</v>
      </c>
      <c r="N49" s="6">
        <f>'Monthly Forecast'!AI48</f>
        <v>3</v>
      </c>
      <c r="O49" s="6">
        <f>'Monthly Forecast'!AJ48</f>
        <v>3</v>
      </c>
      <c r="P49" s="6">
        <f>SUM(D49:O49)</f>
        <v>32</v>
      </c>
      <c r="Q49" s="6">
        <f>P49*C49</f>
        <v>16640</v>
      </c>
      <c r="S49" s="98"/>
      <c r="T49" s="98"/>
      <c r="U49" s="98"/>
      <c r="V49" s="98"/>
      <c r="W49" s="98"/>
    </row>
    <row r="50" spans="1:23">
      <c r="A50" s="4">
        <v>39</v>
      </c>
      <c r="B50" s="2" t="s">
        <v>59</v>
      </c>
      <c r="C50" s="13">
        <f>'Rate Design'!G31</f>
        <v>0.95569999999999999</v>
      </c>
      <c r="D50" s="6">
        <f>'Monthly Forecast'!Y49</f>
        <v>543.30920000000003</v>
      </c>
      <c r="E50" s="6">
        <f>'Monthly Forecast'!Z49</f>
        <v>397.65870000000001</v>
      </c>
      <c r="F50" s="6">
        <f>'Monthly Forecast'!AA49</f>
        <v>59.301400000000001</v>
      </c>
      <c r="G50" s="6">
        <f>'Monthly Forecast'!AB49</f>
        <v>19.064800000000002</v>
      </c>
      <c r="H50" s="6">
        <f>'Monthly Forecast'!AC49</f>
        <v>28.697600000000001</v>
      </c>
      <c r="I50" s="6">
        <f>'Monthly Forecast'!AD49</f>
        <v>122.4164</v>
      </c>
      <c r="J50" s="6">
        <f>'Monthly Forecast'!AE49</f>
        <v>44.350900000000003</v>
      </c>
      <c r="K50" s="6">
        <f>'Monthly Forecast'!AF49</f>
        <v>169.93610000000001</v>
      </c>
      <c r="L50" s="6">
        <f>'Monthly Forecast'!AG49</f>
        <v>970.43129999999996</v>
      </c>
      <c r="M50" s="6">
        <f>'Monthly Forecast'!AH49</f>
        <v>1488.3128999999999</v>
      </c>
      <c r="N50" s="6">
        <f>'Monthly Forecast'!AI49</f>
        <v>1867.9184</v>
      </c>
      <c r="O50" s="6">
        <f>'Monthly Forecast'!AJ49</f>
        <v>1099.057</v>
      </c>
      <c r="P50" s="6">
        <f>SUM(C50:O50)</f>
        <v>6811.4103999999998</v>
      </c>
      <c r="Q50" s="6">
        <f>P50*C50</f>
        <v>6509.6649192799996</v>
      </c>
      <c r="S50" s="98"/>
      <c r="T50" s="98"/>
      <c r="U50" s="98"/>
      <c r="V50" s="98"/>
      <c r="W50" s="98"/>
    </row>
    <row r="51" spans="1:23">
      <c r="A51" s="4">
        <v>40</v>
      </c>
      <c r="B51" s="2" t="s">
        <v>55</v>
      </c>
      <c r="C51" s="13">
        <f>'Rate Design'!G32</f>
        <v>0.78369999999999995</v>
      </c>
      <c r="D51" s="6">
        <f>'Monthly Forecast'!Y50</f>
        <v>0</v>
      </c>
      <c r="E51" s="6">
        <f>'Monthly Forecast'!Z50</f>
        <v>0</v>
      </c>
      <c r="F51" s="6">
        <f>'Monthly Forecast'!AA50</f>
        <v>0</v>
      </c>
      <c r="G51" s="6">
        <f>'Monthly Forecast'!AB50</f>
        <v>0</v>
      </c>
      <c r="H51" s="6">
        <f>'Monthly Forecast'!AC50</f>
        <v>0</v>
      </c>
      <c r="I51" s="6">
        <f>'Monthly Forecast'!AD50</f>
        <v>0</v>
      </c>
      <c r="J51" s="6">
        <f>'Monthly Forecast'!AE50</f>
        <v>0</v>
      </c>
      <c r="K51" s="6">
        <f>'Monthly Forecast'!AF50</f>
        <v>0</v>
      </c>
      <c r="L51" s="6">
        <f>'Monthly Forecast'!AG50</f>
        <v>0</v>
      </c>
      <c r="M51" s="6">
        <f>'Monthly Forecast'!AH50</f>
        <v>0</v>
      </c>
      <c r="N51" s="6">
        <f>'Monthly Forecast'!AI50</f>
        <v>0</v>
      </c>
      <c r="O51" s="6">
        <f>'Monthly Forecast'!AJ50</f>
        <v>0</v>
      </c>
      <c r="P51" s="6">
        <f>SUM(C51:O51)</f>
        <v>0.78369999999999995</v>
      </c>
      <c r="Q51" s="6">
        <f>P51*C51</f>
        <v>0.6141856899999999</v>
      </c>
      <c r="S51" s="98"/>
      <c r="T51" s="98"/>
      <c r="U51" s="98"/>
      <c r="V51" s="98"/>
      <c r="W51" s="98"/>
    </row>
    <row r="52" spans="1:23">
      <c r="A52" s="4">
        <v>41</v>
      </c>
      <c r="B52" s="21" t="s">
        <v>53</v>
      </c>
      <c r="C52" s="21"/>
      <c r="D52" s="20">
        <f t="shared" ref="D52:P52" si="13">D50+D51</f>
        <v>543.30920000000003</v>
      </c>
      <c r="E52" s="20">
        <f t="shared" si="13"/>
        <v>397.65870000000001</v>
      </c>
      <c r="F52" s="20">
        <f t="shared" si="13"/>
        <v>59.301400000000001</v>
      </c>
      <c r="G52" s="20">
        <f t="shared" si="13"/>
        <v>19.064800000000002</v>
      </c>
      <c r="H52" s="20">
        <f t="shared" si="13"/>
        <v>28.697600000000001</v>
      </c>
      <c r="I52" s="20">
        <f t="shared" si="13"/>
        <v>122.4164</v>
      </c>
      <c r="J52" s="20">
        <f t="shared" si="13"/>
        <v>44.350900000000003</v>
      </c>
      <c r="K52" s="20">
        <f t="shared" si="13"/>
        <v>169.93610000000001</v>
      </c>
      <c r="L52" s="20">
        <f t="shared" si="13"/>
        <v>970.43129999999996</v>
      </c>
      <c r="M52" s="20">
        <f t="shared" si="13"/>
        <v>1488.3128999999999</v>
      </c>
      <c r="N52" s="20">
        <f t="shared" si="13"/>
        <v>1867.9184</v>
      </c>
      <c r="O52" s="20">
        <f t="shared" si="13"/>
        <v>1099.057</v>
      </c>
      <c r="P52" s="20">
        <f t="shared" si="13"/>
        <v>6812.1940999999997</v>
      </c>
      <c r="Q52" s="20">
        <f>SUM(Q49:Q51)</f>
        <v>23150.279104969999</v>
      </c>
      <c r="S52" s="98"/>
      <c r="T52" s="98"/>
      <c r="U52" s="98"/>
      <c r="V52" s="98"/>
      <c r="W52" s="98"/>
    </row>
    <row r="53" spans="1:23">
      <c r="A53" s="4">
        <v>42</v>
      </c>
      <c r="B53" s="2" t="s">
        <v>196</v>
      </c>
      <c r="D53" s="11">
        <f>'Monthly Forecast'!Y52</f>
        <v>3.4812973052790346</v>
      </c>
      <c r="E53" s="11">
        <f>'Monthly Forecast'!Z52</f>
        <v>3.833173868389292</v>
      </c>
      <c r="F53" s="11">
        <f>'Monthly Forecast'!AA52</f>
        <v>3.833173868389292</v>
      </c>
      <c r="G53" s="11">
        <f>'Monthly Forecast'!AB52</f>
        <v>3.833173868389292</v>
      </c>
      <c r="H53" s="11">
        <f>'Monthly Forecast'!AC52</f>
        <v>4.1989535257337307</v>
      </c>
      <c r="I53" s="11">
        <f>'Monthly Forecast'!AD52</f>
        <v>4.1989535257337307</v>
      </c>
      <c r="J53" s="11">
        <f>'Monthly Forecast'!AE52</f>
        <v>4.1989535257337307</v>
      </c>
      <c r="K53" s="11">
        <f>'Monthly Forecast'!AF52</f>
        <v>4.229823517123374</v>
      </c>
      <c r="L53" s="11">
        <f>'Monthly Forecast'!AG52</f>
        <v>4.229823517123374</v>
      </c>
      <c r="M53" s="11">
        <f>'Monthly Forecast'!AH52</f>
        <v>4.229823517123374</v>
      </c>
      <c r="N53" s="11">
        <f>'Monthly Forecast'!AI52</f>
        <v>3.7936198763327615</v>
      </c>
      <c r="O53" s="11">
        <f>'Monthly Forecast'!AJ52</f>
        <v>3.7936198763327615</v>
      </c>
      <c r="P53" s="11"/>
      <c r="Q53" s="11"/>
      <c r="S53" s="98"/>
      <c r="T53" s="98"/>
      <c r="U53" s="98"/>
      <c r="V53" s="98"/>
      <c r="W53" s="98"/>
    </row>
    <row r="54" spans="1:23">
      <c r="A54" s="4">
        <v>43</v>
      </c>
      <c r="B54" s="2" t="s">
        <v>188</v>
      </c>
      <c r="D54" s="3">
        <f t="shared" ref="D54:O54" si="14">D53*D52</f>
        <v>1891.4208538933083</v>
      </c>
      <c r="E54" s="3">
        <f t="shared" si="14"/>
        <v>1524.2949373776569</v>
      </c>
      <c r="F54" s="3">
        <f t="shared" si="14"/>
        <v>227.31257683890075</v>
      </c>
      <c r="G54" s="3">
        <f t="shared" si="14"/>
        <v>73.078693166068177</v>
      </c>
      <c r="H54" s="3">
        <f t="shared" si="14"/>
        <v>120.49988870009632</v>
      </c>
      <c r="I54" s="3">
        <f t="shared" si="14"/>
        <v>514.02077438763069</v>
      </c>
      <c r="J54" s="3">
        <f t="shared" si="14"/>
        <v>186.22736792446412</v>
      </c>
      <c r="K54" s="3">
        <f t="shared" si="14"/>
        <v>718.79971218822948</v>
      </c>
      <c r="L54" s="3">
        <f t="shared" si="14"/>
        <v>4104.7531344926083</v>
      </c>
      <c r="M54" s="3">
        <f t="shared" si="14"/>
        <v>6295.3009052580883</v>
      </c>
      <c r="N54" s="3">
        <f t="shared" si="14"/>
        <v>7086.1723696076897</v>
      </c>
      <c r="O54" s="3">
        <f t="shared" si="14"/>
        <v>4169.404480422656</v>
      </c>
      <c r="P54" s="3">
        <f>SUM(D54:O54)</f>
        <v>26911.2856942574</v>
      </c>
      <c r="Q54" s="3"/>
      <c r="S54" s="98"/>
      <c r="T54" s="98"/>
      <c r="U54" s="98"/>
      <c r="V54" s="98"/>
      <c r="W54" s="98"/>
    </row>
    <row r="55" spans="1:23">
      <c r="A55" s="4">
        <v>44</v>
      </c>
      <c r="D55" s="29"/>
      <c r="S55" s="98"/>
      <c r="T55" s="98"/>
      <c r="U55" s="98"/>
      <c r="V55" s="98"/>
      <c r="W55" s="98"/>
    </row>
    <row r="56" spans="1:23">
      <c r="A56" s="4">
        <v>45</v>
      </c>
      <c r="B56" s="23" t="s">
        <v>60</v>
      </c>
      <c r="D56" s="50">
        <f t="shared" ref="D56:O56" si="15">D57*$C$57+D58*$C$58+D59*$C$59</f>
        <v>20956.8952737</v>
      </c>
      <c r="E56" s="50">
        <f t="shared" si="15"/>
        <v>18096.056149099997</v>
      </c>
      <c r="F56" s="50">
        <f t="shared" si="15"/>
        <v>17502.804605199999</v>
      </c>
      <c r="G56" s="50">
        <f t="shared" si="15"/>
        <v>9866.6377317999977</v>
      </c>
      <c r="H56" s="50">
        <f t="shared" si="15"/>
        <v>10864.147537000001</v>
      </c>
      <c r="I56" s="50">
        <f t="shared" si="15"/>
        <v>13500.154577199999</v>
      </c>
      <c r="J56" s="50">
        <f t="shared" si="15"/>
        <v>12462.817329099998</v>
      </c>
      <c r="K56" s="50">
        <f t="shared" si="15"/>
        <v>15884.402555199998</v>
      </c>
      <c r="L56" s="50">
        <f t="shared" si="15"/>
        <v>20411.918171399997</v>
      </c>
      <c r="M56" s="50">
        <f t="shared" si="15"/>
        <v>21699.539530599999</v>
      </c>
      <c r="N56" s="50">
        <f t="shared" si="15"/>
        <v>19690.872049799997</v>
      </c>
      <c r="O56" s="50">
        <f t="shared" si="15"/>
        <v>22166.412399899997</v>
      </c>
      <c r="P56" s="50">
        <f>SUM(D56:O56)</f>
        <v>203102.65790999998</v>
      </c>
      <c r="Q56" s="51"/>
      <c r="S56" s="98"/>
      <c r="T56" s="98"/>
      <c r="U56" s="98"/>
      <c r="V56" s="98"/>
      <c r="W56" s="98"/>
    </row>
    <row r="57" spans="1:23">
      <c r="A57" s="4">
        <v>46</v>
      </c>
      <c r="B57" s="2" t="s">
        <v>58</v>
      </c>
      <c r="C57" s="44">
        <f>C49</f>
        <v>520</v>
      </c>
      <c r="D57" s="6">
        <f>'Monthly Forecast'!Y56</f>
        <v>6</v>
      </c>
      <c r="E57" s="6">
        <f>'Monthly Forecast'!Z56</f>
        <v>6</v>
      </c>
      <c r="F57" s="6">
        <f>'Monthly Forecast'!AA56</f>
        <v>6</v>
      </c>
      <c r="G57" s="6">
        <f>'Monthly Forecast'!AB56</f>
        <v>5</v>
      </c>
      <c r="H57" s="6">
        <f>'Monthly Forecast'!AC56</f>
        <v>5</v>
      </c>
      <c r="I57" s="6">
        <f>'Monthly Forecast'!AD56</f>
        <v>6</v>
      </c>
      <c r="J57" s="6">
        <f>'Monthly Forecast'!AE56</f>
        <v>6</v>
      </c>
      <c r="K57" s="6">
        <f>'Monthly Forecast'!AF56</f>
        <v>6</v>
      </c>
      <c r="L57" s="6">
        <f>'Monthly Forecast'!AG56</f>
        <v>5</v>
      </c>
      <c r="M57" s="6">
        <f>'Monthly Forecast'!AH56</f>
        <v>8</v>
      </c>
      <c r="N57" s="6">
        <f>'Monthly Forecast'!AI56</f>
        <v>8</v>
      </c>
      <c r="O57" s="6">
        <f>'Monthly Forecast'!AJ56</f>
        <v>6</v>
      </c>
      <c r="P57" s="6">
        <f>ROUND((SUM(D57:O57)),0)</f>
        <v>73</v>
      </c>
      <c r="Q57" s="6">
        <f>P57*C57</f>
        <v>37960</v>
      </c>
      <c r="S57" s="98"/>
      <c r="T57" s="98"/>
      <c r="U57" s="98"/>
      <c r="V57" s="98"/>
      <c r="W57" s="98"/>
    </row>
    <row r="58" spans="1:23">
      <c r="A58" s="4">
        <v>47</v>
      </c>
      <c r="B58" s="2" t="s">
        <v>59</v>
      </c>
      <c r="C58" s="13">
        <f>C50</f>
        <v>0.95569999999999999</v>
      </c>
      <c r="D58" s="6">
        <f>'Monthly Forecast'!Y57</f>
        <v>2078.4</v>
      </c>
      <c r="E58" s="6">
        <f>'Monthly Forecast'!Z57</f>
        <v>2200.1999999999998</v>
      </c>
      <c r="F58" s="6">
        <f>'Monthly Forecast'!AA57</f>
        <v>1286</v>
      </c>
      <c r="G58" s="6">
        <f>'Monthly Forecast'!AB57</f>
        <v>1620.8219999999999</v>
      </c>
      <c r="H58" s="6">
        <f>'Monthly Forecast'!AC57</f>
        <v>2041.4</v>
      </c>
      <c r="I58" s="6">
        <f>'Monthly Forecast'!AD57</f>
        <v>2038.1</v>
      </c>
      <c r="J58" s="6">
        <f>'Monthly Forecast'!AE57</f>
        <v>1556.636</v>
      </c>
      <c r="K58" s="6">
        <f>'Monthly Forecast'!AF57</f>
        <v>1833.412</v>
      </c>
      <c r="L58" s="6">
        <f>'Monthly Forecast'!AG57</f>
        <v>1436.077</v>
      </c>
      <c r="M58" s="6">
        <f>'Monthly Forecast'!AH57</f>
        <v>1910.44</v>
      </c>
      <c r="N58" s="6">
        <f>'Monthly Forecast'!AI57</f>
        <v>1860.9</v>
      </c>
      <c r="O58" s="6">
        <f>'Monthly Forecast'!AJ57</f>
        <v>2104.9</v>
      </c>
      <c r="P58" s="6">
        <f>SUM(C58:O58)</f>
        <v>21968.242700000003</v>
      </c>
      <c r="Q58" s="6">
        <f>P58*C58</f>
        <v>20995.049548390001</v>
      </c>
      <c r="S58" s="98"/>
      <c r="T58" s="98"/>
      <c r="U58" s="98"/>
      <c r="V58" s="98"/>
      <c r="W58" s="98"/>
    </row>
    <row r="59" spans="1:23">
      <c r="A59" s="4">
        <v>48</v>
      </c>
      <c r="B59" s="2" t="s">
        <v>55</v>
      </c>
      <c r="C59" s="13">
        <f>C51</f>
        <v>0.78369999999999995</v>
      </c>
      <c r="D59" s="6">
        <f>'Monthly Forecast'!Y58</f>
        <v>20225.300999999999</v>
      </c>
      <c r="E59" s="6">
        <f>'Monthly Forecast'!Z58</f>
        <v>16426.343000000001</v>
      </c>
      <c r="F59" s="6">
        <f>'Monthly Forecast'!AA58</f>
        <v>16784.196</v>
      </c>
      <c r="G59" s="6">
        <f>'Monthly Forecast'!AB58</f>
        <v>7295.6719999999996</v>
      </c>
      <c r="H59" s="6">
        <f>'Monthly Forecast'!AC58</f>
        <v>8055.6100000000006</v>
      </c>
      <c r="I59" s="6">
        <f>'Monthly Forecast'!AD58</f>
        <v>10759.655999999999</v>
      </c>
      <c r="J59" s="6">
        <f>'Monthly Forecast'!AE58</f>
        <v>10023.146999999999</v>
      </c>
      <c r="K59" s="6">
        <f>'Monthly Forecast'!AF58</f>
        <v>14051.564</v>
      </c>
      <c r="L59" s="6">
        <f>'Monthly Forecast'!AG58</f>
        <v>20976.724999999999</v>
      </c>
      <c r="M59" s="6">
        <f>'Monthly Forecast'!AH58</f>
        <v>20050.698</v>
      </c>
      <c r="N59" s="6">
        <f>'Monthly Forecast'!AI58</f>
        <v>17548.054</v>
      </c>
      <c r="O59" s="6">
        <f>'Monthly Forecast'!AJ58</f>
        <v>21736.326999999997</v>
      </c>
      <c r="P59" s="6">
        <f>SUM(C59:O59)</f>
        <v>183934.07670000001</v>
      </c>
      <c r="Q59" s="6">
        <f>P59*C59</f>
        <v>144149.13590979</v>
      </c>
      <c r="S59" s="98"/>
      <c r="T59" s="98"/>
      <c r="U59" s="98"/>
      <c r="V59" s="98"/>
      <c r="W59" s="98"/>
    </row>
    <row r="60" spans="1:23">
      <c r="A60" s="4">
        <v>49</v>
      </c>
      <c r="B60" s="21" t="s">
        <v>53</v>
      </c>
      <c r="C60" s="21"/>
      <c r="D60" s="20">
        <f t="shared" ref="D60:P60" si="16">D58+D59</f>
        <v>22303.701000000001</v>
      </c>
      <c r="E60" s="20">
        <f t="shared" si="16"/>
        <v>18626.543000000001</v>
      </c>
      <c r="F60" s="20">
        <f t="shared" si="16"/>
        <v>18070.196</v>
      </c>
      <c r="G60" s="20">
        <f t="shared" si="16"/>
        <v>8916.4939999999988</v>
      </c>
      <c r="H60" s="20">
        <f t="shared" si="16"/>
        <v>10097.01</v>
      </c>
      <c r="I60" s="20">
        <f t="shared" si="16"/>
        <v>12797.755999999999</v>
      </c>
      <c r="J60" s="20">
        <f t="shared" si="16"/>
        <v>11579.782999999999</v>
      </c>
      <c r="K60" s="20">
        <f t="shared" si="16"/>
        <v>15884.976000000001</v>
      </c>
      <c r="L60" s="20">
        <f t="shared" si="16"/>
        <v>22412.802</v>
      </c>
      <c r="M60" s="20">
        <f t="shared" si="16"/>
        <v>21961.137999999999</v>
      </c>
      <c r="N60" s="20">
        <f t="shared" si="16"/>
        <v>19408.954000000002</v>
      </c>
      <c r="O60" s="20">
        <f t="shared" si="16"/>
        <v>23841.226999999999</v>
      </c>
      <c r="P60" s="20">
        <f t="shared" si="16"/>
        <v>205902.31940000001</v>
      </c>
      <c r="Q60" s="20">
        <f>SUM(Q57:Q59)</f>
        <v>203104.18545818</v>
      </c>
      <c r="S60" s="98"/>
      <c r="T60" s="98"/>
      <c r="U60" s="98"/>
      <c r="V60" s="98"/>
      <c r="W60" s="98"/>
    </row>
    <row r="61" spans="1:23">
      <c r="A61" s="4">
        <v>50</v>
      </c>
      <c r="B61" s="2" t="s">
        <v>196</v>
      </c>
      <c r="D61" s="11">
        <f>'Monthly Forecast'!Y60</f>
        <v>3.4812973052790346</v>
      </c>
      <c r="E61" s="11">
        <f>'Monthly Forecast'!Z60</f>
        <v>3.833173868389292</v>
      </c>
      <c r="F61" s="11">
        <f>'Monthly Forecast'!AA60</f>
        <v>3.833173868389292</v>
      </c>
      <c r="G61" s="11">
        <f>'Monthly Forecast'!AB60</f>
        <v>3.833173868389292</v>
      </c>
      <c r="H61" s="11">
        <f>'Monthly Forecast'!AC60</f>
        <v>4.1989535257337307</v>
      </c>
      <c r="I61" s="11">
        <f>'Monthly Forecast'!AD60</f>
        <v>4.1989535257337307</v>
      </c>
      <c r="J61" s="11">
        <f>'Monthly Forecast'!AE60</f>
        <v>4.1989535257337307</v>
      </c>
      <c r="K61" s="11">
        <f>'Monthly Forecast'!AF60</f>
        <v>4.229823517123374</v>
      </c>
      <c r="L61" s="11">
        <f>'Monthly Forecast'!AG60</f>
        <v>4.229823517123374</v>
      </c>
      <c r="M61" s="11">
        <f>'Monthly Forecast'!AH60</f>
        <v>4.229823517123374</v>
      </c>
      <c r="N61" s="11">
        <f>'Monthly Forecast'!AI60</f>
        <v>3.7936198763327615</v>
      </c>
      <c r="O61" s="11">
        <f>'Monthly Forecast'!AJ60</f>
        <v>3.7936198763327615</v>
      </c>
      <c r="P61" s="11"/>
      <c r="Q61" s="11"/>
      <c r="S61" s="98"/>
      <c r="T61" s="98"/>
      <c r="U61" s="98"/>
      <c r="V61" s="98"/>
      <c r="W61" s="98"/>
    </row>
    <row r="62" spans="1:23">
      <c r="A62" s="4">
        <v>51</v>
      </c>
      <c r="B62" s="2" t="s">
        <v>188</v>
      </c>
      <c r="D62" s="3">
        <f t="shared" ref="D62:O62" si="17">D61*D60</f>
        <v>77645.814189049313</v>
      </c>
      <c r="E62" s="3">
        <f t="shared" si="17"/>
        <v>71398.777886029493</v>
      </c>
      <c r="F62" s="3">
        <f t="shared" si="17"/>
        <v>69266.203103872715</v>
      </c>
      <c r="G62" s="3">
        <f t="shared" si="17"/>
        <v>34178.471798449908</v>
      </c>
      <c r="H62" s="3">
        <f t="shared" si="17"/>
        <v>42396.875738868737</v>
      </c>
      <c r="I62" s="3">
        <f t="shared" si="17"/>
        <v>53737.182677680001</v>
      </c>
      <c r="J62" s="3">
        <f t="shared" si="17"/>
        <v>48622.970655081517</v>
      </c>
      <c r="K62" s="3">
        <f t="shared" si="17"/>
        <v>67190.645053740387</v>
      </c>
      <c r="L62" s="3">
        <f t="shared" si="17"/>
        <v>94802.196984229784</v>
      </c>
      <c r="M62" s="3">
        <f t="shared" si="17"/>
        <v>92891.737975191776</v>
      </c>
      <c r="N62" s="3">
        <f t="shared" si="17"/>
        <v>73630.193673228263</v>
      </c>
      <c r="O62" s="3">
        <f t="shared" si="17"/>
        <v>90444.552623361291</v>
      </c>
      <c r="P62" s="3">
        <f>SUM(C62:O62)</f>
        <v>816205.62235878315</v>
      </c>
      <c r="Q62" s="3"/>
      <c r="S62" s="98"/>
      <c r="T62" s="98"/>
      <c r="U62" s="98"/>
      <c r="V62" s="98"/>
      <c r="W62" s="98"/>
    </row>
    <row r="63" spans="1:23">
      <c r="A63" s="4">
        <v>52</v>
      </c>
      <c r="D63" s="29"/>
      <c r="S63" s="98"/>
      <c r="T63" s="98"/>
      <c r="U63" s="98"/>
      <c r="V63" s="98"/>
      <c r="W63" s="98"/>
    </row>
    <row r="64" spans="1:23">
      <c r="A64" s="4">
        <v>53</v>
      </c>
      <c r="B64" s="23" t="s">
        <v>62</v>
      </c>
      <c r="D64" s="50">
        <f>D65*$C$65+D69*$C$69+D70*$C$70+D71*$C$71+D66+D67+D68</f>
        <v>666931.07363366662</v>
      </c>
      <c r="E64" s="50">
        <f t="shared" ref="E64:O64" si="18">E65*$C$65+E69*$C$69+E70*$C$70+E71*$C$71+E66+E67+E68</f>
        <v>656826.20629355253</v>
      </c>
      <c r="F64" s="50">
        <f t="shared" si="18"/>
        <v>672783.31046429172</v>
      </c>
      <c r="G64" s="50">
        <f t="shared" si="18"/>
        <v>655017.62350212003</v>
      </c>
      <c r="H64" s="50">
        <f t="shared" si="18"/>
        <v>762573.36321541993</v>
      </c>
      <c r="I64" s="50">
        <f t="shared" si="18"/>
        <v>830218.63614512025</v>
      </c>
      <c r="J64" s="50">
        <f t="shared" si="18"/>
        <v>861572.06666852045</v>
      </c>
      <c r="K64" s="50">
        <f t="shared" si="18"/>
        <v>1048540.3229296203</v>
      </c>
      <c r="L64" s="50">
        <f t="shared" si="18"/>
        <v>875383.74061792006</v>
      </c>
      <c r="M64" s="50">
        <f t="shared" si="18"/>
        <v>826229.49630862032</v>
      </c>
      <c r="N64" s="50">
        <f t="shared" si="18"/>
        <v>729283.11745841661</v>
      </c>
      <c r="O64" s="50">
        <f t="shared" si="18"/>
        <v>687736.0510631334</v>
      </c>
      <c r="P64" s="50">
        <f>SUM(D64:O64)</f>
        <v>9273095.0083004031</v>
      </c>
      <c r="Q64" s="51"/>
      <c r="S64" s="98"/>
      <c r="T64" s="98"/>
      <c r="U64" s="98"/>
      <c r="V64" s="98"/>
      <c r="W64" s="98"/>
    </row>
    <row r="65" spans="1:23">
      <c r="A65" s="4">
        <v>54</v>
      </c>
      <c r="B65" s="2" t="s">
        <v>61</v>
      </c>
      <c r="C65" s="11">
        <f>'Monthly Forecast'!C64</f>
        <v>520</v>
      </c>
      <c r="D65" s="6">
        <f>'Monthly Forecast'!Y64</f>
        <v>118.34615384615384</v>
      </c>
      <c r="E65" s="6">
        <f>'Monthly Forecast'!Z64</f>
        <v>118.34615384615384</v>
      </c>
      <c r="F65" s="6">
        <f>'Monthly Forecast'!AA64</f>
        <v>118.34615384615384</v>
      </c>
      <c r="G65" s="6">
        <f>'Monthly Forecast'!AB64</f>
        <v>117.34615384615384</v>
      </c>
      <c r="H65" s="6">
        <f>'Monthly Forecast'!AC64</f>
        <v>117.34615384615384</v>
      </c>
      <c r="I65" s="6">
        <f>'Monthly Forecast'!AD64</f>
        <v>117.34615384615384</v>
      </c>
      <c r="J65" s="6">
        <f>'Monthly Forecast'!AE64</f>
        <v>117.34615384615384</v>
      </c>
      <c r="K65" s="6">
        <f>'Monthly Forecast'!AF64</f>
        <v>117.34615384615384</v>
      </c>
      <c r="L65" s="6">
        <f>'Monthly Forecast'!AG64</f>
        <v>118.34615384615384</v>
      </c>
      <c r="M65" s="6">
        <f>'Monthly Forecast'!AH64</f>
        <v>118.34615384615384</v>
      </c>
      <c r="N65" s="6">
        <f>'Monthly Forecast'!AI64</f>
        <v>118.34615384615384</v>
      </c>
      <c r="O65" s="6">
        <f>'Monthly Forecast'!AJ64</f>
        <v>118.34615384615384</v>
      </c>
      <c r="P65" s="6">
        <f>SUM(D65:O65)</f>
        <v>1415.153846153846</v>
      </c>
      <c r="Q65" s="6">
        <f>P65*C65</f>
        <v>735879.99999999988</v>
      </c>
      <c r="R65" s="181">
        <f>Q65-'Bill Frequency'!R53</f>
        <v>-9880</v>
      </c>
      <c r="S65" s="98">
        <f>Q65+Q81+Q90</f>
        <v>1259080</v>
      </c>
      <c r="T65" s="98" t="s">
        <v>577</v>
      </c>
      <c r="U65" s="98"/>
      <c r="V65" s="98"/>
      <c r="W65" s="98"/>
    </row>
    <row r="66" spans="1:23">
      <c r="A66" s="4">
        <v>55</v>
      </c>
      <c r="B66" s="2" t="s">
        <v>1</v>
      </c>
      <c r="D66" s="6">
        <f>'Monthly Forecast'!Y65</f>
        <v>5900</v>
      </c>
      <c r="E66" s="6">
        <f>'Monthly Forecast'!Z65</f>
        <v>5900</v>
      </c>
      <c r="F66" s="6">
        <f>'Monthly Forecast'!AA65</f>
        <v>5900</v>
      </c>
      <c r="G66" s="6">
        <f>'Monthly Forecast'!AB65</f>
        <v>5850</v>
      </c>
      <c r="H66" s="6">
        <f>'Monthly Forecast'!AC65</f>
        <v>5850</v>
      </c>
      <c r="I66" s="6">
        <f>'Monthly Forecast'!AD65</f>
        <v>5850</v>
      </c>
      <c r="J66" s="6">
        <f>'Monthly Forecast'!AE65</f>
        <v>5850</v>
      </c>
      <c r="K66" s="6">
        <f>'Monthly Forecast'!AF65</f>
        <v>5850</v>
      </c>
      <c r="L66" s="6">
        <f>'Monthly Forecast'!AG65</f>
        <v>5900</v>
      </c>
      <c r="M66" s="6">
        <f>'Monthly Forecast'!AH65</f>
        <v>5900</v>
      </c>
      <c r="N66" s="6">
        <f>'Monthly Forecast'!AI65</f>
        <v>5900</v>
      </c>
      <c r="O66" s="6">
        <f>'Monthly Forecast'!AJ65</f>
        <v>5950</v>
      </c>
      <c r="P66" s="3">
        <f t="shared" ref="P66:P71" si="19">SUM(D66:O66)</f>
        <v>70600</v>
      </c>
      <c r="Q66" s="6">
        <f>P66</f>
        <v>70600</v>
      </c>
      <c r="R66" s="181">
        <f>Q66-'Bill Frequency'!R54</f>
        <v>-950</v>
      </c>
      <c r="S66" s="98">
        <f>SUM(Q69:Q71,P74,Q85:Q86,Q95)</f>
        <v>19051867.282808185</v>
      </c>
      <c r="T66" s="98" t="s">
        <v>410</v>
      </c>
      <c r="U66" s="98"/>
      <c r="V66" s="98"/>
      <c r="W66" s="98"/>
    </row>
    <row r="67" spans="1:23">
      <c r="A67" s="4">
        <v>56</v>
      </c>
      <c r="B67" s="2" t="s">
        <v>48</v>
      </c>
      <c r="D67" s="6">
        <f>'Monthly Forecast'!Y66</f>
        <v>7050</v>
      </c>
      <c r="E67" s="6">
        <f>'Monthly Forecast'!Z66</f>
        <v>7050</v>
      </c>
      <c r="F67" s="6">
        <f>'Monthly Forecast'!AA66</f>
        <v>7125</v>
      </c>
      <c r="G67" s="6">
        <f>'Monthly Forecast'!AB66</f>
        <v>6750</v>
      </c>
      <c r="H67" s="6">
        <f>'Monthly Forecast'!AC66</f>
        <v>6900</v>
      </c>
      <c r="I67" s="6">
        <f>'Monthly Forecast'!AD66</f>
        <v>6750</v>
      </c>
      <c r="J67" s="6">
        <f>'Monthly Forecast'!AE66</f>
        <v>6900</v>
      </c>
      <c r="K67" s="6">
        <f>'Monthly Forecast'!AF66</f>
        <v>6900</v>
      </c>
      <c r="L67" s="6">
        <f>'Monthly Forecast'!AG66</f>
        <v>6975</v>
      </c>
      <c r="M67" s="6">
        <f>'Monthly Forecast'!AH66</f>
        <v>7050</v>
      </c>
      <c r="N67" s="6">
        <f>'Monthly Forecast'!AI66</f>
        <v>7200</v>
      </c>
      <c r="O67" s="6">
        <f>'Monthly Forecast'!AJ66</f>
        <v>6975</v>
      </c>
      <c r="P67" s="3">
        <f t="shared" si="19"/>
        <v>83625</v>
      </c>
      <c r="Q67" s="6">
        <f>P67</f>
        <v>83625</v>
      </c>
      <c r="R67" s="181">
        <f>Q67-'Bill Frequency'!R55</f>
        <v>-1425</v>
      </c>
      <c r="S67" s="458">
        <f>SUM(Q66:Q68,Q82:Q84,Q91:Q93)</f>
        <v>259975</v>
      </c>
      <c r="T67" s="98" t="s">
        <v>338</v>
      </c>
      <c r="U67" s="98"/>
      <c r="V67" s="98"/>
      <c r="W67" s="98"/>
    </row>
    <row r="68" spans="1:23">
      <c r="A68" s="4">
        <v>57</v>
      </c>
      <c r="B68" s="2" t="s">
        <v>2</v>
      </c>
      <c r="D68" s="6">
        <f>'Monthly Forecast'!Y67</f>
        <v>0</v>
      </c>
      <c r="E68" s="6">
        <f>'Monthly Forecast'!Z67</f>
        <v>0</v>
      </c>
      <c r="F68" s="6">
        <f>'Monthly Forecast'!AA67</f>
        <v>0</v>
      </c>
      <c r="G68" s="6">
        <f>'Monthly Forecast'!AB67</f>
        <v>0</v>
      </c>
      <c r="H68" s="6">
        <f>'Monthly Forecast'!AC67</f>
        <v>0</v>
      </c>
      <c r="I68" s="6">
        <f>'Monthly Forecast'!AD67</f>
        <v>0</v>
      </c>
      <c r="J68" s="6">
        <f>'Monthly Forecast'!AE67</f>
        <v>0</v>
      </c>
      <c r="K68" s="6">
        <f>'Monthly Forecast'!AF67</f>
        <v>0</v>
      </c>
      <c r="L68" s="6">
        <f>'Monthly Forecast'!AG67</f>
        <v>0</v>
      </c>
      <c r="M68" s="6">
        <f>'Monthly Forecast'!AH67</f>
        <v>0</v>
      </c>
      <c r="N68" s="6">
        <f>'Monthly Forecast'!AI67</f>
        <v>0</v>
      </c>
      <c r="O68" s="6">
        <f>'Monthly Forecast'!AJ67</f>
        <v>0</v>
      </c>
      <c r="P68" s="3">
        <f t="shared" si="19"/>
        <v>0</v>
      </c>
      <c r="Q68" s="6">
        <f>P68</f>
        <v>0</v>
      </c>
      <c r="R68" s="181">
        <f>Q68-'Bill Frequency'!R56</f>
        <v>0</v>
      </c>
      <c r="S68" s="98">
        <f>SUM(S65:S67)</f>
        <v>20570922.282808185</v>
      </c>
      <c r="T68" s="98"/>
      <c r="U68" s="98"/>
      <c r="V68" s="98"/>
      <c r="W68" s="98"/>
    </row>
    <row r="69" spans="1:23">
      <c r="A69" s="4">
        <v>58</v>
      </c>
      <c r="B69" s="2" t="s">
        <v>31</v>
      </c>
      <c r="C69" s="13">
        <f>'Monthly Forecast'!C68</f>
        <v>1.5483</v>
      </c>
      <c r="D69" s="6">
        <f>'Monthly Forecast'!Y68</f>
        <v>31740.676000000003</v>
      </c>
      <c r="E69" s="6">
        <f>'Monthly Forecast'!Z68</f>
        <v>31401.204000000005</v>
      </c>
      <c r="F69" s="6">
        <f>'Monthly Forecast'!AA68</f>
        <v>31572.666000000005</v>
      </c>
      <c r="G69" s="6">
        <f>'Monthly Forecast'!AB68</f>
        <v>31784.461999999996</v>
      </c>
      <c r="H69" s="6">
        <f>'Monthly Forecast'!AC68</f>
        <v>34534.737000000001</v>
      </c>
      <c r="I69" s="6">
        <f>'Monthly Forecast'!AD68</f>
        <v>36151.909999999996</v>
      </c>
      <c r="J69" s="6">
        <f>'Monthly Forecast'!AE68</f>
        <v>36243.234000000004</v>
      </c>
      <c r="K69" s="6">
        <f>'Monthly Forecast'!AF68</f>
        <v>35897.127</v>
      </c>
      <c r="L69" s="6">
        <f>'Monthly Forecast'!AG68</f>
        <v>35221.706000000006</v>
      </c>
      <c r="M69" s="6">
        <f>'Monthly Forecast'!AH68</f>
        <v>35440.599000000002</v>
      </c>
      <c r="N69" s="6">
        <f>'Monthly Forecast'!AI68</f>
        <v>34241.104999999996</v>
      </c>
      <c r="O69" s="6">
        <f>'Monthly Forecast'!AJ68</f>
        <v>32255.929</v>
      </c>
      <c r="P69" s="6">
        <f t="shared" si="19"/>
        <v>406485.35499999998</v>
      </c>
      <c r="Q69" s="6">
        <f>P69*C69</f>
        <v>629361.27514649997</v>
      </c>
      <c r="R69" s="181">
        <f>Q69-'Bill Frequency'!R57</f>
        <v>4438.7639828999527</v>
      </c>
      <c r="T69" s="98"/>
      <c r="U69" s="98"/>
      <c r="V69" s="98"/>
      <c r="W69" s="98"/>
    </row>
    <row r="70" spans="1:23">
      <c r="A70" s="4">
        <v>59</v>
      </c>
      <c r="B70" s="2" t="s">
        <v>32</v>
      </c>
      <c r="C70" s="13">
        <f>'Monthly Forecast'!C69</f>
        <v>1.0762</v>
      </c>
      <c r="D70" s="6">
        <f>'Monthly Forecast'!Y69</f>
        <v>412964.15166666661</v>
      </c>
      <c r="E70" s="6">
        <f>'Monthly Forecast'!Z69</f>
        <v>406840.55795238109</v>
      </c>
      <c r="F70" s="6">
        <f>'Monthly Forecast'!AA69</f>
        <v>413844.60529166675</v>
      </c>
      <c r="G70" s="6">
        <f>'Monthly Forecast'!AB69</f>
        <v>404806.89472023799</v>
      </c>
      <c r="H70" s="6">
        <f>'Monthly Forecast'!AC69</f>
        <v>471919.80472023779</v>
      </c>
      <c r="I70" s="6">
        <f>'Monthly Forecast'!AD69</f>
        <v>525332.28572023823</v>
      </c>
      <c r="J70" s="6">
        <f>'Monthly Forecast'!AE69</f>
        <v>567791.31272023835</v>
      </c>
      <c r="K70" s="6">
        <f>'Monthly Forecast'!AF69</f>
        <v>676762.24672023824</v>
      </c>
      <c r="L70" s="6">
        <f>'Monthly Forecast'!AG69</f>
        <v>551046.99572023796</v>
      </c>
      <c r="M70" s="6">
        <f>'Monthly Forecast'!AH69</f>
        <v>503579.26172023814</v>
      </c>
      <c r="N70" s="6">
        <f>'Monthly Forecast'!AI69</f>
        <v>440323.09891666664</v>
      </c>
      <c r="O70" s="6">
        <f>'Monthly Forecast'!AJ69</f>
        <v>411568.39083333343</v>
      </c>
      <c r="P70" s="6">
        <f t="shared" si="19"/>
        <v>5786779.6067023808</v>
      </c>
      <c r="Q70" s="6">
        <f>P70*C70</f>
        <v>6227732.212733102</v>
      </c>
      <c r="R70" s="181">
        <f>Q70-'Bill Frequency'!R58</f>
        <v>22703.419097902253</v>
      </c>
      <c r="S70" s="98"/>
      <c r="T70" s="98"/>
      <c r="U70" s="98"/>
      <c r="V70" s="98"/>
      <c r="W70" s="98"/>
    </row>
    <row r="71" spans="1:23">
      <c r="A71" s="4">
        <v>60</v>
      </c>
      <c r="B71" s="2" t="s">
        <v>33</v>
      </c>
      <c r="C71" s="13">
        <f>'Monthly Forecast'!C70</f>
        <v>0.88880000000000003</v>
      </c>
      <c r="D71" s="6">
        <f>'Monthly Forecast'!Y70</f>
        <v>111234.209</v>
      </c>
      <c r="E71" s="6">
        <f>'Monthly Forecast'!Z70</f>
        <v>107871.19000000002</v>
      </c>
      <c r="F71" s="6">
        <f>'Monthly Forecast'!AA70</f>
        <v>116960.83199999999</v>
      </c>
      <c r="G71" s="6">
        <f>'Monthly Forecast'!AB70</f>
        <v>108609.992</v>
      </c>
      <c r="H71" s="6">
        <f>'Monthly Forecast'!AC70</f>
        <v>143399.11800000002</v>
      </c>
      <c r="I71" s="6">
        <f>'Monthly Forecast'!AD70</f>
        <v>152185</v>
      </c>
      <c r="J71" s="6">
        <f>'Monthly Forecast'!AE70</f>
        <v>135721.93599999999</v>
      </c>
      <c r="K71" s="6">
        <f>'Monthly Forecast'!AF70</f>
        <v>214738.15400000001</v>
      </c>
      <c r="L71" s="6">
        <f>'Monthly Forecast'!AG70</f>
        <v>172590.22999999995</v>
      </c>
      <c r="M71" s="6">
        <f>'Monthly Forecast'!AH70</f>
        <v>174296.59700000001</v>
      </c>
      <c r="N71" s="6">
        <f>'Monthly Forecast'!AI70</f>
        <v>143735.25599999999</v>
      </c>
      <c r="O71" s="6">
        <f>'Monthly Forecast'!AJ70</f>
        <v>135462.75199999998</v>
      </c>
      <c r="P71" s="6">
        <f t="shared" si="19"/>
        <v>1716805.2660000003</v>
      </c>
      <c r="Q71" s="6">
        <f>P71*C71</f>
        <v>1525896.5204208004</v>
      </c>
      <c r="R71" s="181">
        <f>Q71-'Bill Frequency'!R59</f>
        <v>-3779.3891343995929</v>
      </c>
      <c r="S71" s="98"/>
      <c r="T71" s="98"/>
      <c r="U71" s="98"/>
      <c r="V71" s="98"/>
      <c r="W71" s="98"/>
    </row>
    <row r="72" spans="1:23">
      <c r="A72" s="4">
        <v>61</v>
      </c>
      <c r="B72" s="21" t="s">
        <v>53</v>
      </c>
      <c r="C72" s="21"/>
      <c r="D72" s="20">
        <f t="shared" ref="D72:O72" si="20">D69+D70+D71</f>
        <v>555939.03666666662</v>
      </c>
      <c r="E72" s="20">
        <f t="shared" si="20"/>
        <v>546112.95195238118</v>
      </c>
      <c r="F72" s="20">
        <f t="shared" si="20"/>
        <v>562378.10329166683</v>
      </c>
      <c r="G72" s="20">
        <f t="shared" si="20"/>
        <v>545201.34872023796</v>
      </c>
      <c r="H72" s="20">
        <f t="shared" si="20"/>
        <v>649853.65972023783</v>
      </c>
      <c r="I72" s="20">
        <f t="shared" si="20"/>
        <v>713669.19572023826</v>
      </c>
      <c r="J72" s="20">
        <f t="shared" si="20"/>
        <v>739756.48272023839</v>
      </c>
      <c r="K72" s="20">
        <f t="shared" si="20"/>
        <v>927397.5277202382</v>
      </c>
      <c r="L72" s="20">
        <f t="shared" si="20"/>
        <v>758858.93172023795</v>
      </c>
      <c r="M72" s="20">
        <f t="shared" si="20"/>
        <v>713316.45772023825</v>
      </c>
      <c r="N72" s="20">
        <f t="shared" si="20"/>
        <v>618299.45991666662</v>
      </c>
      <c r="O72" s="20">
        <f t="shared" si="20"/>
        <v>579287.07183333347</v>
      </c>
      <c r="P72" s="20">
        <f>SUM(C72:O72)</f>
        <v>7910070.2277023811</v>
      </c>
      <c r="Q72" s="20">
        <f>SUM(Q65:Q71)</f>
        <v>9273095.0083004031</v>
      </c>
      <c r="R72" s="181">
        <f>SUM(R65:R71)</f>
        <v>11107.793946402613</v>
      </c>
      <c r="S72" s="98"/>
      <c r="T72" s="98"/>
      <c r="U72" s="98"/>
      <c r="V72" s="98"/>
      <c r="W72" s="98"/>
    </row>
    <row r="73" spans="1:23">
      <c r="A73" s="4">
        <v>62</v>
      </c>
      <c r="D73" s="29"/>
      <c r="P73" s="11"/>
      <c r="S73" s="98"/>
      <c r="T73" s="98"/>
      <c r="U73" s="98"/>
      <c r="V73" s="98"/>
      <c r="W73" s="98"/>
    </row>
    <row r="74" spans="1:23">
      <c r="A74" s="4">
        <v>63</v>
      </c>
      <c r="B74" s="23" t="s">
        <v>574</v>
      </c>
      <c r="D74" s="29">
        <f>D75*$C$75+D76*$C$76+D77*$C$77</f>
        <v>0</v>
      </c>
      <c r="E74" s="29">
        <f t="shared" ref="E74:O74" si="21">E75*$C$75+E76*$C$76+E77*$C$77</f>
        <v>0</v>
      </c>
      <c r="F74" s="29">
        <f t="shared" si="21"/>
        <v>0</v>
      </c>
      <c r="G74" s="29">
        <f t="shared" si="21"/>
        <v>0</v>
      </c>
      <c r="H74" s="29">
        <f t="shared" si="21"/>
        <v>0</v>
      </c>
      <c r="I74" s="29">
        <f t="shared" si="21"/>
        <v>0</v>
      </c>
      <c r="J74" s="29">
        <f t="shared" si="21"/>
        <v>0</v>
      </c>
      <c r="K74" s="29">
        <f t="shared" si="21"/>
        <v>0</v>
      </c>
      <c r="L74" s="29">
        <f t="shared" si="21"/>
        <v>0</v>
      </c>
      <c r="M74" s="29">
        <f t="shared" si="21"/>
        <v>0</v>
      </c>
      <c r="N74" s="29">
        <f t="shared" si="21"/>
        <v>0</v>
      </c>
      <c r="O74" s="29">
        <f t="shared" si="21"/>
        <v>0</v>
      </c>
      <c r="P74" s="29">
        <f>SUM(D74:O74)</f>
        <v>0</v>
      </c>
      <c r="S74" s="98"/>
      <c r="T74" s="98"/>
      <c r="U74" s="98"/>
      <c r="V74" s="98"/>
      <c r="W74" s="98"/>
    </row>
    <row r="75" spans="1:23">
      <c r="A75" s="4">
        <v>64</v>
      </c>
      <c r="B75" s="2" t="s">
        <v>31</v>
      </c>
      <c r="C75" s="2">
        <f>'Rate Design'!T27</f>
        <v>1.161225</v>
      </c>
      <c r="D75" s="6">
        <f>'Monthly Forecast'!Y74</f>
        <v>0</v>
      </c>
      <c r="E75" s="6">
        <f>'Monthly Forecast'!Z74</f>
        <v>0</v>
      </c>
      <c r="F75" s="6">
        <f>'Monthly Forecast'!AA74</f>
        <v>0</v>
      </c>
      <c r="G75" s="6">
        <f>'Monthly Forecast'!AB74</f>
        <v>0</v>
      </c>
      <c r="H75" s="6">
        <f>'Monthly Forecast'!AC74</f>
        <v>0</v>
      </c>
      <c r="I75" s="6">
        <f>'Monthly Forecast'!AD74</f>
        <v>0</v>
      </c>
      <c r="J75" s="6">
        <f>'Monthly Forecast'!AE74</f>
        <v>0</v>
      </c>
      <c r="K75" s="6">
        <f>'Monthly Forecast'!AF74</f>
        <v>0</v>
      </c>
      <c r="L75" s="6">
        <f>'Monthly Forecast'!AG74</f>
        <v>0</v>
      </c>
      <c r="M75" s="6">
        <f>'Monthly Forecast'!AH74</f>
        <v>0</v>
      </c>
      <c r="N75" s="6">
        <f>'Monthly Forecast'!AI74</f>
        <v>0</v>
      </c>
      <c r="O75" s="6">
        <f>'Monthly Forecast'!AJ74</f>
        <v>0</v>
      </c>
      <c r="P75" s="6">
        <f t="shared" ref="P75:P77" si="22">SUM(D75:O75)</f>
        <v>0</v>
      </c>
      <c r="Q75" s="6">
        <f t="shared" ref="Q75:Q77" si="23">P75*C75</f>
        <v>0</v>
      </c>
      <c r="R75" s="181">
        <f>Q75-'Bill Frequency'!R63</f>
        <v>0</v>
      </c>
      <c r="S75" s="98"/>
      <c r="T75" s="98"/>
      <c r="U75" s="98"/>
      <c r="V75" s="98"/>
      <c r="W75" s="98"/>
    </row>
    <row r="76" spans="1:23">
      <c r="A76" s="4">
        <v>65</v>
      </c>
      <c r="B76" s="2" t="s">
        <v>32</v>
      </c>
      <c r="C76" s="468">
        <f>'Rate Design'!T28</f>
        <v>0.80715000000000003</v>
      </c>
      <c r="D76" s="6">
        <f>'Monthly Forecast'!Y75</f>
        <v>0</v>
      </c>
      <c r="E76" s="6">
        <f>'Monthly Forecast'!Z75</f>
        <v>0</v>
      </c>
      <c r="F76" s="6">
        <f>'Monthly Forecast'!AA75</f>
        <v>0</v>
      </c>
      <c r="G76" s="6">
        <f>'Monthly Forecast'!AB75</f>
        <v>0</v>
      </c>
      <c r="H76" s="6">
        <f>'Monthly Forecast'!AC75</f>
        <v>0</v>
      </c>
      <c r="I76" s="6">
        <f>'Monthly Forecast'!AD75</f>
        <v>0</v>
      </c>
      <c r="J76" s="6">
        <f>'Monthly Forecast'!AE75</f>
        <v>0</v>
      </c>
      <c r="K76" s="6">
        <f>'Monthly Forecast'!AF75</f>
        <v>0</v>
      </c>
      <c r="L76" s="6">
        <f>'Monthly Forecast'!AG75</f>
        <v>0</v>
      </c>
      <c r="M76" s="6">
        <f>'Monthly Forecast'!AH75</f>
        <v>0</v>
      </c>
      <c r="N76" s="6">
        <f>'Monthly Forecast'!AI75</f>
        <v>0</v>
      </c>
      <c r="O76" s="6">
        <f>'Monthly Forecast'!AJ75</f>
        <v>0</v>
      </c>
      <c r="P76" s="6">
        <f t="shared" si="22"/>
        <v>0</v>
      </c>
      <c r="Q76" s="6">
        <f t="shared" si="23"/>
        <v>0</v>
      </c>
      <c r="R76" s="181">
        <f>Q76-'Bill Frequency'!R64</f>
        <v>0</v>
      </c>
      <c r="S76" s="98"/>
      <c r="T76" s="98"/>
      <c r="U76" s="98"/>
      <c r="V76" s="98"/>
      <c r="W76" s="98"/>
    </row>
    <row r="77" spans="1:23">
      <c r="A77" s="4">
        <v>66</v>
      </c>
      <c r="B77" s="2" t="s">
        <v>572</v>
      </c>
      <c r="C77" s="468">
        <f>'Rate Design'!T29</f>
        <v>0.66660000000000008</v>
      </c>
      <c r="D77" s="6">
        <f>'Monthly Forecast'!Y76</f>
        <v>0</v>
      </c>
      <c r="E77" s="6">
        <f>'Monthly Forecast'!Z76</f>
        <v>0</v>
      </c>
      <c r="F77" s="6">
        <f>'Monthly Forecast'!AA76</f>
        <v>0</v>
      </c>
      <c r="G77" s="6">
        <f>'Monthly Forecast'!AB76</f>
        <v>0</v>
      </c>
      <c r="H77" s="6">
        <f>'Monthly Forecast'!AC76</f>
        <v>0</v>
      </c>
      <c r="I77" s="6">
        <f>'Monthly Forecast'!AD76</f>
        <v>0</v>
      </c>
      <c r="J77" s="6">
        <f>'Monthly Forecast'!AE76</f>
        <v>0</v>
      </c>
      <c r="K77" s="6">
        <f>'Monthly Forecast'!AF76</f>
        <v>0</v>
      </c>
      <c r="L77" s="6">
        <f>'Monthly Forecast'!AG76</f>
        <v>0</v>
      </c>
      <c r="M77" s="6">
        <f>'Monthly Forecast'!AH76</f>
        <v>0</v>
      </c>
      <c r="N77" s="6">
        <f>'Monthly Forecast'!AI76</f>
        <v>0</v>
      </c>
      <c r="O77" s="6">
        <f>'Monthly Forecast'!AJ76</f>
        <v>0</v>
      </c>
      <c r="P77" s="6">
        <f t="shared" si="22"/>
        <v>0</v>
      </c>
      <c r="Q77" s="6">
        <f t="shared" si="23"/>
        <v>0</v>
      </c>
      <c r="R77" s="181">
        <f>Q77-'Bill Frequency'!R65</f>
        <v>0</v>
      </c>
      <c r="S77" s="98"/>
      <c r="T77" s="98"/>
      <c r="U77" s="98"/>
      <c r="V77" s="98"/>
      <c r="W77" s="98"/>
    </row>
    <row r="78" spans="1:23">
      <c r="A78" s="4">
        <v>67</v>
      </c>
      <c r="B78" s="21" t="s">
        <v>53</v>
      </c>
      <c r="C78" s="20"/>
      <c r="D78" s="20">
        <f t="shared" ref="D78:O78" si="24">D75+D76+D77</f>
        <v>0</v>
      </c>
      <c r="E78" s="20">
        <f t="shared" si="24"/>
        <v>0</v>
      </c>
      <c r="F78" s="20">
        <f t="shared" si="24"/>
        <v>0</v>
      </c>
      <c r="G78" s="20">
        <f t="shared" si="24"/>
        <v>0</v>
      </c>
      <c r="H78" s="20">
        <f t="shared" si="24"/>
        <v>0</v>
      </c>
      <c r="I78" s="20">
        <f t="shared" si="24"/>
        <v>0</v>
      </c>
      <c r="J78" s="20">
        <f t="shared" si="24"/>
        <v>0</v>
      </c>
      <c r="K78" s="20">
        <f t="shared" si="24"/>
        <v>0</v>
      </c>
      <c r="L78" s="20">
        <f t="shared" si="24"/>
        <v>0</v>
      </c>
      <c r="M78" s="20">
        <f t="shared" si="24"/>
        <v>0</v>
      </c>
      <c r="N78" s="20">
        <f t="shared" si="24"/>
        <v>0</v>
      </c>
      <c r="O78" s="20">
        <f t="shared" si="24"/>
        <v>0</v>
      </c>
      <c r="P78" s="20">
        <f t="shared" ref="P78" si="25">P75+P76+P77</f>
        <v>0</v>
      </c>
      <c r="Q78" s="20">
        <f t="shared" ref="Q78" si="26">Q75+Q76+Q77</f>
        <v>0</v>
      </c>
      <c r="R78" s="181">
        <f>Q78-'Bill Frequency'!R66</f>
        <v>0</v>
      </c>
      <c r="S78" s="98"/>
      <c r="T78" s="98"/>
      <c r="U78" s="98"/>
      <c r="V78" s="98"/>
      <c r="W78" s="98"/>
    </row>
    <row r="79" spans="1:23">
      <c r="A79" s="4">
        <v>68</v>
      </c>
      <c r="D79" s="29"/>
      <c r="P79" s="11"/>
      <c r="S79" s="98"/>
      <c r="T79" s="98"/>
      <c r="U79" s="98"/>
      <c r="V79" s="98"/>
      <c r="W79" s="98"/>
    </row>
    <row r="80" spans="1:23">
      <c r="A80" s="4">
        <v>69</v>
      </c>
      <c r="B80" s="23" t="s">
        <v>63</v>
      </c>
      <c r="D80" s="50">
        <f t="shared" ref="D80:O80" si="27">D81*$C$81+D85*$C$85+D86*$C$86+D82+D83+D84</f>
        <v>656524.32050020015</v>
      </c>
      <c r="E80" s="50">
        <f t="shared" si="27"/>
        <v>620772.97449199972</v>
      </c>
      <c r="F80" s="50">
        <f t="shared" si="27"/>
        <v>552211.7715261</v>
      </c>
      <c r="G80" s="50">
        <f t="shared" si="27"/>
        <v>620421.47616889991</v>
      </c>
      <c r="H80" s="50">
        <f t="shared" si="27"/>
        <v>714360.6939538999</v>
      </c>
      <c r="I80" s="50">
        <f t="shared" si="27"/>
        <v>732692.03859330015</v>
      </c>
      <c r="J80" s="50">
        <f t="shared" si="27"/>
        <v>735838.19689160003</v>
      </c>
      <c r="K80" s="50">
        <f t="shared" si="27"/>
        <v>788493.51774319995</v>
      </c>
      <c r="L80" s="50">
        <f t="shared" si="27"/>
        <v>713430.92607280007</v>
      </c>
      <c r="M80" s="50">
        <f t="shared" si="27"/>
        <v>712342.12782889989</v>
      </c>
      <c r="N80" s="50">
        <f t="shared" si="27"/>
        <v>669431.70955269993</v>
      </c>
      <c r="O80" s="50">
        <f t="shared" si="27"/>
        <v>663066.36363599985</v>
      </c>
      <c r="P80" s="3">
        <f t="shared" ref="P80:P86" si="28">SUM(C80:O80)</f>
        <v>8179586.1169595998</v>
      </c>
      <c r="Q80" s="51"/>
      <c r="S80" s="98"/>
      <c r="T80" s="98"/>
      <c r="U80" s="98"/>
      <c r="V80" s="98"/>
      <c r="W80" s="98"/>
    </row>
    <row r="81" spans="1:23">
      <c r="A81" s="4">
        <v>70</v>
      </c>
      <c r="B81" s="2" t="s">
        <v>61</v>
      </c>
      <c r="C81" s="44">
        <f>'Monthly Forecast'!C80</f>
        <v>520</v>
      </c>
      <c r="D81" s="6">
        <f>'Monthly Forecast'!Y80</f>
        <v>71</v>
      </c>
      <c r="E81" s="6">
        <f>'Monthly Forecast'!Z80</f>
        <v>71</v>
      </c>
      <c r="F81" s="6">
        <f>'Monthly Forecast'!AA80</f>
        <v>71</v>
      </c>
      <c r="G81" s="6">
        <f>'Monthly Forecast'!AB80</f>
        <v>71</v>
      </c>
      <c r="H81" s="6">
        <f>'Monthly Forecast'!AC80</f>
        <v>71</v>
      </c>
      <c r="I81" s="6">
        <f>'Monthly Forecast'!AD80</f>
        <v>71</v>
      </c>
      <c r="J81" s="6">
        <f>'Monthly Forecast'!AE80</f>
        <v>71</v>
      </c>
      <c r="K81" s="6">
        <f>'Monthly Forecast'!AF80</f>
        <v>71</v>
      </c>
      <c r="L81" s="6">
        <f>'Monthly Forecast'!AG80</f>
        <v>71</v>
      </c>
      <c r="M81" s="6">
        <f>'Monthly Forecast'!AH80</f>
        <v>71</v>
      </c>
      <c r="N81" s="6">
        <f>'Monthly Forecast'!AI80</f>
        <v>71</v>
      </c>
      <c r="O81" s="6">
        <f>'Monthly Forecast'!AJ80</f>
        <v>71</v>
      </c>
      <c r="P81" s="6">
        <f>SUM(D81:O81)</f>
        <v>852</v>
      </c>
      <c r="Q81" s="6">
        <f>P81*C81</f>
        <v>443040</v>
      </c>
      <c r="R81" s="181">
        <f>Q81-'Bill Frequency'!R69</f>
        <v>4160</v>
      </c>
      <c r="S81" s="98"/>
      <c r="T81" s="98"/>
      <c r="U81" s="98"/>
      <c r="V81" s="98"/>
      <c r="W81" s="98"/>
    </row>
    <row r="82" spans="1:23">
      <c r="A82" s="4">
        <v>71</v>
      </c>
      <c r="B82" s="2" t="s">
        <v>1</v>
      </c>
      <c r="D82" s="6">
        <f>'Monthly Forecast'!Y81</f>
        <v>3500</v>
      </c>
      <c r="E82" s="6">
        <f>'Monthly Forecast'!Z81</f>
        <v>3500</v>
      </c>
      <c r="F82" s="6">
        <f>'Monthly Forecast'!AA81</f>
        <v>3500</v>
      </c>
      <c r="G82" s="6">
        <f>'Monthly Forecast'!AB81</f>
        <v>3500</v>
      </c>
      <c r="H82" s="6">
        <f>'Monthly Forecast'!AC81</f>
        <v>3500</v>
      </c>
      <c r="I82" s="6">
        <f>'Monthly Forecast'!AD81</f>
        <v>3500</v>
      </c>
      <c r="J82" s="6">
        <f>'Monthly Forecast'!AE81</f>
        <v>3500</v>
      </c>
      <c r="K82" s="6">
        <f>'Monthly Forecast'!AF81</f>
        <v>3500</v>
      </c>
      <c r="L82" s="6">
        <f>'Monthly Forecast'!AG81</f>
        <v>3500</v>
      </c>
      <c r="M82" s="6">
        <f>'Monthly Forecast'!AH81</f>
        <v>3500</v>
      </c>
      <c r="N82" s="6">
        <f>'Monthly Forecast'!AI81</f>
        <v>3500</v>
      </c>
      <c r="O82" s="6">
        <f>'Monthly Forecast'!AJ81</f>
        <v>3500</v>
      </c>
      <c r="P82" s="3">
        <f t="shared" si="28"/>
        <v>42000</v>
      </c>
      <c r="Q82" s="6">
        <f>P82</f>
        <v>42000</v>
      </c>
      <c r="R82" s="181">
        <f>Q82-'Bill Frequency'!R70</f>
        <v>400</v>
      </c>
      <c r="S82" s="98"/>
      <c r="T82" s="98"/>
      <c r="U82" s="98"/>
      <c r="V82" s="98"/>
      <c r="W82" s="98"/>
    </row>
    <row r="83" spans="1:23">
      <c r="A83" s="4">
        <v>72</v>
      </c>
      <c r="B83" s="2" t="s">
        <v>48</v>
      </c>
      <c r="D83" s="6">
        <f>'Monthly Forecast'!Y82</f>
        <v>3975</v>
      </c>
      <c r="E83" s="6">
        <f>'Monthly Forecast'!Z82</f>
        <v>3975</v>
      </c>
      <c r="F83" s="6">
        <f>'Monthly Forecast'!AA82</f>
        <v>3975</v>
      </c>
      <c r="G83" s="6">
        <f>'Monthly Forecast'!AB82</f>
        <v>3975</v>
      </c>
      <c r="H83" s="6">
        <f>'Monthly Forecast'!AC82</f>
        <v>3975</v>
      </c>
      <c r="I83" s="6">
        <f>'Monthly Forecast'!AD82</f>
        <v>3975</v>
      </c>
      <c r="J83" s="6">
        <f>'Monthly Forecast'!AE82</f>
        <v>3975</v>
      </c>
      <c r="K83" s="6">
        <f>'Monthly Forecast'!AF82</f>
        <v>3975</v>
      </c>
      <c r="L83" s="6">
        <f>'Monthly Forecast'!AG82</f>
        <v>3975</v>
      </c>
      <c r="M83" s="6">
        <f>'Monthly Forecast'!AH82</f>
        <v>3975</v>
      </c>
      <c r="N83" s="6">
        <f>'Monthly Forecast'!AI82</f>
        <v>3975</v>
      </c>
      <c r="O83" s="6">
        <f>'Monthly Forecast'!AJ82</f>
        <v>3975</v>
      </c>
      <c r="P83" s="3">
        <f t="shared" si="28"/>
        <v>47700</v>
      </c>
      <c r="Q83" s="6">
        <f>P83</f>
        <v>47700</v>
      </c>
      <c r="R83" s="181">
        <f>Q83-'Bill Frequency'!R71</f>
        <v>600</v>
      </c>
      <c r="S83" s="98"/>
      <c r="T83" s="98"/>
      <c r="U83" s="98"/>
      <c r="V83" s="98"/>
      <c r="W83" s="98"/>
    </row>
    <row r="84" spans="1:23">
      <c r="A84" s="4">
        <v>73</v>
      </c>
      <c r="B84" s="2" t="s">
        <v>2</v>
      </c>
      <c r="D84" s="6">
        <f>'Monthly Forecast'!Y83</f>
        <v>0</v>
      </c>
      <c r="E84" s="6">
        <f>'Monthly Forecast'!Z83</f>
        <v>0</v>
      </c>
      <c r="F84" s="6">
        <f>'Monthly Forecast'!AA83</f>
        <v>0</v>
      </c>
      <c r="G84" s="6">
        <f>'Monthly Forecast'!AB83</f>
        <v>0</v>
      </c>
      <c r="H84" s="6">
        <f>'Monthly Forecast'!AC83</f>
        <v>0</v>
      </c>
      <c r="I84" s="6">
        <f>'Monthly Forecast'!AD83</f>
        <v>0</v>
      </c>
      <c r="J84" s="6">
        <f>'Monthly Forecast'!AE83</f>
        <v>0</v>
      </c>
      <c r="K84" s="6">
        <f>'Monthly Forecast'!AF83</f>
        <v>0</v>
      </c>
      <c r="L84" s="6">
        <f>'Monthly Forecast'!AG83</f>
        <v>0</v>
      </c>
      <c r="M84" s="6">
        <f>'Monthly Forecast'!AH83</f>
        <v>0</v>
      </c>
      <c r="N84" s="6">
        <f>'Monthly Forecast'!AI83</f>
        <v>0</v>
      </c>
      <c r="O84" s="6">
        <f>'Monthly Forecast'!AJ83</f>
        <v>0</v>
      </c>
      <c r="P84" s="3">
        <f t="shared" si="28"/>
        <v>0</v>
      </c>
      <c r="Q84" s="6">
        <f>P84</f>
        <v>0</v>
      </c>
      <c r="R84" s="181">
        <f>Q84-'Bill Frequency'!R72</f>
        <v>0</v>
      </c>
      <c r="S84" s="98"/>
      <c r="T84" s="98"/>
      <c r="U84" s="98"/>
      <c r="V84" s="98"/>
      <c r="W84" s="98"/>
    </row>
    <row r="85" spans="1:23">
      <c r="A85" s="4">
        <v>74</v>
      </c>
      <c r="B85" s="2" t="s">
        <v>39</v>
      </c>
      <c r="C85" s="13">
        <f>'Monthly Forecast'!C84</f>
        <v>0.95569999999999999</v>
      </c>
      <c r="D85" s="6">
        <f>'Monthly Forecast'!Y84</f>
        <v>417295.32500000007</v>
      </c>
      <c r="E85" s="6">
        <f>'Monthly Forecast'!Z84</f>
        <v>401974.18699999986</v>
      </c>
      <c r="F85" s="6">
        <f>'Monthly Forecast'!AA84</f>
        <v>388998.01500000001</v>
      </c>
      <c r="G85" s="6">
        <f>'Monthly Forecast'!AB84</f>
        <v>399640.08999999991</v>
      </c>
      <c r="H85" s="6">
        <f>'Monthly Forecast'!AC84</f>
        <v>444351.85199999996</v>
      </c>
      <c r="I85" s="6">
        <f>'Monthly Forecast'!AD84</f>
        <v>465474.78000000009</v>
      </c>
      <c r="J85" s="6">
        <f>'Monthly Forecast'!AE84</f>
        <v>465884.10000000003</v>
      </c>
      <c r="K85" s="6">
        <f>'Monthly Forecast'!AF84</f>
        <v>488045.31699999992</v>
      </c>
      <c r="L85" s="6">
        <f>'Monthly Forecast'!AG84</f>
        <v>447164.79100000003</v>
      </c>
      <c r="M85" s="6">
        <f>'Monthly Forecast'!AH84</f>
        <v>436683.45099999994</v>
      </c>
      <c r="N85" s="6">
        <f>'Monthly Forecast'!AI84</f>
        <v>426391.45600000001</v>
      </c>
      <c r="O85" s="6">
        <f>'Monthly Forecast'!AJ84</f>
        <v>425511.52199999994</v>
      </c>
      <c r="P85" s="6">
        <f t="shared" si="28"/>
        <v>5207415.8417000007</v>
      </c>
      <c r="Q85" s="6">
        <f>P85*C85</f>
        <v>4976727.3199126907</v>
      </c>
      <c r="R85" s="181">
        <f>Q85-'Bill Frequency'!R73</f>
        <v>18118.284554291517</v>
      </c>
      <c r="S85" s="98"/>
      <c r="T85" s="98"/>
      <c r="U85" s="98"/>
      <c r="V85" s="98"/>
      <c r="W85" s="98"/>
    </row>
    <row r="86" spans="1:23">
      <c r="A86" s="4">
        <v>75</v>
      </c>
      <c r="B86" s="2" t="s">
        <v>40</v>
      </c>
      <c r="C86" s="13">
        <f>'Monthly Forecast'!C85</f>
        <v>0.78369999999999995</v>
      </c>
      <c r="D86" s="6">
        <f>'Monthly Forecast'!Y85</f>
        <v>272196.22100000002</v>
      </c>
      <c r="E86" s="6">
        <f>'Monthly Forecast'!Z85</f>
        <v>245261.25299999994</v>
      </c>
      <c r="F86" s="6">
        <f>'Monthly Forecast'!AA85</f>
        <v>173601.33800000002</v>
      </c>
      <c r="G86" s="6">
        <f>'Monthly Forecast'!AB85</f>
        <v>247659.10700000005</v>
      </c>
      <c r="H86" s="6">
        <f>'Monthly Forecast'!AC85</f>
        <v>313000.67499999999</v>
      </c>
      <c r="I86" s="6">
        <f>'Monthly Forecast'!AD85</f>
        <v>310632.62900000002</v>
      </c>
      <c r="J86" s="6">
        <f>'Monthly Forecast'!AE85</f>
        <v>314147.96799999994</v>
      </c>
      <c r="K86" s="6">
        <f>'Monthly Forecast'!AF85</f>
        <v>354311.09900000005</v>
      </c>
      <c r="L86" s="6">
        <f>'Monthly Forecast'!AG85</f>
        <v>308383.99300000007</v>
      </c>
      <c r="M86" s="6">
        <f>'Monthly Forecast'!AH85</f>
        <v>319776.386</v>
      </c>
      <c r="N86" s="6">
        <f>'Monthly Forecast'!AI85</f>
        <v>277573.55499999993</v>
      </c>
      <c r="O86" s="6">
        <f>'Monthly Forecast'!AJ85</f>
        <v>270524.43799999997</v>
      </c>
      <c r="P86" s="6">
        <f t="shared" si="28"/>
        <v>3407069.4457</v>
      </c>
      <c r="Q86" s="6">
        <f>P86*C86</f>
        <v>2670120.32459509</v>
      </c>
      <c r="R86" s="181">
        <f>Q86-'Bill Frequency'!R74</f>
        <v>0.6141856899484992</v>
      </c>
      <c r="S86" s="98"/>
      <c r="T86" s="98"/>
      <c r="U86" s="98"/>
      <c r="V86" s="98"/>
      <c r="W86" s="98"/>
    </row>
    <row r="87" spans="1:23">
      <c r="A87" s="4">
        <v>76</v>
      </c>
      <c r="B87" s="21" t="s">
        <v>53</v>
      </c>
      <c r="C87" s="21"/>
      <c r="D87" s="20">
        <f t="shared" ref="D87:P87" si="29">D85+D86</f>
        <v>689491.54600000009</v>
      </c>
      <c r="E87" s="20">
        <f t="shared" si="29"/>
        <v>647235.43999999983</v>
      </c>
      <c r="F87" s="20">
        <f t="shared" si="29"/>
        <v>562599.353</v>
      </c>
      <c r="G87" s="20">
        <f t="shared" si="29"/>
        <v>647299.19699999993</v>
      </c>
      <c r="H87" s="20">
        <f t="shared" si="29"/>
        <v>757352.527</v>
      </c>
      <c r="I87" s="20">
        <f t="shared" si="29"/>
        <v>776107.4090000001</v>
      </c>
      <c r="J87" s="20">
        <f t="shared" si="29"/>
        <v>780032.06799999997</v>
      </c>
      <c r="K87" s="20">
        <f t="shared" si="29"/>
        <v>842356.41599999997</v>
      </c>
      <c r="L87" s="20">
        <f t="shared" si="29"/>
        <v>755548.7840000001</v>
      </c>
      <c r="M87" s="20">
        <f t="shared" si="29"/>
        <v>756459.83699999994</v>
      </c>
      <c r="N87" s="20">
        <f t="shared" si="29"/>
        <v>703965.01099999994</v>
      </c>
      <c r="O87" s="20">
        <f t="shared" si="29"/>
        <v>696035.96</v>
      </c>
      <c r="P87" s="20">
        <f t="shared" si="29"/>
        <v>8614485.2873999998</v>
      </c>
      <c r="Q87" s="20">
        <f>SUM(Q81:Q86)</f>
        <v>8179587.6445077807</v>
      </c>
      <c r="R87" s="181">
        <f>Q87-'Bill Frequency'!R75</f>
        <v>23278.898739981465</v>
      </c>
      <c r="S87" s="98"/>
      <c r="T87" s="98"/>
      <c r="U87" s="98"/>
      <c r="V87" s="98"/>
      <c r="W87" s="98"/>
    </row>
    <row r="88" spans="1:23">
      <c r="A88" s="4">
        <v>77</v>
      </c>
      <c r="D88" s="29"/>
      <c r="S88" s="98"/>
      <c r="T88" s="98"/>
      <c r="U88" s="98"/>
      <c r="V88" s="98"/>
      <c r="W88" s="98"/>
    </row>
    <row r="89" spans="1:23">
      <c r="A89" s="4">
        <v>78</v>
      </c>
      <c r="B89" s="23" t="s">
        <v>64</v>
      </c>
      <c r="D89" s="50">
        <f t="shared" ref="D89:O89" si="30">D90*$C$90+D91+D92+D93+D95</f>
        <v>294856.53250000003</v>
      </c>
      <c r="E89" s="50">
        <f t="shared" si="30"/>
        <v>274115.96250000002</v>
      </c>
      <c r="F89" s="50">
        <f t="shared" si="30"/>
        <v>255651.05249999999</v>
      </c>
      <c r="G89" s="50">
        <f t="shared" si="30"/>
        <v>224506.49249999999</v>
      </c>
      <c r="H89" s="50">
        <f t="shared" si="30"/>
        <v>270434.41250000003</v>
      </c>
      <c r="I89" s="50">
        <f t="shared" si="30"/>
        <v>240831.22249999997</v>
      </c>
      <c r="J89" s="50">
        <f t="shared" si="30"/>
        <v>215894.06249999997</v>
      </c>
      <c r="K89" s="50">
        <f t="shared" si="30"/>
        <v>256668.56250000003</v>
      </c>
      <c r="L89" s="50">
        <f t="shared" si="30"/>
        <v>240852.4425</v>
      </c>
      <c r="M89" s="50">
        <f t="shared" si="30"/>
        <v>258975.85250000001</v>
      </c>
      <c r="N89" s="50">
        <f t="shared" si="30"/>
        <v>304933.69250000006</v>
      </c>
      <c r="O89" s="50">
        <f t="shared" si="30"/>
        <v>280519.34250000003</v>
      </c>
      <c r="P89" s="3">
        <f t="shared" ref="P89:P95" si="31">SUM(C89:O89)</f>
        <v>3118239.63</v>
      </c>
      <c r="Q89" s="51"/>
      <c r="S89" s="98"/>
      <c r="T89" s="98"/>
      <c r="U89" s="98"/>
      <c r="V89" s="98"/>
      <c r="W89" s="98"/>
    </row>
    <row r="90" spans="1:23">
      <c r="A90" s="4">
        <v>79</v>
      </c>
      <c r="B90" s="2" t="s">
        <v>61</v>
      </c>
      <c r="C90" s="44">
        <f>'Monthly Forecast'!C89</f>
        <v>520</v>
      </c>
      <c r="D90" s="6">
        <f>'Monthly Forecast'!Y89</f>
        <v>13.346153846153847</v>
      </c>
      <c r="E90" s="6">
        <f>'Monthly Forecast'!Z89</f>
        <v>13.346153846153847</v>
      </c>
      <c r="F90" s="6">
        <f>'Monthly Forecast'!AA89</f>
        <v>13.346153846153847</v>
      </c>
      <c r="G90" s="6">
        <f>'Monthly Forecast'!AB89</f>
        <v>12.346153846153847</v>
      </c>
      <c r="H90" s="6">
        <f>'Monthly Forecast'!AC89</f>
        <v>12.346153846153847</v>
      </c>
      <c r="I90" s="6">
        <f>'Monthly Forecast'!AD89</f>
        <v>12.346153846153847</v>
      </c>
      <c r="J90" s="6">
        <f>'Monthly Forecast'!AE89</f>
        <v>12.346153846153847</v>
      </c>
      <c r="K90" s="6">
        <f>'Monthly Forecast'!AF89</f>
        <v>12.346153846153847</v>
      </c>
      <c r="L90" s="6">
        <f>'Monthly Forecast'!AG89</f>
        <v>12.346153846153847</v>
      </c>
      <c r="M90" s="6">
        <f>'Monthly Forecast'!AH89</f>
        <v>13.346153846153847</v>
      </c>
      <c r="N90" s="6">
        <f>'Monthly Forecast'!AI89</f>
        <v>13.346153846153847</v>
      </c>
      <c r="O90" s="6">
        <f>'Monthly Forecast'!AJ89</f>
        <v>13.346153846153847</v>
      </c>
      <c r="P90" s="6">
        <f>SUM(D90:O90)</f>
        <v>154.1538461538461</v>
      </c>
      <c r="Q90" s="6">
        <f>P90*C90</f>
        <v>80159.999999999971</v>
      </c>
      <c r="R90" s="181">
        <f>Q90-'Bill Frequency'!R78</f>
        <v>-5200</v>
      </c>
      <c r="S90" s="98"/>
      <c r="T90" s="98"/>
      <c r="U90" s="98"/>
      <c r="V90" s="98"/>
      <c r="W90" s="98"/>
    </row>
    <row r="91" spans="1:23">
      <c r="A91" s="4">
        <v>80</v>
      </c>
      <c r="B91" s="2" t="s">
        <v>1</v>
      </c>
      <c r="D91" s="6">
        <f>'Monthly Forecast'!Y90</f>
        <v>650</v>
      </c>
      <c r="E91" s="6">
        <f>'Monthly Forecast'!Z90</f>
        <v>650</v>
      </c>
      <c r="F91" s="6">
        <f>'Monthly Forecast'!AA90</f>
        <v>650</v>
      </c>
      <c r="G91" s="6">
        <f>'Monthly Forecast'!AB90</f>
        <v>600</v>
      </c>
      <c r="H91" s="6">
        <f>'Monthly Forecast'!AC90</f>
        <v>600</v>
      </c>
      <c r="I91" s="6">
        <f>'Monthly Forecast'!AD90</f>
        <v>600</v>
      </c>
      <c r="J91" s="6">
        <f>'Monthly Forecast'!AE90</f>
        <v>600</v>
      </c>
      <c r="K91" s="6">
        <f>'Monthly Forecast'!AF90</f>
        <v>600</v>
      </c>
      <c r="L91" s="6">
        <f>'Monthly Forecast'!AG90</f>
        <v>600</v>
      </c>
      <c r="M91" s="6">
        <f>'Monthly Forecast'!AH90</f>
        <v>650</v>
      </c>
      <c r="N91" s="6">
        <f>'Monthly Forecast'!AI90</f>
        <v>650</v>
      </c>
      <c r="O91" s="6">
        <f>'Monthly Forecast'!AJ90</f>
        <v>650</v>
      </c>
      <c r="P91" s="3">
        <f t="shared" si="31"/>
        <v>7500</v>
      </c>
      <c r="Q91" s="6">
        <f>P91</f>
        <v>7500</v>
      </c>
      <c r="R91" s="181">
        <f>Q91-'Bill Frequency'!R79</f>
        <v>-500</v>
      </c>
      <c r="S91" s="98"/>
      <c r="T91" s="98"/>
      <c r="U91" s="98"/>
      <c r="V91" s="98"/>
      <c r="W91" s="98"/>
    </row>
    <row r="92" spans="1:23">
      <c r="A92" s="4">
        <v>81</v>
      </c>
      <c r="B92" s="2" t="s">
        <v>48</v>
      </c>
      <c r="D92" s="6">
        <f>'Monthly Forecast'!Y91</f>
        <v>750</v>
      </c>
      <c r="E92" s="6">
        <f>'Monthly Forecast'!Z91</f>
        <v>750</v>
      </c>
      <c r="F92" s="6">
        <f>'Monthly Forecast'!AA91</f>
        <v>750</v>
      </c>
      <c r="G92" s="6">
        <f>'Monthly Forecast'!AB91</f>
        <v>675</v>
      </c>
      <c r="H92" s="6">
        <f>'Monthly Forecast'!AC91</f>
        <v>675</v>
      </c>
      <c r="I92" s="6">
        <f>'Monthly Forecast'!AD91</f>
        <v>675</v>
      </c>
      <c r="J92" s="6">
        <f>'Monthly Forecast'!AE91</f>
        <v>675</v>
      </c>
      <c r="K92" s="6">
        <f>'Monthly Forecast'!AF91</f>
        <v>675</v>
      </c>
      <c r="L92" s="6">
        <f>'Monthly Forecast'!AG91</f>
        <v>675</v>
      </c>
      <c r="M92" s="6">
        <f>'Monthly Forecast'!AH91</f>
        <v>750</v>
      </c>
      <c r="N92" s="6">
        <f>'Monthly Forecast'!AI91</f>
        <v>750</v>
      </c>
      <c r="O92" s="6">
        <f>'Monthly Forecast'!AJ91</f>
        <v>750</v>
      </c>
      <c r="P92" s="3">
        <f t="shared" si="31"/>
        <v>8550</v>
      </c>
      <c r="Q92" s="6">
        <f>P92</f>
        <v>8550</v>
      </c>
      <c r="R92" s="181">
        <f>Q92-'Bill Frequency'!R80</f>
        <v>-750</v>
      </c>
      <c r="S92" s="98"/>
      <c r="T92" s="98"/>
      <c r="U92" s="98"/>
      <c r="V92" s="98"/>
      <c r="W92" s="98"/>
    </row>
    <row r="93" spans="1:23">
      <c r="A93" s="4">
        <v>82</v>
      </c>
      <c r="B93" s="2" t="s">
        <v>2</v>
      </c>
      <c r="D93" s="6">
        <f>'Monthly Forecast'!Y92</f>
        <v>0</v>
      </c>
      <c r="E93" s="6">
        <f>'Monthly Forecast'!Z92</f>
        <v>0</v>
      </c>
      <c r="F93" s="6">
        <f>'Monthly Forecast'!AA92</f>
        <v>0</v>
      </c>
      <c r="G93" s="6">
        <f>'Monthly Forecast'!AB92</f>
        <v>0</v>
      </c>
      <c r="H93" s="6">
        <f>'Monthly Forecast'!AC92</f>
        <v>0</v>
      </c>
      <c r="I93" s="6">
        <f>'Monthly Forecast'!AD92</f>
        <v>0</v>
      </c>
      <c r="J93" s="6">
        <f>'Monthly Forecast'!AE92</f>
        <v>0</v>
      </c>
      <c r="K93" s="6">
        <f>'Monthly Forecast'!AF92</f>
        <v>0</v>
      </c>
      <c r="L93" s="6">
        <f>'Monthly Forecast'!AG92</f>
        <v>0</v>
      </c>
      <c r="M93" s="6">
        <f>'Monthly Forecast'!AH92</f>
        <v>0</v>
      </c>
      <c r="N93" s="6">
        <f>'Monthly Forecast'!AI92</f>
        <v>0</v>
      </c>
      <c r="O93" s="6">
        <f>'Monthly Forecast'!AJ92</f>
        <v>0</v>
      </c>
      <c r="P93" s="3">
        <f t="shared" si="31"/>
        <v>0</v>
      </c>
      <c r="Q93" s="6">
        <f>P93</f>
        <v>0</v>
      </c>
      <c r="R93" s="181">
        <f>Q93-'Bill Frequency'!R81</f>
        <v>0</v>
      </c>
      <c r="S93" s="98"/>
      <c r="T93" s="98"/>
      <c r="U93" s="98"/>
      <c r="V93" s="98"/>
      <c r="W93" s="98"/>
    </row>
    <row r="94" spans="1:23">
      <c r="A94" s="4">
        <v>83</v>
      </c>
      <c r="B94" s="2" t="s">
        <v>65</v>
      </c>
      <c r="C94" s="37" t="s">
        <v>47</v>
      </c>
      <c r="D94" s="6">
        <f>'Monthly Forecast'!Y93</f>
        <v>1174024.8120000002</v>
      </c>
      <c r="E94" s="6">
        <f>'Monthly Forecast'!Z93</f>
        <v>1325397.4870000002</v>
      </c>
      <c r="F94" s="6">
        <f>'Monthly Forecast'!AA93</f>
        <v>1227574.175</v>
      </c>
      <c r="G94" s="6">
        <f>'Monthly Forecast'!AB93</f>
        <v>1095711.6499999999</v>
      </c>
      <c r="H94" s="6">
        <f>'Monthly Forecast'!AC93</f>
        <v>1171325.5090000001</v>
      </c>
      <c r="I94" s="6">
        <f>'Monthly Forecast'!AD93</f>
        <v>1223327.2750000001</v>
      </c>
      <c r="J94" s="6">
        <f>'Monthly Forecast'!AE93</f>
        <v>1296950.4989999998</v>
      </c>
      <c r="K94" s="6">
        <f>'Monthly Forecast'!AF93</f>
        <v>1535323.86</v>
      </c>
      <c r="L94" s="6">
        <f>'Monthly Forecast'!AG93</f>
        <v>1391759.6110000003</v>
      </c>
      <c r="M94" s="6">
        <f>'Monthly Forecast'!AH93</f>
        <v>1467400.6270000001</v>
      </c>
      <c r="N94" s="6">
        <f>'Monthly Forecast'!AI93</f>
        <v>1320463.8700000003</v>
      </c>
      <c r="O94" s="6">
        <f>'Monthly Forecast'!AJ93</f>
        <v>1275922.6930000002</v>
      </c>
      <c r="P94" s="6">
        <f t="shared" si="31"/>
        <v>15505182.068</v>
      </c>
      <c r="Q94" s="6"/>
      <c r="R94" s="181">
        <f>Q94-'Bill Frequency'!R82</f>
        <v>0</v>
      </c>
      <c r="S94" s="98"/>
      <c r="T94" s="98"/>
      <c r="U94" s="98"/>
      <c r="V94" s="98"/>
      <c r="W94" s="98"/>
    </row>
    <row r="95" spans="1:23">
      <c r="A95" s="4">
        <v>84</v>
      </c>
      <c r="B95" s="2" t="s">
        <v>66</v>
      </c>
      <c r="C95" s="37"/>
      <c r="D95" s="6">
        <f>'Monthly Forecast'!Y94</f>
        <v>286516.53250000003</v>
      </c>
      <c r="E95" s="6">
        <f>'Monthly Forecast'!Z94</f>
        <v>265775.96250000002</v>
      </c>
      <c r="F95" s="6">
        <f>'Monthly Forecast'!AA94</f>
        <v>247311.05249999999</v>
      </c>
      <c r="G95" s="6">
        <f>'Monthly Forecast'!AB94</f>
        <v>216811.49249999999</v>
      </c>
      <c r="H95" s="6">
        <f>'Monthly Forecast'!AC94</f>
        <v>262739.41250000003</v>
      </c>
      <c r="I95" s="6">
        <f>'Monthly Forecast'!AD94</f>
        <v>233136.22249999997</v>
      </c>
      <c r="J95" s="6">
        <f>'Monthly Forecast'!AE94</f>
        <v>208199.06249999997</v>
      </c>
      <c r="K95" s="6">
        <f>'Monthly Forecast'!AF94</f>
        <v>248973.56250000003</v>
      </c>
      <c r="L95" s="6">
        <f>'Monthly Forecast'!AG94</f>
        <v>233157.4425</v>
      </c>
      <c r="M95" s="6">
        <f>'Monthly Forecast'!AH94</f>
        <v>250635.85250000001</v>
      </c>
      <c r="N95" s="6">
        <f>'Monthly Forecast'!AI94</f>
        <v>296593.69250000006</v>
      </c>
      <c r="O95" s="6">
        <f>'Monthly Forecast'!AJ94</f>
        <v>272179.34250000003</v>
      </c>
      <c r="P95" s="3">
        <f t="shared" si="31"/>
        <v>3022029.63</v>
      </c>
      <c r="Q95" s="6">
        <f>P95</f>
        <v>3022029.63</v>
      </c>
      <c r="R95" s="181">
        <f>Q95-'Bill Frequency'!R83</f>
        <v>245942.15999999922</v>
      </c>
      <c r="S95" s="98"/>
      <c r="T95" s="98"/>
      <c r="U95" s="98"/>
      <c r="V95" s="98"/>
      <c r="W95" s="98"/>
    </row>
    <row r="96" spans="1:23">
      <c r="A96" s="4">
        <v>85</v>
      </c>
      <c r="B96" s="21" t="s">
        <v>53</v>
      </c>
      <c r="C96" s="21"/>
      <c r="D96" s="20">
        <f t="shared" ref="D96:P96" si="32">D94</f>
        <v>1174024.8120000002</v>
      </c>
      <c r="E96" s="20">
        <f t="shared" si="32"/>
        <v>1325397.4870000002</v>
      </c>
      <c r="F96" s="20">
        <f t="shared" si="32"/>
        <v>1227574.175</v>
      </c>
      <c r="G96" s="20">
        <f t="shared" si="32"/>
        <v>1095711.6499999999</v>
      </c>
      <c r="H96" s="20">
        <f t="shared" si="32"/>
        <v>1171325.5090000001</v>
      </c>
      <c r="I96" s="20">
        <f t="shared" si="32"/>
        <v>1223327.2750000001</v>
      </c>
      <c r="J96" s="20">
        <f t="shared" si="32"/>
        <v>1296950.4989999998</v>
      </c>
      <c r="K96" s="20">
        <f t="shared" si="32"/>
        <v>1535323.86</v>
      </c>
      <c r="L96" s="20">
        <f t="shared" si="32"/>
        <v>1391759.6110000003</v>
      </c>
      <c r="M96" s="20">
        <f t="shared" si="32"/>
        <v>1467400.6270000001</v>
      </c>
      <c r="N96" s="20">
        <f t="shared" si="32"/>
        <v>1320463.8700000003</v>
      </c>
      <c r="O96" s="20">
        <f t="shared" si="32"/>
        <v>1275922.6930000002</v>
      </c>
      <c r="P96" s="20">
        <f t="shared" si="32"/>
        <v>15505182.068</v>
      </c>
      <c r="Q96" s="20">
        <f>SUM(Q90:Q95)</f>
        <v>3118239.63</v>
      </c>
      <c r="R96" s="181">
        <f>Q96-'Bill Frequency'!R84</f>
        <v>239492.15999999922</v>
      </c>
      <c r="S96" s="98"/>
      <c r="T96" s="98"/>
      <c r="U96" s="98"/>
      <c r="V96" s="98"/>
      <c r="W96" s="98"/>
    </row>
    <row r="97" spans="1:23">
      <c r="A97" s="4">
        <v>86</v>
      </c>
      <c r="D97" s="3"/>
      <c r="S97" s="98"/>
      <c r="T97" s="98"/>
      <c r="U97" s="98"/>
      <c r="V97" s="98"/>
      <c r="W97" s="98"/>
    </row>
    <row r="98" spans="1:23">
      <c r="A98" s="4">
        <v>87</v>
      </c>
      <c r="B98" s="2" t="s">
        <v>279</v>
      </c>
      <c r="D98" s="3"/>
      <c r="S98" s="98"/>
      <c r="T98" s="98"/>
      <c r="U98" s="98"/>
      <c r="V98" s="98"/>
      <c r="W98" s="98"/>
    </row>
    <row r="99" spans="1:23">
      <c r="A99" s="4">
        <v>88</v>
      </c>
      <c r="B99" s="2" t="s">
        <v>280</v>
      </c>
      <c r="D99" s="3">
        <f>'Monthly Forecast'!Y98</f>
        <v>3438</v>
      </c>
      <c r="E99" s="3">
        <f>'Monthly Forecast'!Z98</f>
        <v>3844</v>
      </c>
      <c r="F99" s="3">
        <f>'Monthly Forecast'!AA98</f>
        <v>3004</v>
      </c>
      <c r="G99" s="3">
        <f>'Monthly Forecast'!AB98</f>
        <v>3387</v>
      </c>
      <c r="H99" s="3">
        <f>'Monthly Forecast'!AC98</f>
        <v>3698</v>
      </c>
      <c r="I99" s="3">
        <f>'Monthly Forecast'!AD98</f>
        <v>4212</v>
      </c>
      <c r="J99" s="3">
        <f>'Monthly Forecast'!AE98</f>
        <v>9928</v>
      </c>
      <c r="K99" s="3">
        <f>'Monthly Forecast'!AF98</f>
        <v>8550</v>
      </c>
      <c r="L99" s="3">
        <f>'Monthly Forecast'!AG98</f>
        <v>4906</v>
      </c>
      <c r="M99" s="3">
        <f>'Monthly Forecast'!AH98</f>
        <v>5587</v>
      </c>
      <c r="N99" s="3">
        <f>'Monthly Forecast'!AI98</f>
        <v>4026</v>
      </c>
      <c r="O99" s="3">
        <f>'Monthly Forecast'!AJ98</f>
        <v>4332</v>
      </c>
      <c r="P99" s="3">
        <f>SUM(D99:O99)</f>
        <v>58912</v>
      </c>
      <c r="Q99" s="3"/>
      <c r="S99" s="98"/>
      <c r="T99" s="98"/>
      <c r="U99" s="98"/>
      <c r="V99" s="98"/>
      <c r="W99" s="98"/>
    </row>
    <row r="100" spans="1:23">
      <c r="A100" s="4">
        <v>89</v>
      </c>
      <c r="B100" s="2" t="s">
        <v>73</v>
      </c>
      <c r="D100" s="3">
        <f>'Monthly Forecast'!Y99</f>
        <v>41096.213952947801</v>
      </c>
      <c r="E100" s="3">
        <f>'Monthly Forecast'!Z99</f>
        <v>30593.507387147787</v>
      </c>
      <c r="F100" s="3">
        <f>'Monthly Forecast'!AA99</f>
        <v>21780.060594189254</v>
      </c>
      <c r="G100" s="3">
        <f>'Monthly Forecast'!AB99</f>
        <v>16033.312756770089</v>
      </c>
      <c r="H100" s="3">
        <f>'Monthly Forecast'!AC99</f>
        <v>15171.878621207807</v>
      </c>
      <c r="I100" s="3">
        <f>'Monthly Forecast'!AD99</f>
        <v>15548.307366768042</v>
      </c>
      <c r="J100" s="3">
        <f>'Monthly Forecast'!AE99</f>
        <v>15485.738062021457</v>
      </c>
      <c r="K100" s="3">
        <f>'Monthly Forecast'!AF99</f>
        <v>18793.22858503829</v>
      </c>
      <c r="L100" s="3">
        <f>'Monthly Forecast'!AG99</f>
        <v>33240.004271835103</v>
      </c>
      <c r="M100" s="3">
        <f>'Monthly Forecast'!AH99</f>
        <v>47958.341037120852</v>
      </c>
      <c r="N100" s="3">
        <f>'Monthly Forecast'!AI99</f>
        <v>55753.086848952247</v>
      </c>
      <c r="O100" s="3">
        <f>'Monthly Forecast'!AJ99</f>
        <v>56008.220481848206</v>
      </c>
      <c r="P100" s="3">
        <f>SUM(D100:O100)</f>
        <v>367461.89996584691</v>
      </c>
      <c r="Q100" s="3"/>
      <c r="S100" s="98"/>
      <c r="T100" s="98"/>
      <c r="U100" s="98"/>
      <c r="V100" s="98"/>
      <c r="W100" s="98"/>
    </row>
    <row r="101" spans="1:23">
      <c r="A101" s="4">
        <v>90</v>
      </c>
      <c r="S101" s="98"/>
      <c r="T101" s="98"/>
      <c r="U101" s="98"/>
      <c r="V101" s="98"/>
      <c r="W101" s="98"/>
    </row>
    <row r="102" spans="1:23">
      <c r="A102" s="4">
        <v>91</v>
      </c>
      <c r="B102" s="18" t="s">
        <v>281</v>
      </c>
      <c r="D102" s="3">
        <f>D108+D99+D100</f>
        <v>8475462.835355917</v>
      </c>
      <c r="E102" s="3">
        <f t="shared" ref="E102:O102" si="33">E108+E99+E100</f>
        <v>7298721.0661476292</v>
      </c>
      <c r="F102" s="3">
        <f t="shared" si="33"/>
        <v>6531878.1374144331</v>
      </c>
      <c r="G102" s="3">
        <f t="shared" si="33"/>
        <v>6409099.1358435331</v>
      </c>
      <c r="H102" s="3">
        <f t="shared" si="33"/>
        <v>6657754.1867800774</v>
      </c>
      <c r="I102" s="3">
        <f t="shared" si="33"/>
        <v>6683026.4319059495</v>
      </c>
      <c r="J102" s="3">
        <f t="shared" si="33"/>
        <v>7063480.1561865238</v>
      </c>
      <c r="K102" s="3">
        <f t="shared" si="33"/>
        <v>8877272.2670563757</v>
      </c>
      <c r="L102" s="3">
        <f t="shared" si="33"/>
        <v>10175893.49283443</v>
      </c>
      <c r="M102" s="3">
        <f t="shared" si="33"/>
        <v>11003381.25510427</v>
      </c>
      <c r="N102" s="3">
        <f t="shared" si="33"/>
        <v>11274397.337462042</v>
      </c>
      <c r="O102" s="3">
        <f t="shared" si="33"/>
        <v>9730748.8450205382</v>
      </c>
      <c r="P102" s="3">
        <f>SUM(D102:O102)</f>
        <v>100181115.14711171</v>
      </c>
      <c r="Q102" s="6"/>
      <c r="R102" s="181"/>
      <c r="S102" s="98"/>
      <c r="T102" s="98"/>
      <c r="U102" s="98"/>
      <c r="V102" s="98"/>
      <c r="W102" s="98"/>
    </row>
    <row r="103" spans="1:23">
      <c r="A103" s="4">
        <v>92</v>
      </c>
      <c r="B103" s="2" t="s">
        <v>188</v>
      </c>
      <c r="D103" s="3">
        <f t="shared" ref="D103:O103" si="34">D62+D54+D46+D37+D28+D19</f>
        <v>6982218.9628609549</v>
      </c>
      <c r="E103" s="3">
        <f t="shared" si="34"/>
        <v>4112629.6777597396</v>
      </c>
      <c r="F103" s="3">
        <f t="shared" si="34"/>
        <v>2020053.9170128419</v>
      </c>
      <c r="G103" s="3">
        <f t="shared" si="34"/>
        <v>1734260.1808545445</v>
      </c>
      <c r="H103" s="3">
        <f t="shared" si="34"/>
        <v>1895723.9966289767</v>
      </c>
      <c r="I103" s="3">
        <f t="shared" si="34"/>
        <v>1919919.1172605176</v>
      </c>
      <c r="J103" s="3">
        <f t="shared" si="34"/>
        <v>3099921.7521362798</v>
      </c>
      <c r="K103" s="3">
        <f t="shared" si="34"/>
        <v>8220794.5724572185</v>
      </c>
      <c r="L103" s="3">
        <f t="shared" si="34"/>
        <v>13532727.545907762</v>
      </c>
      <c r="M103" s="3">
        <f t="shared" si="34"/>
        <v>16482301.918303896</v>
      </c>
      <c r="N103" s="3">
        <f t="shared" si="34"/>
        <v>16228082.105095781</v>
      </c>
      <c r="O103" s="3">
        <f t="shared" si="34"/>
        <v>11412264.325620897</v>
      </c>
      <c r="P103" s="3">
        <f>SUM(D103:O103)</f>
        <v>87640898.071899384</v>
      </c>
      <c r="Q103" s="6"/>
      <c r="S103" s="98"/>
      <c r="T103" s="98"/>
      <c r="U103" s="98"/>
      <c r="V103" s="98"/>
      <c r="W103" s="98"/>
    </row>
    <row r="104" spans="1:23">
      <c r="A104" s="4">
        <v>93</v>
      </c>
      <c r="B104" s="18" t="s">
        <v>282</v>
      </c>
      <c r="D104" s="3">
        <f>D102+D103</f>
        <v>15457681.798216872</v>
      </c>
      <c r="E104" s="3">
        <f t="shared" ref="E104:O104" si="35">E102+E103</f>
        <v>11411350.74390737</v>
      </c>
      <c r="F104" s="3">
        <f t="shared" si="35"/>
        <v>8551932.0544272754</v>
      </c>
      <c r="G104" s="3">
        <f t="shared" si="35"/>
        <v>8143359.3166980781</v>
      </c>
      <c r="H104" s="3">
        <f t="shared" si="35"/>
        <v>8553478.1834090538</v>
      </c>
      <c r="I104" s="3">
        <f t="shared" si="35"/>
        <v>8602945.549166467</v>
      </c>
      <c r="J104" s="3">
        <f t="shared" si="35"/>
        <v>10163401.908322804</v>
      </c>
      <c r="K104" s="3">
        <f t="shared" si="35"/>
        <v>17098066.839513592</v>
      </c>
      <c r="L104" s="3">
        <f t="shared" si="35"/>
        <v>23708621.038742192</v>
      </c>
      <c r="M104" s="3">
        <f t="shared" si="35"/>
        <v>27485683.173408166</v>
      </c>
      <c r="N104" s="3">
        <f t="shared" si="35"/>
        <v>27502479.442557823</v>
      </c>
      <c r="O104" s="3">
        <f t="shared" si="35"/>
        <v>21143013.170641437</v>
      </c>
      <c r="P104" s="3">
        <f>SUM(D104:O104)</f>
        <v>187822013.21901113</v>
      </c>
      <c r="Q104" s="6"/>
      <c r="S104" s="98"/>
      <c r="T104" s="98"/>
      <c r="U104" s="98"/>
      <c r="V104" s="98"/>
      <c r="W104" s="98"/>
    </row>
    <row r="105" spans="1:23">
      <c r="A105" s="4"/>
      <c r="Q105" s="6"/>
    </row>
    <row r="106" spans="1:23">
      <c r="A106" s="4"/>
      <c r="Q106" s="6"/>
    </row>
    <row r="107" spans="1:23">
      <c r="A107" s="4"/>
      <c r="D107" s="6">
        <f t="shared" ref="D107:P107" si="36">D17+D26+D35+D44+D52+D60+D72+D87+D96</f>
        <v>3949013.2276285691</v>
      </c>
      <c r="E107" s="6">
        <f t="shared" si="36"/>
        <v>3356656.9341787314</v>
      </c>
      <c r="F107" s="6">
        <f t="shared" si="36"/>
        <v>2766078.2270126566</v>
      </c>
      <c r="G107" s="6">
        <f t="shared" si="36"/>
        <v>2641755.6318805488</v>
      </c>
      <c r="H107" s="6">
        <f t="shared" si="36"/>
        <v>2938388.4560630769</v>
      </c>
      <c r="I107" s="6">
        <f t="shared" si="36"/>
        <v>3078106.7590189362</v>
      </c>
      <c r="J107" s="6">
        <f t="shared" si="36"/>
        <v>3404159.1005430473</v>
      </c>
      <c r="K107" s="6">
        <f t="shared" si="36"/>
        <v>4850806.9602762721</v>
      </c>
      <c r="L107" s="6">
        <f t="shared" si="36"/>
        <v>5450053.3082100209</v>
      </c>
      <c r="M107" s="6">
        <f t="shared" si="36"/>
        <v>6034486.5438986626</v>
      </c>
      <c r="N107" s="6">
        <f t="shared" si="36"/>
        <v>5964347.4549069908</v>
      </c>
      <c r="O107" s="6">
        <f t="shared" si="36"/>
        <v>4889388.0623689126</v>
      </c>
      <c r="P107" s="6">
        <f t="shared" si="36"/>
        <v>49323245.884186417</v>
      </c>
      <c r="Q107" s="6"/>
    </row>
    <row r="108" spans="1:23">
      <c r="A108" s="4"/>
      <c r="C108" s="6"/>
      <c r="D108" s="3">
        <f>D89+D80+D64+D56+D48+D39+D30+D21+D12+D74</f>
        <v>8430928.6214029696</v>
      </c>
      <c r="E108" s="3">
        <f t="shared" ref="E108:O108" si="37">E89+E80+E64+E56+E48+E39+E30+E21+E12+E74</f>
        <v>7264283.558760481</v>
      </c>
      <c r="F108" s="3">
        <f t="shared" si="37"/>
        <v>6507094.0768202441</v>
      </c>
      <c r="G108" s="3">
        <f t="shared" si="37"/>
        <v>6389678.8230867628</v>
      </c>
      <c r="H108" s="3">
        <f t="shared" si="37"/>
        <v>6638884.3081588699</v>
      </c>
      <c r="I108" s="3">
        <f t="shared" si="37"/>
        <v>6663266.1245391816</v>
      </c>
      <c r="J108" s="3">
        <f t="shared" si="37"/>
        <v>7038066.4181245025</v>
      </c>
      <c r="K108" s="3">
        <f t="shared" si="37"/>
        <v>8849929.0384713374</v>
      </c>
      <c r="L108" s="3">
        <f t="shared" si="37"/>
        <v>10137747.488562595</v>
      </c>
      <c r="M108" s="3">
        <f t="shared" si="37"/>
        <v>10949835.914067149</v>
      </c>
      <c r="N108" s="3">
        <f t="shared" si="37"/>
        <v>11214618.25061309</v>
      </c>
      <c r="O108" s="3">
        <f t="shared" si="37"/>
        <v>9670408.6245386899</v>
      </c>
      <c r="P108" s="3">
        <f>P89+P80+P64+P56+P48+P39+P30+P21+P12</f>
        <v>99754741.247145891</v>
      </c>
      <c r="Q108" s="6"/>
    </row>
    <row r="109" spans="1:23">
      <c r="A109" s="4"/>
      <c r="C109" s="6"/>
      <c r="D109" s="3">
        <f>D62+D54+D46+D37+D28+D19</f>
        <v>6982218.9628609549</v>
      </c>
      <c r="E109" s="3">
        <f>E62+E54+E46+E37+E28+E19</f>
        <v>4112629.6777597396</v>
      </c>
      <c r="F109" s="3">
        <f>F62+F54+F46+F37+F28+F19</f>
        <v>2020053.9170128419</v>
      </c>
      <c r="G109" s="3">
        <f>G62+G54+G46+G37+G28+G19</f>
        <v>1734260.1808545445</v>
      </c>
      <c r="H109" s="3">
        <f t="shared" ref="H109:P109" si="38">H62+H54+H46+H37+H28+H19</f>
        <v>1895723.9966289767</v>
      </c>
      <c r="I109" s="3">
        <f t="shared" si="38"/>
        <v>1919919.1172605176</v>
      </c>
      <c r="J109" s="3">
        <f t="shared" si="38"/>
        <v>3099921.7521362798</v>
      </c>
      <c r="K109" s="3">
        <f t="shared" si="38"/>
        <v>8220794.5724572185</v>
      </c>
      <c r="L109" s="3">
        <f t="shared" si="38"/>
        <v>13532727.545907762</v>
      </c>
      <c r="M109" s="3">
        <f t="shared" si="38"/>
        <v>16482301.918303896</v>
      </c>
      <c r="N109" s="3">
        <f t="shared" si="38"/>
        <v>16228082.105095781</v>
      </c>
      <c r="O109" s="3">
        <f t="shared" si="38"/>
        <v>11412264.325620897</v>
      </c>
      <c r="P109" s="3">
        <f t="shared" si="38"/>
        <v>87640898.071899414</v>
      </c>
      <c r="Q109" s="6"/>
    </row>
    <row r="110" spans="1:23">
      <c r="A110" s="4"/>
      <c r="D110" s="3"/>
      <c r="Q110" s="6"/>
    </row>
    <row r="111" spans="1:23">
      <c r="A111" s="4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28">
        <f>SUM(P14,P23,P32,P41,P69,P75)</f>
        <v>16261827.249135001</v>
      </c>
      <c r="Q111" s="28">
        <f>SUM(Q14,Q23,Q32,Q41,Q69,Q75)</f>
        <v>25178187.129835721</v>
      </c>
      <c r="R111" s="26">
        <f>Q111/$Q$114</f>
        <v>0.73511566043219112</v>
      </c>
      <c r="S111" s="495">
        <f>Q111/P111</f>
        <v>1.5483</v>
      </c>
    </row>
    <row r="112" spans="1:23">
      <c r="A112" s="4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28">
        <f t="shared" ref="P112:Q113" si="39">SUM(P15,P24,P33,P42,P70,P76)</f>
        <v>7012231.5001514237</v>
      </c>
      <c r="Q112" s="28">
        <f t="shared" si="39"/>
        <v>7546563.5404629614</v>
      </c>
      <c r="R112" s="26">
        <f t="shared" ref="R112:R113" si="40">Q112/$Q$114</f>
        <v>0.22033345818083611</v>
      </c>
      <c r="S112" s="495">
        <f t="shared" ref="S112:S113" si="41">Q112/P112</f>
        <v>1.0761999999999998</v>
      </c>
    </row>
    <row r="113" spans="16:19">
      <c r="P113" s="28">
        <f t="shared" si="39"/>
        <v>1716805.2660000003</v>
      </c>
      <c r="Q113" s="28">
        <f t="shared" si="39"/>
        <v>1525896.5204208004</v>
      </c>
      <c r="R113" s="26">
        <f t="shared" si="40"/>
        <v>4.4550881386972913E-2</v>
      </c>
      <c r="S113" s="495">
        <f t="shared" si="41"/>
        <v>0.88880000000000015</v>
      </c>
    </row>
    <row r="114" spans="16:19">
      <c r="P114" s="6"/>
      <c r="Q114" s="27">
        <f>SUM(Q111:Q113)</f>
        <v>34250647.190719478</v>
      </c>
    </row>
    <row r="115" spans="16:19">
      <c r="P115" s="6">
        <f>SUM(P58,P85)</f>
        <v>5229384.084400001</v>
      </c>
      <c r="Q115" s="6">
        <f>SUM(Q58,Q85)</f>
        <v>4997722.369461081</v>
      </c>
      <c r="R115" s="45">
        <f>Q115/$Q$117</f>
        <v>0.63975007632373027</v>
      </c>
    </row>
    <row r="116" spans="16:19">
      <c r="P116" s="6">
        <f>SUM(P59,P86)</f>
        <v>3591003.5224000001</v>
      </c>
      <c r="Q116" s="6">
        <f>SUM(Q59,Q86)</f>
        <v>2814269.4605048802</v>
      </c>
      <c r="R116" s="45">
        <f>Q116/$Q$117</f>
        <v>0.36024992367626973</v>
      </c>
    </row>
    <row r="117" spans="16:19">
      <c r="Q117" s="27">
        <f>SUM(Q115:Q116)</f>
        <v>7811991.8299659612</v>
      </c>
    </row>
    <row r="118" spans="16:19">
      <c r="Q118" s="27">
        <f>Q117+Q114</f>
        <v>42062639.020685442</v>
      </c>
    </row>
  </sheetData>
  <mergeCells count="4">
    <mergeCell ref="A4:P4"/>
    <mergeCell ref="A5:P5"/>
    <mergeCell ref="A6:P6"/>
    <mergeCell ref="A7:P7"/>
  </mergeCells>
  <phoneticPr fontId="7" type="noConversion"/>
  <printOptions horizontalCentered="1"/>
  <pageMargins left="0.25" right="0.25" top="0.75" bottom="0.75" header="0.3" footer="0.3"/>
  <pageSetup scale="70" fitToHeight="2" orientation="landscape" r:id="rId1"/>
  <headerFooter alignWithMargins="0">
    <oddFooter>&amp;C&amp;A&amp;RPage &amp;P</oddFooter>
  </headerFooter>
  <rowBreaks count="1" manualBreakCount="1">
    <brk id="55" max="15" man="1"/>
  </rowBreaks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transitionEntry="1" codeName="Sheet10"/>
  <dimension ref="A3:Q51"/>
  <sheetViews>
    <sheetView zoomScaleNormal="100" workbookViewId="0">
      <selection activeCell="D50" sqref="D50"/>
    </sheetView>
  </sheetViews>
  <sheetFormatPr defaultColWidth="11" defaultRowHeight="15.75"/>
  <cols>
    <col min="1" max="1" width="4.85546875" style="55" customWidth="1"/>
    <col min="2" max="2" width="37.5703125" style="55" customWidth="1"/>
    <col min="3" max="3" width="16.5703125" style="55" customWidth="1"/>
    <col min="4" max="4" width="15.140625" style="55" bestFit="1" customWidth="1"/>
    <col min="5" max="5" width="15.42578125" style="55" bestFit="1" customWidth="1"/>
    <col min="6" max="6" width="13.42578125" style="55" customWidth="1"/>
    <col min="7" max="7" width="16.5703125" style="55" customWidth="1"/>
    <col min="8" max="8" width="15.42578125" style="55" bestFit="1" customWidth="1"/>
    <col min="9" max="9" width="3.5703125" style="55" customWidth="1"/>
    <col min="10" max="10" width="15.42578125" style="55" customWidth="1"/>
    <col min="11" max="11" width="18.42578125" style="55" customWidth="1"/>
    <col min="12" max="12" width="3.5703125" style="55" customWidth="1"/>
    <col min="13" max="13" width="15.42578125" style="55" bestFit="1" customWidth="1"/>
    <col min="14" max="14" width="3.5703125" style="55" customWidth="1"/>
    <col min="15" max="15" width="11" style="55"/>
    <col min="16" max="16" width="19" style="55" bestFit="1" customWidth="1"/>
    <col min="17" max="17" width="14.42578125" style="55" customWidth="1"/>
    <col min="18" max="18" width="16.140625" style="55" bestFit="1" customWidth="1"/>
    <col min="19" max="19" width="17" style="55" bestFit="1" customWidth="1"/>
    <col min="20" max="25" width="14.5703125" style="55" bestFit="1" customWidth="1"/>
    <col min="26" max="16384" width="11" style="55"/>
  </cols>
  <sheetData>
    <row r="3" spans="1:17">
      <c r="P3" s="496" t="str">
        <f>"EXHIBIT " &amp; Dashboard!D17 &amp; "-1"</f>
        <v>EXHIBIT BCT-1</v>
      </c>
    </row>
    <row r="4" spans="1:17">
      <c r="A4" s="669" t="s">
        <v>677</v>
      </c>
      <c r="B4" s="669"/>
      <c r="C4" s="669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</row>
    <row r="5" spans="1:17">
      <c r="A5" s="670" t="s">
        <v>428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0"/>
      <c r="O5" s="670"/>
      <c r="P5" s="670"/>
    </row>
    <row r="6" spans="1:17">
      <c r="A6" s="670" t="str">
        <f>'Test Year Revenue Present'!A6</f>
        <v>TEST YEAR ENDING MARCH 31 2026</v>
      </c>
      <c r="B6" s="670"/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70"/>
      <c r="O6" s="670"/>
      <c r="P6" s="670"/>
    </row>
    <row r="7" spans="1:17">
      <c r="E7" s="172"/>
      <c r="F7" s="172"/>
    </row>
    <row r="8" spans="1:17">
      <c r="J8" s="667" t="s">
        <v>114</v>
      </c>
      <c r="K8" s="667"/>
    </row>
    <row r="9" spans="1:17" ht="16.5" thickBot="1">
      <c r="D9" s="215"/>
      <c r="E9" s="215"/>
      <c r="F9" s="216" t="str">
        <f>'Test Year Revenue Present'!D9</f>
        <v>Reference Period - Twelve Months Ending 06/30/2024</v>
      </c>
      <c r="G9" s="216"/>
      <c r="H9" s="215"/>
      <c r="J9" s="668" t="s">
        <v>316</v>
      </c>
      <c r="K9" s="668"/>
    </row>
    <row r="10" spans="1:17" ht="16.5" thickTop="1">
      <c r="E10" s="57"/>
      <c r="F10" s="57" t="s">
        <v>115</v>
      </c>
      <c r="G10" s="57" t="s">
        <v>120</v>
      </c>
      <c r="H10" s="57"/>
      <c r="I10" s="57"/>
      <c r="J10" s="57" t="s">
        <v>77</v>
      </c>
      <c r="K10" s="57" t="s">
        <v>116</v>
      </c>
      <c r="L10" s="57"/>
      <c r="M10" s="57" t="s">
        <v>18</v>
      </c>
      <c r="N10" s="57"/>
      <c r="O10" s="57"/>
    </row>
    <row r="11" spans="1:17">
      <c r="A11" s="57" t="s">
        <v>11</v>
      </c>
      <c r="D11" s="57" t="s">
        <v>118</v>
      </c>
      <c r="E11" s="57" t="s">
        <v>78</v>
      </c>
      <c r="F11" s="57" t="s">
        <v>119</v>
      </c>
      <c r="G11" s="57" t="s">
        <v>78</v>
      </c>
      <c r="H11" s="57" t="s">
        <v>18</v>
      </c>
      <c r="I11" s="57"/>
      <c r="J11" s="57" t="s">
        <v>121</v>
      </c>
      <c r="K11" s="57" t="s">
        <v>122</v>
      </c>
      <c r="L11" s="57"/>
      <c r="M11" s="57" t="s">
        <v>123</v>
      </c>
      <c r="N11" s="57"/>
      <c r="O11" s="57" t="s">
        <v>142</v>
      </c>
      <c r="P11" s="57" t="s">
        <v>142</v>
      </c>
      <c r="Q11" s="57"/>
    </row>
    <row r="12" spans="1:17">
      <c r="A12" s="58" t="s">
        <v>16</v>
      </c>
      <c r="B12" s="58" t="s">
        <v>124</v>
      </c>
      <c r="C12" s="58" t="s">
        <v>125</v>
      </c>
      <c r="D12" s="58" t="s">
        <v>126</v>
      </c>
      <c r="E12" s="58" t="s">
        <v>127</v>
      </c>
      <c r="F12" s="58" t="s">
        <v>78</v>
      </c>
      <c r="G12" s="217" t="str">
        <f>'Test Year Revenue Present'!G12</f>
        <v>(NOAA 2004–2024)</v>
      </c>
      <c r="H12" s="58" t="s">
        <v>78</v>
      </c>
      <c r="I12" s="217"/>
      <c r="J12" s="58" t="s">
        <v>128</v>
      </c>
      <c r="K12" s="58" t="s">
        <v>129</v>
      </c>
      <c r="L12" s="58"/>
      <c r="M12" s="58" t="s">
        <v>78</v>
      </c>
      <c r="N12" s="217"/>
      <c r="O12" s="59" t="s">
        <v>51</v>
      </c>
      <c r="P12" s="58" t="s">
        <v>21</v>
      </c>
    </row>
    <row r="13" spans="1:17">
      <c r="B13" s="57"/>
      <c r="C13" s="57"/>
      <c r="D13" s="57" t="s">
        <v>12</v>
      </c>
      <c r="E13" s="57" t="s">
        <v>13</v>
      </c>
      <c r="F13" s="57" t="s">
        <v>14</v>
      </c>
      <c r="G13" s="57" t="s">
        <v>15</v>
      </c>
      <c r="H13" s="57" t="s">
        <v>80</v>
      </c>
      <c r="I13" s="57"/>
      <c r="J13" s="57" t="s">
        <v>81</v>
      </c>
      <c r="K13" s="57" t="s">
        <v>82</v>
      </c>
      <c r="L13" s="57"/>
      <c r="M13" s="60" t="s">
        <v>84</v>
      </c>
      <c r="O13" s="60" t="s">
        <v>85</v>
      </c>
      <c r="P13" s="60" t="s">
        <v>86</v>
      </c>
      <c r="Q13" s="61"/>
    </row>
    <row r="14" spans="1:17">
      <c r="A14" s="57">
        <v>1</v>
      </c>
      <c r="B14" s="173" t="s">
        <v>130</v>
      </c>
      <c r="Q14" s="61"/>
    </row>
    <row r="15" spans="1:17">
      <c r="A15" s="57">
        <v>2</v>
      </c>
      <c r="B15" s="55" t="s">
        <v>472</v>
      </c>
      <c r="C15" s="57" t="s">
        <v>131</v>
      </c>
      <c r="D15" s="61">
        <f>'Test Year Revenue Present'!D15</f>
        <v>1925523</v>
      </c>
      <c r="E15" s="61"/>
      <c r="F15" s="61"/>
      <c r="G15" s="61"/>
      <c r="H15" s="61"/>
      <c r="I15" s="61"/>
      <c r="J15" s="61">
        <f>'Test Year Revenue Present'!J15</f>
        <v>0</v>
      </c>
      <c r="K15" s="61"/>
      <c r="L15" s="61"/>
      <c r="M15" s="61"/>
      <c r="N15" s="61"/>
      <c r="O15" s="470">
        <f>'Rate Design'!J12</f>
        <v>25</v>
      </c>
      <c r="P15" s="79">
        <f>ROUND(+O15*(D15+F15+J15),0)</f>
        <v>48138075</v>
      </c>
      <c r="Q15" s="61">
        <f>D15+F15+J15</f>
        <v>1925523</v>
      </c>
    </row>
    <row r="16" spans="1:17">
      <c r="A16" s="57">
        <v>3</v>
      </c>
      <c r="C16" s="57" t="s">
        <v>131</v>
      </c>
      <c r="D16" s="61">
        <f>'Test Year Revenue Present'!D16</f>
        <v>240271</v>
      </c>
      <c r="E16" s="61"/>
      <c r="F16" s="61">
        <f>'Test Year Revenue Present'!F16</f>
        <v>2</v>
      </c>
      <c r="J16" s="61">
        <f>SUM('Test Year Monthly - (Pres)'!P22,'Test Year Monthly - (Pres)'!P31,'Test Year Monthly - (Pres)'!P40)-D16</f>
        <v>1052</v>
      </c>
      <c r="K16" s="61"/>
      <c r="O16" s="471">
        <f>'Rate Design'!J13</f>
        <v>75</v>
      </c>
      <c r="P16" s="80">
        <f>ROUND(+O16*(D16+F16+J16),0)</f>
        <v>18099375</v>
      </c>
      <c r="Q16" s="61">
        <f>D16+F16+J16</f>
        <v>241325</v>
      </c>
    </row>
    <row r="17" spans="1:17">
      <c r="A17" s="57">
        <v>4</v>
      </c>
      <c r="C17" s="57" t="s">
        <v>132</v>
      </c>
      <c r="D17" s="61"/>
      <c r="E17" s="61">
        <f>'Test Year Revenue Present'!E17</f>
        <v>13848723.073899999</v>
      </c>
      <c r="F17" s="61">
        <f>'Test Year Revenue Present'!F17</f>
        <v>506.15499999999997</v>
      </c>
      <c r="G17" s="61">
        <f>'Test Year Revenue Present'!G17</f>
        <v>1982025.2135244117</v>
      </c>
      <c r="H17" s="61">
        <f>SUM(E17:G17)</f>
        <v>15831254.442424411</v>
      </c>
      <c r="I17" s="61"/>
      <c r="J17" s="61">
        <f>'Test Year Revenue Present'!J17</f>
        <v>24087.45171058923</v>
      </c>
      <c r="K17" s="61">
        <f>'Test Year Revenue Present'!K17</f>
        <v>0</v>
      </c>
      <c r="L17" s="61"/>
      <c r="M17" s="61">
        <f>H17+J17+K17</f>
        <v>15855341.894135</v>
      </c>
      <c r="N17" s="61"/>
      <c r="O17" s="472">
        <f>'Rate Design'!J23</f>
        <v>2.2951000000000001</v>
      </c>
      <c r="P17" s="61">
        <f>ROUND((+M17)*O17,0)</f>
        <v>36389595</v>
      </c>
      <c r="Q17" s="61"/>
    </row>
    <row r="18" spans="1:17">
      <c r="A18" s="57">
        <v>5</v>
      </c>
      <c r="B18" s="61"/>
      <c r="C18" s="57" t="s">
        <v>133</v>
      </c>
      <c r="D18" s="61"/>
      <c r="E18" s="61">
        <f>'Test Year Revenue Present'!E18</f>
        <v>1158518.1400000001</v>
      </c>
      <c r="F18" s="61">
        <f>'Test Year Revenue Present'!F18</f>
        <v>-1109.2339999999999</v>
      </c>
      <c r="G18" s="61">
        <f>'Test Year Revenue Present'!G18</f>
        <v>64220.786475588378</v>
      </c>
      <c r="H18" s="61">
        <f>SUM(E18:G18)</f>
        <v>1221629.6924755885</v>
      </c>
      <c r="I18" s="61"/>
      <c r="J18" s="61">
        <f>'Test Year Revenue Present'!J18</f>
        <v>3822.2009734539315</v>
      </c>
      <c r="K18" s="61">
        <f>'Test Year Revenue Present'!K18</f>
        <v>0</v>
      </c>
      <c r="L18" s="61"/>
      <c r="M18" s="61">
        <f>H18+J18+K18</f>
        <v>1225451.8934490425</v>
      </c>
      <c r="N18" s="61"/>
      <c r="O18" s="472">
        <f>'Rate Design'!J24</f>
        <v>1.5952999999999999</v>
      </c>
      <c r="P18" s="61">
        <f>ROUND((+M18)*O18,0)</f>
        <v>1954963</v>
      </c>
      <c r="Q18" s="61"/>
    </row>
    <row r="19" spans="1:17">
      <c r="A19" s="57">
        <v>6</v>
      </c>
      <c r="B19" s="218"/>
      <c r="C19" s="57" t="s">
        <v>134</v>
      </c>
      <c r="D19" s="61"/>
      <c r="E19" s="61">
        <f>'Test Year Revenue Present'!E19</f>
        <v>0</v>
      </c>
      <c r="F19" s="61">
        <f>'Test Year Revenue Present'!F19</f>
        <v>0</v>
      </c>
      <c r="G19" s="61">
        <f>'Test Year Revenue Present'!G19</f>
        <v>0</v>
      </c>
      <c r="H19" s="61">
        <f>SUM(E19:G19)</f>
        <v>0</v>
      </c>
      <c r="I19" s="61"/>
      <c r="J19" s="61"/>
      <c r="K19" s="61">
        <f>'Test Year Revenue Present'!K19</f>
        <v>0</v>
      </c>
      <c r="L19" s="61"/>
      <c r="M19" s="61">
        <f>H19+J19+K19</f>
        <v>0</v>
      </c>
      <c r="N19" s="61"/>
      <c r="O19" s="472">
        <f>'Rate Design'!J25</f>
        <v>1.3174999999999999</v>
      </c>
      <c r="P19" s="61">
        <f>ROUND((+M19)*O19,0)</f>
        <v>0</v>
      </c>
      <c r="Q19" s="61"/>
    </row>
    <row r="20" spans="1:17">
      <c r="A20" s="57">
        <v>7</v>
      </c>
      <c r="B20" s="55" t="s">
        <v>473</v>
      </c>
      <c r="C20" s="57" t="s">
        <v>131</v>
      </c>
      <c r="D20" s="61">
        <f>'Test Year Revenue Present'!D20</f>
        <v>105</v>
      </c>
      <c r="E20" s="61"/>
      <c r="F20" s="61">
        <f>'Test Year Revenue Present'!F20</f>
        <v>0</v>
      </c>
      <c r="G20" s="61"/>
      <c r="H20" s="61"/>
      <c r="I20" s="61"/>
      <c r="J20" s="61"/>
      <c r="K20" s="61"/>
      <c r="L20" s="61"/>
      <c r="M20" s="61"/>
      <c r="N20" s="61"/>
      <c r="O20" s="471">
        <f>'Rate Design'!J14</f>
        <v>685</v>
      </c>
      <c r="P20" s="80">
        <f>ROUND(+O20*(D20+F20+J20),0)</f>
        <v>71925</v>
      </c>
      <c r="Q20" s="61">
        <f>D20+F20+J20</f>
        <v>105</v>
      </c>
    </row>
    <row r="21" spans="1:17">
      <c r="A21" s="57">
        <v>8</v>
      </c>
      <c r="B21" s="174"/>
      <c r="C21" s="57" t="s">
        <v>135</v>
      </c>
      <c r="D21" s="61"/>
      <c r="E21" s="61">
        <f>'Test Year Revenue Present'!E21</f>
        <v>28777.741700000002</v>
      </c>
      <c r="F21" s="61">
        <f>'Test Year Revenue Present'!F21</f>
        <v>0</v>
      </c>
      <c r="G21" s="61"/>
      <c r="H21" s="61">
        <f>SUM(E21:G21)</f>
        <v>28777.741700000002</v>
      </c>
      <c r="I21" s="61"/>
      <c r="J21" s="61"/>
      <c r="K21" s="61"/>
      <c r="L21" s="61"/>
      <c r="M21" s="61">
        <f>H21+J21+K21</f>
        <v>28777.741700000002</v>
      </c>
      <c r="N21" s="61"/>
      <c r="O21" s="472">
        <f>'Rate Design'!J31</f>
        <v>1.2955999999999999</v>
      </c>
      <c r="P21" s="61">
        <f>ROUND((+M21)*O21,0)</f>
        <v>37284</v>
      </c>
      <c r="Q21" s="61"/>
    </row>
    <row r="22" spans="1:17">
      <c r="A22" s="57">
        <v>9</v>
      </c>
      <c r="C22" s="57" t="s">
        <v>134</v>
      </c>
      <c r="D22" s="61"/>
      <c r="E22" s="61">
        <f>'Test Year Revenue Present'!E22</f>
        <v>183933.29300000001</v>
      </c>
      <c r="F22" s="61">
        <f>'Test Year Revenue Present'!F22</f>
        <v>0</v>
      </c>
      <c r="G22" s="61"/>
      <c r="H22" s="61">
        <f>SUM(E22:G22)</f>
        <v>183933.29300000001</v>
      </c>
      <c r="I22" s="61"/>
      <c r="J22" s="61"/>
      <c r="K22" s="61"/>
      <c r="L22" s="61"/>
      <c r="M22" s="61">
        <f>H22+J22+K22</f>
        <v>183933.29300000001</v>
      </c>
      <c r="N22" s="61"/>
      <c r="O22" s="472">
        <f>'Rate Design'!J32</f>
        <v>1.0624</v>
      </c>
      <c r="P22" s="61">
        <f>ROUND((+M22)*O22,0)</f>
        <v>195411</v>
      </c>
      <c r="Q22" s="61"/>
    </row>
    <row r="23" spans="1:17">
      <c r="A23" s="57">
        <v>10</v>
      </c>
      <c r="B23" s="219"/>
      <c r="C23" s="220"/>
      <c r="D23" s="78"/>
      <c r="E23" s="78"/>
      <c r="F23" s="78"/>
      <c r="G23" s="219"/>
      <c r="H23" s="78"/>
      <c r="I23" s="78"/>
      <c r="J23" s="78"/>
      <c r="K23" s="78"/>
      <c r="L23" s="78"/>
      <c r="M23" s="78"/>
      <c r="N23" s="78"/>
      <c r="O23" s="221"/>
      <c r="P23" s="78"/>
      <c r="Q23" s="78"/>
    </row>
    <row r="24" spans="1:17">
      <c r="A24" s="57">
        <v>11</v>
      </c>
      <c r="B24" s="173" t="s">
        <v>52</v>
      </c>
      <c r="P24" s="61"/>
      <c r="Q24" s="61"/>
    </row>
    <row r="25" spans="1:17">
      <c r="A25" s="57">
        <v>12</v>
      </c>
      <c r="B25" s="55" t="s">
        <v>477</v>
      </c>
      <c r="C25" s="57" t="s">
        <v>131</v>
      </c>
      <c r="D25" s="61">
        <f>'Test Year Revenue Present'!D25</f>
        <v>1434.153846153846</v>
      </c>
      <c r="F25" s="61">
        <f>'Test Year Revenue Present'!F25</f>
        <v>-19</v>
      </c>
      <c r="H25" s="61"/>
      <c r="I25" s="61"/>
      <c r="J25" s="61"/>
      <c r="K25" s="61"/>
      <c r="L25" s="61"/>
      <c r="M25" s="61"/>
      <c r="N25" s="61"/>
      <c r="O25" s="471">
        <f>'Rate Design'!J15</f>
        <v>685</v>
      </c>
      <c r="P25" s="61">
        <f>ROUND(+O25*(D25+F25),0)</f>
        <v>969380</v>
      </c>
      <c r="Q25" s="61">
        <f>D25+F25+J25</f>
        <v>1415.153846153846</v>
      </c>
    </row>
    <row r="26" spans="1:17">
      <c r="A26" s="57">
        <v>13</v>
      </c>
      <c r="B26" s="55" t="s">
        <v>476</v>
      </c>
      <c r="C26" s="57" t="s">
        <v>131</v>
      </c>
      <c r="D26" s="61">
        <f>'Test Year Revenue Present'!D26</f>
        <v>844</v>
      </c>
      <c r="F26" s="61">
        <f>'Test Year Revenue Present'!F26</f>
        <v>8</v>
      </c>
      <c r="H26" s="61"/>
      <c r="I26" s="61"/>
      <c r="J26" s="61"/>
      <c r="K26" s="61"/>
      <c r="L26" s="61"/>
      <c r="M26" s="61"/>
      <c r="N26" s="61"/>
      <c r="O26" s="471">
        <f>'Rate Design'!J16</f>
        <v>685</v>
      </c>
      <c r="P26" s="61">
        <f>ROUND(+O26*(D26+F26),0)</f>
        <v>583620</v>
      </c>
      <c r="Q26" s="61">
        <f>D26+F26+J26</f>
        <v>852</v>
      </c>
    </row>
    <row r="27" spans="1:17">
      <c r="A27" s="57">
        <v>14</v>
      </c>
      <c r="B27" s="55" t="s">
        <v>478</v>
      </c>
      <c r="C27" s="57" t="s">
        <v>131</v>
      </c>
      <c r="D27" s="61">
        <f>'Test Year Revenue Present'!D27</f>
        <v>164.1538461538461</v>
      </c>
      <c r="F27" s="61">
        <f>'Test Year Revenue Present'!F27</f>
        <v>-10</v>
      </c>
      <c r="O27" s="471">
        <f>'Rate Design'!E16</f>
        <v>520</v>
      </c>
      <c r="P27" s="61">
        <f>ROUND(+O27*(D27+F27),0)</f>
        <v>80160</v>
      </c>
      <c r="Q27" s="61">
        <f>D27+F27+J27</f>
        <v>154.1538461538461</v>
      </c>
    </row>
    <row r="28" spans="1:17">
      <c r="A28" s="57">
        <v>15</v>
      </c>
      <c r="B28" s="55" t="s">
        <v>136</v>
      </c>
      <c r="C28" s="57" t="s">
        <v>131</v>
      </c>
      <c r="D28" s="61">
        <f>'Test Year Revenue Present'!D28</f>
        <v>2423</v>
      </c>
      <c r="F28" s="61">
        <f>'Test Year Revenue Present'!F28</f>
        <v>-21</v>
      </c>
      <c r="H28" s="61"/>
      <c r="I28" s="61"/>
      <c r="J28" s="61"/>
      <c r="K28" s="61"/>
      <c r="L28" s="61"/>
      <c r="M28" s="61"/>
      <c r="N28" s="61"/>
      <c r="O28" s="471">
        <f>'Rate Design'!J37</f>
        <v>50</v>
      </c>
      <c r="P28" s="61">
        <f>ROUND(+O28*(D28+F28),0)</f>
        <v>120100</v>
      </c>
      <c r="Q28" s="61"/>
    </row>
    <row r="29" spans="1:17">
      <c r="A29" s="57">
        <v>16</v>
      </c>
      <c r="B29" s="55" t="s">
        <v>430</v>
      </c>
      <c r="E29" s="61">
        <f>'Test Year Revenue Present'!E29</f>
        <v>0</v>
      </c>
      <c r="F29" s="61">
        <f>'Test Year Revenue Present'!F29</f>
        <v>0</v>
      </c>
      <c r="O29" s="471">
        <f>'Rate Design'!J38</f>
        <v>0</v>
      </c>
      <c r="P29" s="61">
        <f>ROUND((+E29+G29+F29)*O29,0)</f>
        <v>0</v>
      </c>
      <c r="Q29" s="61"/>
    </row>
    <row r="30" spans="1:17">
      <c r="A30" s="57">
        <v>17</v>
      </c>
      <c r="B30" s="55" t="s">
        <v>0</v>
      </c>
      <c r="F30" s="92"/>
      <c r="O30" s="56" t="s">
        <v>47</v>
      </c>
      <c r="P30" s="61">
        <f>'Test Year Monthly - (Pres)'!P67+'Test Year Monthly - (Pres)'!P83+'Test Year Monthly - (Pres)'!P92</f>
        <v>139875</v>
      </c>
      <c r="Q30" s="61"/>
    </row>
    <row r="31" spans="1:17">
      <c r="A31" s="57">
        <v>18</v>
      </c>
      <c r="B31" s="55" t="s">
        <v>474</v>
      </c>
      <c r="C31" s="57" t="s">
        <v>132</v>
      </c>
      <c r="D31" s="61"/>
      <c r="E31" s="61">
        <f>'Test Year Revenue Present'!E31</f>
        <v>403618.49200000003</v>
      </c>
      <c r="F31" s="61">
        <f>'Test Year Revenue Present'!F31</f>
        <v>2866.8629999999998</v>
      </c>
      <c r="G31" s="61"/>
      <c r="H31" s="61">
        <f t="shared" ref="H31:H38" si="0">SUM(E31:G31)</f>
        <v>406485.35500000004</v>
      </c>
      <c r="I31" s="61"/>
      <c r="J31" s="61"/>
      <c r="K31" s="61"/>
      <c r="L31" s="61"/>
      <c r="M31" s="61">
        <f t="shared" ref="M31:M38" si="1">H31+J31+K31</f>
        <v>406485.35500000004</v>
      </c>
      <c r="N31" s="61"/>
      <c r="O31" s="472">
        <f>'Rate Design'!J27</f>
        <v>2.2951000000000001</v>
      </c>
      <c r="P31" s="61">
        <f t="shared" ref="P31:P37" si="2">ROUND((+M31)*O31,0)</f>
        <v>932925</v>
      </c>
      <c r="Q31" s="61"/>
    </row>
    <row r="32" spans="1:17">
      <c r="A32" s="57">
        <v>19</v>
      </c>
      <c r="C32" s="57" t="s">
        <v>133</v>
      </c>
      <c r="D32" s="61"/>
      <c r="E32" s="61">
        <f>'Test Year Revenue Present'!E32</f>
        <v>5765683.6959999995</v>
      </c>
      <c r="F32" s="61">
        <f>'Test Year Revenue Present'!F32</f>
        <v>21095.910702380952</v>
      </c>
      <c r="G32" s="61"/>
      <c r="H32" s="61">
        <f t="shared" si="0"/>
        <v>5786779.6067023808</v>
      </c>
      <c r="I32" s="61"/>
      <c r="J32" s="61"/>
      <c r="K32" s="61"/>
      <c r="L32" s="61"/>
      <c r="M32" s="61">
        <f t="shared" si="1"/>
        <v>5786779.6067023808</v>
      </c>
      <c r="N32" s="61"/>
      <c r="O32" s="472">
        <f>'Rate Design'!J28</f>
        <v>1.5952999999999999</v>
      </c>
      <c r="P32" s="61">
        <f t="shared" si="2"/>
        <v>9231650</v>
      </c>
      <c r="Q32" s="61"/>
    </row>
    <row r="33" spans="1:17">
      <c r="A33" s="57">
        <v>20</v>
      </c>
      <c r="C33" s="57" t="s">
        <v>134</v>
      </c>
      <c r="D33" s="61"/>
      <c r="E33" s="61">
        <f>'Test Year Revenue Present'!E33</f>
        <v>1721057.504</v>
      </c>
      <c r="F33" s="61">
        <f>'Test Year Revenue Present'!F33</f>
        <v>-4252.2380000000012</v>
      </c>
      <c r="G33" s="61"/>
      <c r="H33" s="61">
        <f t="shared" si="0"/>
        <v>1716805.2660000001</v>
      </c>
      <c r="I33" s="61"/>
      <c r="J33" s="61"/>
      <c r="K33" s="61"/>
      <c r="L33" s="61"/>
      <c r="M33" s="61">
        <f t="shared" si="1"/>
        <v>1716805.2660000001</v>
      </c>
      <c r="N33" s="61"/>
      <c r="O33" s="472">
        <f>'Rate Design'!J29</f>
        <v>1.3174999999999999</v>
      </c>
      <c r="P33" s="61">
        <f t="shared" si="2"/>
        <v>2261891</v>
      </c>
      <c r="Q33" s="61"/>
    </row>
    <row r="34" spans="1:17">
      <c r="A34" s="57">
        <v>21</v>
      </c>
      <c r="B34" s="55" t="s">
        <v>573</v>
      </c>
      <c r="C34" s="57" t="s">
        <v>133</v>
      </c>
      <c r="D34" s="61"/>
      <c r="E34" s="61">
        <f>'Bill Frequency'!P64</f>
        <v>0</v>
      </c>
      <c r="F34" s="61">
        <f>'Contract &amp; Vol Adj'!P64</f>
        <v>0</v>
      </c>
      <c r="G34" s="61"/>
      <c r="H34" s="61">
        <f t="shared" si="0"/>
        <v>0</v>
      </c>
      <c r="I34" s="61"/>
      <c r="J34" s="61"/>
      <c r="K34" s="61"/>
      <c r="L34" s="61"/>
      <c r="M34" s="61">
        <f t="shared" si="1"/>
        <v>0</v>
      </c>
      <c r="N34" s="61"/>
      <c r="O34" s="472">
        <f>ROUND((O32*0.75),4)</f>
        <v>1.1964999999999999</v>
      </c>
      <c r="P34" s="61">
        <f t="shared" si="2"/>
        <v>0</v>
      </c>
      <c r="Q34" s="61"/>
    </row>
    <row r="35" spans="1:17">
      <c r="A35" s="57">
        <v>22</v>
      </c>
      <c r="C35" s="57" t="s">
        <v>134</v>
      </c>
      <c r="D35" s="61"/>
      <c r="E35" s="61">
        <f>'Bill Frequency'!P65</f>
        <v>0</v>
      </c>
      <c r="F35" s="61">
        <f>'Contract &amp; Vol Adj'!P65</f>
        <v>0</v>
      </c>
      <c r="G35" s="61"/>
      <c r="H35" s="61">
        <f t="shared" si="0"/>
        <v>0</v>
      </c>
      <c r="I35" s="61"/>
      <c r="J35" s="61"/>
      <c r="K35" s="61"/>
      <c r="L35" s="61"/>
      <c r="M35" s="61">
        <f t="shared" si="1"/>
        <v>0</v>
      </c>
      <c r="N35" s="61"/>
      <c r="O35" s="472">
        <f>ROUND((O33*0.75),4)</f>
        <v>0.98809999999999998</v>
      </c>
      <c r="P35" s="61">
        <f t="shared" si="2"/>
        <v>0</v>
      </c>
      <c r="Q35" s="61"/>
    </row>
    <row r="36" spans="1:17">
      <c r="A36" s="57">
        <v>23</v>
      </c>
      <c r="B36" s="55" t="s">
        <v>475</v>
      </c>
      <c r="C36" s="57" t="s">
        <v>135</v>
      </c>
      <c r="D36" s="61"/>
      <c r="E36" s="61">
        <f>'Test Year Revenue Present'!E36</f>
        <v>5188457.7119999994</v>
      </c>
      <c r="F36" s="61">
        <f>'Test Year Revenue Present'!F36</f>
        <v>18957.173999999999</v>
      </c>
      <c r="G36" s="61"/>
      <c r="H36" s="61">
        <f t="shared" si="0"/>
        <v>5207414.885999999</v>
      </c>
      <c r="I36" s="61"/>
      <c r="J36" s="61"/>
      <c r="K36" s="61"/>
      <c r="L36" s="61"/>
      <c r="M36" s="61">
        <f t="shared" si="1"/>
        <v>5207414.885999999</v>
      </c>
      <c r="N36" s="61"/>
      <c r="O36" s="472">
        <f>'Rate Design'!J34</f>
        <v>1.2955999999999999</v>
      </c>
      <c r="P36" s="61">
        <f t="shared" si="2"/>
        <v>6746727</v>
      </c>
      <c r="Q36" s="61"/>
    </row>
    <row r="37" spans="1:17">
      <c r="A37" s="57">
        <v>24</v>
      </c>
      <c r="C37" s="57" t="s">
        <v>134</v>
      </c>
      <c r="D37" s="61"/>
      <c r="E37" s="61">
        <f>'Test Year Revenue Present'!E37</f>
        <v>3407068.6620000005</v>
      </c>
      <c r="F37" s="61">
        <f>'Test Year Revenue Present'!F37</f>
        <v>0</v>
      </c>
      <c r="G37" s="61"/>
      <c r="H37" s="61">
        <f t="shared" si="0"/>
        <v>3407068.6620000005</v>
      </c>
      <c r="I37" s="61"/>
      <c r="J37" s="61"/>
      <c r="K37" s="61"/>
      <c r="L37" s="61"/>
      <c r="M37" s="61">
        <f t="shared" si="1"/>
        <v>3407068.6620000005</v>
      </c>
      <c r="N37" s="61"/>
      <c r="O37" s="472">
        <f>'Rate Design'!J35</f>
        <v>1.0624</v>
      </c>
      <c r="P37" s="61">
        <f t="shared" si="2"/>
        <v>3619670</v>
      </c>
      <c r="Q37" s="61"/>
    </row>
    <row r="38" spans="1:17">
      <c r="A38" s="57">
        <v>25</v>
      </c>
      <c r="B38" s="55" t="s">
        <v>431</v>
      </c>
      <c r="D38" s="61"/>
      <c r="E38" s="61">
        <f>'Test Year Revenue Present'!E38</f>
        <v>15175073.910000002</v>
      </c>
      <c r="F38" s="61">
        <f>'Test Year Revenue Present'!F38</f>
        <v>330108.158</v>
      </c>
      <c r="H38" s="61">
        <f t="shared" si="0"/>
        <v>15505182.068000002</v>
      </c>
      <c r="I38" s="61"/>
      <c r="J38" s="61"/>
      <c r="K38" s="61"/>
      <c r="L38" s="61"/>
      <c r="M38" s="61">
        <f t="shared" si="1"/>
        <v>15505182.068000002</v>
      </c>
      <c r="N38" s="61"/>
      <c r="O38" s="56" t="s">
        <v>47</v>
      </c>
      <c r="P38" s="61">
        <f>'Test Year Monthly - (Pres)'!P95-P39</f>
        <v>3022029.63</v>
      </c>
      <c r="Q38" s="61"/>
    </row>
    <row r="39" spans="1:17">
      <c r="A39" s="57">
        <v>26</v>
      </c>
      <c r="D39" s="222"/>
      <c r="E39" s="63"/>
      <c r="F39" s="63"/>
      <c r="G39" s="223"/>
      <c r="H39" s="63"/>
      <c r="I39" s="61"/>
      <c r="J39" s="63"/>
      <c r="K39" s="63"/>
      <c r="L39" s="63"/>
      <c r="M39" s="63"/>
      <c r="N39" s="61"/>
      <c r="O39" s="56"/>
      <c r="P39" s="222"/>
      <c r="Q39" s="61"/>
    </row>
    <row r="40" spans="1:17" ht="16.5" thickBot="1">
      <c r="A40" s="57">
        <v>27</v>
      </c>
      <c r="B40" s="55" t="s">
        <v>137</v>
      </c>
      <c r="D40" s="224">
        <f>SUM(D15:D38)-D28</f>
        <v>2168341.307692308</v>
      </c>
      <c r="E40" s="224">
        <f>SUM((E17:E23),(E31:E38))</f>
        <v>46880912.224600002</v>
      </c>
      <c r="F40" s="224">
        <f>F17+F18+F19+F21+F22+F23+SUM(F31:F38)</f>
        <v>368172.7887023809</v>
      </c>
      <c r="G40" s="224">
        <f>SUM(G14:G38)</f>
        <v>2046246</v>
      </c>
      <c r="H40" s="224">
        <f>SUM(H14:H38)</f>
        <v>49295331.013302386</v>
      </c>
      <c r="I40" s="225"/>
      <c r="J40" s="475">
        <f>SUM(J15:J38)</f>
        <v>28961.652684043162</v>
      </c>
      <c r="K40" s="475">
        <f>SUM(K17:K38)</f>
        <v>0</v>
      </c>
      <c r="L40" s="224"/>
      <c r="M40" s="224">
        <f>SUM(M14:M38)</f>
        <v>49323240.665986434</v>
      </c>
      <c r="N40" s="225"/>
      <c r="P40" s="177">
        <f>SUM(P14:P39)</f>
        <v>132594655.63</v>
      </c>
      <c r="Q40" s="61">
        <f>SUM(Q15:Q39)</f>
        <v>2169374.307692308</v>
      </c>
    </row>
    <row r="41" spans="1:17" ht="16.5" thickTop="1">
      <c r="A41" s="57">
        <v>28</v>
      </c>
      <c r="M41" s="65"/>
      <c r="Q41" s="61">
        <f>Q40/12</f>
        <v>180781.19230769234</v>
      </c>
    </row>
    <row r="42" spans="1:17">
      <c r="A42" s="57">
        <v>29</v>
      </c>
      <c r="B42" s="55" t="s">
        <v>261</v>
      </c>
      <c r="E42" s="226"/>
      <c r="P42" s="225">
        <f>'Test Year Monthly - (Pres)'!P99</f>
        <v>58912</v>
      </c>
      <c r="Q42" s="61"/>
    </row>
    <row r="43" spans="1:17">
      <c r="A43" s="57">
        <v>30</v>
      </c>
      <c r="B43" s="55" t="s">
        <v>73</v>
      </c>
      <c r="E43" s="65"/>
      <c r="P43" s="63">
        <f>'Test Year Monthly - (Prop)'!P100</f>
        <v>528858.1814160737</v>
      </c>
    </row>
    <row r="44" spans="1:17">
      <c r="A44" s="57">
        <v>31</v>
      </c>
      <c r="B44" s="55" t="s">
        <v>283</v>
      </c>
      <c r="P44" s="177">
        <f>P40+P42+P43</f>
        <v>133182425.81141607</v>
      </c>
      <c r="Q44" s="61"/>
    </row>
    <row r="45" spans="1:17">
      <c r="A45" s="57">
        <v>32</v>
      </c>
    </row>
    <row r="46" spans="1:17">
      <c r="A46" s="57">
        <v>33</v>
      </c>
      <c r="B46" s="55" t="s">
        <v>188</v>
      </c>
      <c r="P46" s="476">
        <f>'Test Year Monthly - (Pres)'!P103</f>
        <v>87640898.071899384</v>
      </c>
    </row>
    <row r="47" spans="1:17">
      <c r="A47" s="57">
        <v>34</v>
      </c>
    </row>
    <row r="48" spans="1:17" ht="16.5" thickBot="1">
      <c r="A48" s="57">
        <v>35</v>
      </c>
      <c r="B48" s="55" t="s">
        <v>70</v>
      </c>
      <c r="P48" s="477">
        <f>P40+P42+P46+P43</f>
        <v>220823323.88331544</v>
      </c>
    </row>
    <row r="49" spans="1:17" ht="16.5" thickTop="1">
      <c r="A49" s="57">
        <v>36</v>
      </c>
      <c r="Q49" s="55" t="s">
        <v>600</v>
      </c>
    </row>
    <row r="50" spans="1:17">
      <c r="A50" s="57">
        <v>37</v>
      </c>
      <c r="B50" s="227" t="s">
        <v>429</v>
      </c>
      <c r="Q50" s="65">
        <f>P48-'Test Year Revenue Present'!P48</f>
        <v>33001178.281450212</v>
      </c>
    </row>
    <row r="51" spans="1:17">
      <c r="A51" s="57">
        <v>38</v>
      </c>
      <c r="B51" s="227" t="s">
        <v>492</v>
      </c>
      <c r="M51" s="65"/>
      <c r="Q51" s="65">
        <f>P44-Q50</f>
        <v>100181247.52996586</v>
      </c>
    </row>
  </sheetData>
  <mergeCells count="5">
    <mergeCell ref="J8:K8"/>
    <mergeCell ref="J9:K9"/>
    <mergeCell ref="A4:P4"/>
    <mergeCell ref="A5:P5"/>
    <mergeCell ref="A6:P6"/>
  </mergeCells>
  <printOptions horizontalCentered="1"/>
  <pageMargins left="0.25" right="0.25" top="0.75" bottom="0.75" header="0.3" footer="0.3"/>
  <pageSetup scale="55" orientation="landscape" r:id="rId1"/>
  <headerFooter alignWithMargins="0">
    <oddFooter>&amp;C&amp;A&amp;RPage &amp;P</oddFooter>
  </headerFooter>
  <rowBreaks count="1" manualBreakCount="1">
    <brk id="67" max="16383" man="1"/>
  </rowBreaks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transitionEntry="1">
    <tabColor rgb="FFFFFF00"/>
  </sheetPr>
  <dimension ref="A1:CM114"/>
  <sheetViews>
    <sheetView topLeftCell="M1" zoomScaleNormal="100" workbookViewId="0">
      <selection activeCell="T17" sqref="T17"/>
    </sheetView>
  </sheetViews>
  <sheetFormatPr defaultColWidth="12.5703125" defaultRowHeight="12.75"/>
  <cols>
    <col min="1" max="1" width="5.5703125" style="2" bestFit="1" customWidth="1"/>
    <col min="2" max="2" width="29.5703125" style="2" customWidth="1"/>
    <col min="3" max="3" width="8.5703125" style="2" customWidth="1"/>
    <col min="4" max="15" width="10.5703125" style="2" customWidth="1"/>
    <col min="16" max="16" width="12.28515625" style="2" bestFit="1" customWidth="1"/>
    <col min="17" max="17" width="10.5703125" style="2" customWidth="1"/>
    <col min="18" max="19" width="10.5703125" style="26" customWidth="1"/>
    <col min="20" max="20" width="16" style="26" bestFit="1" customWidth="1"/>
    <col min="21" max="29" width="10.5703125" style="26" customWidth="1"/>
    <col min="30" max="63" width="10.5703125" style="2" customWidth="1"/>
    <col min="64" max="67" width="9.5703125" style="2" customWidth="1"/>
    <col min="68" max="16384" width="12.5703125" style="2"/>
  </cols>
  <sheetData>
    <row r="1" spans="1:91">
      <c r="P1" s="6"/>
      <c r="Q1" s="6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</row>
    <row r="2" spans="1:91">
      <c r="P2" s="6"/>
      <c r="Q2" s="6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</row>
    <row r="3" spans="1:91">
      <c r="O3" s="677" t="str">
        <f>"EXHIBIT " &amp; Dashboard!D17 &amp; "-2"</f>
        <v>EXHIBIT BCT-2</v>
      </c>
      <c r="P3" s="677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</row>
    <row r="4" spans="1:91">
      <c r="A4" s="666" t="s">
        <v>677</v>
      </c>
      <c r="B4" s="666"/>
      <c r="C4" s="666"/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  <c r="P4" s="666"/>
      <c r="Q4" s="38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</row>
    <row r="5" spans="1:91">
      <c r="A5" s="666" t="s">
        <v>262</v>
      </c>
      <c r="B5" s="666"/>
      <c r="C5" s="666"/>
      <c r="D5" s="666"/>
      <c r="E5" s="666"/>
      <c r="F5" s="666"/>
      <c r="G5" s="666"/>
      <c r="H5" s="666"/>
      <c r="I5" s="666"/>
      <c r="J5" s="666"/>
      <c r="K5" s="666"/>
      <c r="L5" s="666"/>
      <c r="M5" s="666"/>
      <c r="N5" s="666"/>
      <c r="O5" s="666"/>
      <c r="P5" s="666"/>
      <c r="Q5" s="14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</row>
    <row r="6" spans="1:91">
      <c r="A6" s="666" t="str">
        <f>'Test Year Revenue Present'!A6</f>
        <v>TEST YEAR ENDING MARCH 31 2026</v>
      </c>
      <c r="B6" s="666"/>
      <c r="C6" s="666"/>
      <c r="D6" s="666"/>
      <c r="E6" s="666"/>
      <c r="F6" s="666"/>
      <c r="G6" s="666"/>
      <c r="H6" s="666"/>
      <c r="I6" s="666"/>
      <c r="J6" s="666"/>
      <c r="K6" s="666"/>
      <c r="L6" s="666"/>
      <c r="M6" s="666"/>
      <c r="N6" s="666"/>
      <c r="O6" s="666"/>
      <c r="P6" s="666"/>
      <c r="Q6" s="14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</row>
    <row r="7" spans="1:91">
      <c r="A7" s="676" t="s">
        <v>353</v>
      </c>
      <c r="B7" s="676"/>
      <c r="C7" s="676"/>
      <c r="D7" s="676"/>
      <c r="E7" s="676"/>
      <c r="F7" s="676"/>
      <c r="G7" s="676"/>
      <c r="H7" s="676"/>
      <c r="I7" s="676"/>
      <c r="J7" s="676"/>
      <c r="K7" s="676"/>
      <c r="L7" s="676"/>
      <c r="M7" s="676"/>
      <c r="N7" s="676"/>
      <c r="O7" s="676"/>
      <c r="P7" s="676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</row>
    <row r="8" spans="1:91">
      <c r="A8" s="7" t="s">
        <v>11</v>
      </c>
      <c r="P8" s="4" t="s">
        <v>18</v>
      </c>
      <c r="Q8" s="4" t="s">
        <v>18</v>
      </c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</row>
    <row r="9" spans="1:91">
      <c r="A9" s="8" t="s">
        <v>16</v>
      </c>
      <c r="B9" s="9" t="s">
        <v>26</v>
      </c>
      <c r="C9" s="10" t="s">
        <v>5</v>
      </c>
      <c r="D9" s="35">
        <f>'Summary of Revenue'!AA7</f>
        <v>45777</v>
      </c>
      <c r="E9" s="35">
        <f>'Summary of Revenue'!AB7</f>
        <v>45808</v>
      </c>
      <c r="F9" s="35">
        <f>'Summary of Revenue'!AC7</f>
        <v>45838</v>
      </c>
      <c r="G9" s="35">
        <f>'Summary of Revenue'!AD7</f>
        <v>45869</v>
      </c>
      <c r="H9" s="35">
        <f>'Summary of Revenue'!AE7</f>
        <v>45900</v>
      </c>
      <c r="I9" s="35">
        <f>'Summary of Revenue'!AF7</f>
        <v>45930</v>
      </c>
      <c r="J9" s="35">
        <f>'Summary of Revenue'!AG7</f>
        <v>45961</v>
      </c>
      <c r="K9" s="35">
        <f>'Summary of Revenue'!AH7</f>
        <v>45991</v>
      </c>
      <c r="L9" s="35">
        <f>'Summary of Revenue'!AI7</f>
        <v>46022</v>
      </c>
      <c r="M9" s="35">
        <f>'Summary of Revenue'!AJ7</f>
        <v>46053</v>
      </c>
      <c r="N9" s="35">
        <f>'Summary of Revenue'!AK7</f>
        <v>46081</v>
      </c>
      <c r="O9" s="35">
        <f>'Summary of Revenue'!AL7</f>
        <v>46112</v>
      </c>
      <c r="P9" s="35" t="s">
        <v>315</v>
      </c>
      <c r="Q9" s="35" t="s">
        <v>21</v>
      </c>
      <c r="T9" s="373" t="s">
        <v>688</v>
      </c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</row>
    <row r="10" spans="1:91">
      <c r="B10" s="42"/>
      <c r="C10" s="42"/>
      <c r="D10" s="42" t="s">
        <v>12</v>
      </c>
      <c r="E10" s="42" t="s">
        <v>13</v>
      </c>
      <c r="F10" s="4" t="s">
        <v>14</v>
      </c>
      <c r="G10" s="48" t="s">
        <v>15</v>
      </c>
      <c r="H10" s="49" t="s">
        <v>80</v>
      </c>
      <c r="I10" s="49" t="s">
        <v>81</v>
      </c>
      <c r="J10" s="49" t="s">
        <v>82</v>
      </c>
      <c r="K10" s="49" t="s">
        <v>83</v>
      </c>
      <c r="L10" s="49" t="s">
        <v>84</v>
      </c>
      <c r="M10" s="49" t="s">
        <v>85</v>
      </c>
      <c r="N10" s="49" t="s">
        <v>86</v>
      </c>
      <c r="O10" s="49" t="s">
        <v>87</v>
      </c>
      <c r="P10" s="49" t="s">
        <v>88</v>
      </c>
      <c r="Q10" s="49" t="s">
        <v>204</v>
      </c>
      <c r="T10" s="373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</row>
    <row r="11" spans="1:91"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30"/>
      <c r="Q11" s="28"/>
      <c r="T11" s="373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</row>
    <row r="12" spans="1:91">
      <c r="A12" s="4">
        <v>1</v>
      </c>
      <c r="B12" s="23" t="s">
        <v>29</v>
      </c>
      <c r="C12" s="4"/>
      <c r="D12" s="50">
        <f t="shared" ref="D12:O12" si="0">D13*$C$13+D14*$C$14+D15*$C$15+D16*$C$16</f>
        <v>6081538.1637589438</v>
      </c>
      <c r="E12" s="50">
        <f t="shared" si="0"/>
        <v>5035683.2324800994</v>
      </c>
      <c r="F12" s="50">
        <f t="shared" si="0"/>
        <v>4434632.339970747</v>
      </c>
      <c r="G12" s="50">
        <f t="shared" si="0"/>
        <v>4324785.6711090161</v>
      </c>
      <c r="H12" s="50">
        <f t="shared" si="0"/>
        <v>4318905.2758845743</v>
      </c>
      <c r="I12" s="50">
        <f t="shared" si="0"/>
        <v>4297832.5585399466</v>
      </c>
      <c r="J12" s="50">
        <f t="shared" si="0"/>
        <v>4655017.683764955</v>
      </c>
      <c r="K12" s="50">
        <f t="shared" si="0"/>
        <v>6076926.3215256091</v>
      </c>
      <c r="L12" s="50">
        <f t="shared" si="0"/>
        <v>7530851.6788816964</v>
      </c>
      <c r="M12" s="50">
        <f t="shared" si="0"/>
        <v>8292518.2405610979</v>
      </c>
      <c r="N12" s="50">
        <f t="shared" si="0"/>
        <v>8653070.6278884485</v>
      </c>
      <c r="O12" s="50">
        <f t="shared" si="0"/>
        <v>7246377.5855947435</v>
      </c>
      <c r="P12" s="50">
        <f>SUM(D12:O12)</f>
        <v>70948139.379959881</v>
      </c>
      <c r="Q12" s="51"/>
      <c r="S12" s="99">
        <f>(P12+P19)/P13</f>
        <v>63.073449456597572</v>
      </c>
      <c r="T12" s="373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67"/>
      <c r="BM12" s="67"/>
      <c r="BN12" s="67"/>
      <c r="BO12" s="67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</row>
    <row r="13" spans="1:91">
      <c r="A13" s="4">
        <v>2</v>
      </c>
      <c r="B13" s="2" t="s">
        <v>22</v>
      </c>
      <c r="C13" s="11">
        <f>'Rate Design'!J12</f>
        <v>25</v>
      </c>
      <c r="D13" s="6">
        <f>'Monthly Forecast'!Y12</f>
        <v>162288</v>
      </c>
      <c r="E13" s="6">
        <f>'Monthly Forecast'!Z12</f>
        <v>161528</v>
      </c>
      <c r="F13" s="6">
        <f>'Monthly Forecast'!AA12</f>
        <v>160443</v>
      </c>
      <c r="G13" s="6">
        <f>'Monthly Forecast'!AB12</f>
        <v>158859</v>
      </c>
      <c r="H13" s="6">
        <f>'Monthly Forecast'!AC12</f>
        <v>158643</v>
      </c>
      <c r="I13" s="6">
        <f>'Monthly Forecast'!AD12</f>
        <v>157525</v>
      </c>
      <c r="J13" s="6">
        <f>'Monthly Forecast'!AE12</f>
        <v>158693</v>
      </c>
      <c r="K13" s="6">
        <f>'Monthly Forecast'!AF12</f>
        <v>160008</v>
      </c>
      <c r="L13" s="6">
        <f>'Monthly Forecast'!AG12</f>
        <v>161112</v>
      </c>
      <c r="M13" s="6">
        <f>'Monthly Forecast'!AH12</f>
        <v>162059</v>
      </c>
      <c r="N13" s="6">
        <f>'Monthly Forecast'!AI12</f>
        <v>162229</v>
      </c>
      <c r="O13" s="6">
        <f>'Monthly Forecast'!AJ12</f>
        <v>162136</v>
      </c>
      <c r="P13" s="6">
        <f>ROUND((SUM(D13:O13)),0)</f>
        <v>1925523</v>
      </c>
      <c r="Q13" s="6">
        <f>ROUND(P13*C13,0)</f>
        <v>48138075</v>
      </c>
      <c r="S13" s="158"/>
      <c r="T13" s="374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71"/>
      <c r="BM13" s="71"/>
      <c r="BN13" s="71"/>
      <c r="BO13" s="71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</row>
    <row r="14" spans="1:91">
      <c r="A14" s="4">
        <v>3</v>
      </c>
      <c r="B14" s="2" t="s">
        <v>23</v>
      </c>
      <c r="C14" s="13">
        <f>'Rate Design'!J23</f>
        <v>2.2951000000000001</v>
      </c>
      <c r="D14" s="6">
        <f>'Monthly Forecast'!Y13</f>
        <v>882026.12686111452</v>
      </c>
      <c r="E14" s="6">
        <f>'Monthly Forecast'!Z13</f>
        <v>434614.2793255627</v>
      </c>
      <c r="F14" s="6">
        <f>'Monthly Forecast'!AA13</f>
        <v>184548.5338202024</v>
      </c>
      <c r="G14" s="6">
        <f>'Monthly Forecast'!AB13</f>
        <v>153941.29715873633</v>
      </c>
      <c r="H14" s="6">
        <f>'Monthly Forecast'!AC13</f>
        <v>153731.98374126368</v>
      </c>
      <c r="I14" s="6">
        <f>'Monthly Forecast'!AD13</f>
        <v>156728.49049712287</v>
      </c>
      <c r="J14" s="6">
        <f>'Monthly Forecast'!AE13</f>
        <v>299635.17222123418</v>
      </c>
      <c r="K14" s="6">
        <f>'Monthly Forecast'!AF13</f>
        <v>904852.21625445888</v>
      </c>
      <c r="L14" s="6">
        <f>'Monthly Forecast'!AG13</f>
        <v>1526317.6675882081</v>
      </c>
      <c r="M14" s="6">
        <f>'Monthly Forecast'!AH13</f>
        <v>1847868.6072768497</v>
      </c>
      <c r="N14" s="6">
        <f>'Monthly Forecast'!AI13</f>
        <v>2003113.4276887493</v>
      </c>
      <c r="O14" s="6">
        <f>'Monthly Forecast'!AJ13</f>
        <v>1391215.0170340042</v>
      </c>
      <c r="P14" s="6">
        <f>SUM(D14:O14)</f>
        <v>9938592.8194675054</v>
      </c>
      <c r="Q14" s="6">
        <f t="shared" ref="Q14:Q16" si="1">ROUND(P14*C14,0)</f>
        <v>22810064</v>
      </c>
      <c r="S14" s="98"/>
      <c r="T14" s="374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</row>
    <row r="15" spans="1:91">
      <c r="A15" s="4">
        <v>4</v>
      </c>
      <c r="B15" s="2" t="s">
        <v>24</v>
      </c>
      <c r="C15" s="13">
        <f>'Rate Design'!J24</f>
        <v>1.5952999999999999</v>
      </c>
      <c r="D15" s="6">
        <f>'Monthly Forecast'!Y14</f>
        <v>0</v>
      </c>
      <c r="E15" s="6">
        <f>'Monthly Forecast'!Z14</f>
        <v>0</v>
      </c>
      <c r="F15" s="6">
        <f>'Monthly Forecast'!AA14</f>
        <v>0</v>
      </c>
      <c r="G15" s="6">
        <f>'Monthly Forecast'!AB14</f>
        <v>0</v>
      </c>
      <c r="H15" s="6">
        <f>'Monthly Forecast'!AC14</f>
        <v>0</v>
      </c>
      <c r="I15" s="6">
        <f>'Monthly Forecast'!AD14</f>
        <v>0</v>
      </c>
      <c r="J15" s="6">
        <f>'Monthly Forecast'!AE14</f>
        <v>0</v>
      </c>
      <c r="K15" s="6">
        <f>'Monthly Forecast'!AF14</f>
        <v>0</v>
      </c>
      <c r="L15" s="6">
        <f>'Monthly Forecast'!AG14</f>
        <v>0</v>
      </c>
      <c r="M15" s="6">
        <f>'Monthly Forecast'!AH14</f>
        <v>0</v>
      </c>
      <c r="N15" s="6">
        <f>'Monthly Forecast'!AI14</f>
        <v>0</v>
      </c>
      <c r="O15" s="6">
        <f>'Monthly Forecast'!AJ14</f>
        <v>0</v>
      </c>
      <c r="P15" s="6">
        <f>SUM(D15:O15)</f>
        <v>0</v>
      </c>
      <c r="Q15" s="6">
        <f t="shared" si="1"/>
        <v>0</v>
      </c>
      <c r="S15" s="98"/>
      <c r="T15" s="374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</row>
    <row r="16" spans="1:91">
      <c r="A16" s="4">
        <v>5</v>
      </c>
      <c r="B16" s="2" t="s">
        <v>55</v>
      </c>
      <c r="C16" s="13">
        <f>'Rate Design'!J25</f>
        <v>1.3174999999999999</v>
      </c>
      <c r="D16" s="6">
        <f>'Monthly Forecast'!Y15</f>
        <v>0</v>
      </c>
      <c r="E16" s="6">
        <f>'Monthly Forecast'!Z15</f>
        <v>0</v>
      </c>
      <c r="F16" s="6">
        <f>'Monthly Forecast'!AA15</f>
        <v>0</v>
      </c>
      <c r="G16" s="6">
        <f>'Monthly Forecast'!AB15</f>
        <v>0</v>
      </c>
      <c r="H16" s="6">
        <f>'Monthly Forecast'!AC15</f>
        <v>0</v>
      </c>
      <c r="I16" s="6">
        <f>'Monthly Forecast'!AD15</f>
        <v>0</v>
      </c>
      <c r="J16" s="6">
        <f>'Monthly Forecast'!AE15</f>
        <v>0</v>
      </c>
      <c r="K16" s="6">
        <f>'Monthly Forecast'!AF15</f>
        <v>0</v>
      </c>
      <c r="L16" s="6">
        <f>'Monthly Forecast'!AG15</f>
        <v>0</v>
      </c>
      <c r="M16" s="6">
        <f>'Monthly Forecast'!AH15</f>
        <v>0</v>
      </c>
      <c r="N16" s="6">
        <f>'Monthly Forecast'!AI15</f>
        <v>0</v>
      </c>
      <c r="O16" s="6">
        <f>'Monthly Forecast'!AJ15</f>
        <v>0</v>
      </c>
      <c r="P16" s="6">
        <f>SUM(D16:O16)</f>
        <v>0</v>
      </c>
      <c r="Q16" s="6">
        <f t="shared" si="1"/>
        <v>0</v>
      </c>
      <c r="S16" s="98"/>
      <c r="T16" s="374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</row>
    <row r="17" spans="1:20">
      <c r="A17" s="4">
        <v>6</v>
      </c>
      <c r="B17" s="21" t="s">
        <v>53</v>
      </c>
      <c r="C17" s="21"/>
      <c r="D17" s="20">
        <f t="shared" ref="D17:P17" si="2">D14+D15+D16</f>
        <v>882026.12686111452</v>
      </c>
      <c r="E17" s="20">
        <f t="shared" si="2"/>
        <v>434614.2793255627</v>
      </c>
      <c r="F17" s="20">
        <f t="shared" si="2"/>
        <v>184548.5338202024</v>
      </c>
      <c r="G17" s="20">
        <f t="shared" si="2"/>
        <v>153941.29715873633</v>
      </c>
      <c r="H17" s="20">
        <f t="shared" si="2"/>
        <v>153731.98374126368</v>
      </c>
      <c r="I17" s="20">
        <f t="shared" si="2"/>
        <v>156728.49049712287</v>
      </c>
      <c r="J17" s="20">
        <f t="shared" si="2"/>
        <v>299635.17222123418</v>
      </c>
      <c r="K17" s="20">
        <f t="shared" si="2"/>
        <v>904852.21625445888</v>
      </c>
      <c r="L17" s="20">
        <f t="shared" si="2"/>
        <v>1526317.6675882081</v>
      </c>
      <c r="M17" s="20">
        <f t="shared" si="2"/>
        <v>1847868.6072768497</v>
      </c>
      <c r="N17" s="20">
        <f t="shared" si="2"/>
        <v>2003113.4276887493</v>
      </c>
      <c r="O17" s="20">
        <f t="shared" si="2"/>
        <v>1391215.0170340042</v>
      </c>
      <c r="P17" s="20">
        <f t="shared" si="2"/>
        <v>9938592.8194675054</v>
      </c>
      <c r="Q17" s="20">
        <f>SUM(Q13:Q16)</f>
        <v>70948139</v>
      </c>
      <c r="T17" s="374">
        <f>P17/P13*12</f>
        <v>61.938036488585212</v>
      </c>
    </row>
    <row r="18" spans="1:20">
      <c r="A18" s="4">
        <v>7</v>
      </c>
      <c r="B18" s="2" t="s">
        <v>196</v>
      </c>
      <c r="D18" s="11">
        <f>'Monthly Forecast'!Y17</f>
        <v>4.5812916609737586</v>
      </c>
      <c r="E18" s="11">
        <f>'Monthly Forecast'!Z17</f>
        <v>4.9331682240840156</v>
      </c>
      <c r="F18" s="11">
        <f>'Monthly Forecast'!AA17</f>
        <v>4.9331682240840156</v>
      </c>
      <c r="G18" s="11">
        <f>'Monthly Forecast'!AB17</f>
        <v>4.9331682240840156</v>
      </c>
      <c r="H18" s="11">
        <f>'Monthly Forecast'!AC17</f>
        <v>5.2989478814284547</v>
      </c>
      <c r="I18" s="11">
        <f>'Monthly Forecast'!AD17</f>
        <v>5.2989478814284547</v>
      </c>
      <c r="J18" s="11">
        <f>'Monthly Forecast'!AE17</f>
        <v>5.2989478814284547</v>
      </c>
      <c r="K18" s="11">
        <f>'Monthly Forecast'!AF17</f>
        <v>5.329817872818098</v>
      </c>
      <c r="L18" s="11">
        <f>'Monthly Forecast'!AG17</f>
        <v>5.329817872818098</v>
      </c>
      <c r="M18" s="11">
        <f>'Monthly Forecast'!AH17</f>
        <v>5.329817872818098</v>
      </c>
      <c r="N18" s="11">
        <f>'Monthly Forecast'!AI17</f>
        <v>4.8926337200932446</v>
      </c>
      <c r="O18" s="11">
        <f>'Monthly Forecast'!AJ17</f>
        <v>4.8926337200932446</v>
      </c>
      <c r="P18" s="11"/>
      <c r="Q18" s="11"/>
      <c r="S18" s="98"/>
      <c r="T18" s="373"/>
    </row>
    <row r="19" spans="1:20">
      <c r="A19" s="4">
        <v>8</v>
      </c>
      <c r="B19" s="2" t="s">
        <v>188</v>
      </c>
      <c r="D19" s="3">
        <f t="shared" ref="D19:O19" si="3">D18*D17</f>
        <v>4040818.9397498067</v>
      </c>
      <c r="E19" s="3">
        <f t="shared" si="3"/>
        <v>2144025.3525020406</v>
      </c>
      <c r="F19" s="3">
        <f t="shared" si="3"/>
        <v>910408.96284311672</v>
      </c>
      <c r="G19" s="3">
        <f t="shared" si="3"/>
        <v>759418.31551775301</v>
      </c>
      <c r="H19" s="3">
        <f t="shared" si="3"/>
        <v>814617.76955356286</v>
      </c>
      <c r="I19" s="3">
        <f t="shared" si="3"/>
        <v>830496.10267920897</v>
      </c>
      <c r="J19" s="3">
        <f t="shared" si="3"/>
        <v>1587751.161043159</v>
      </c>
      <c r="K19" s="3">
        <f t="shared" si="3"/>
        <v>4822697.5144520821</v>
      </c>
      <c r="L19" s="3">
        <f t="shared" si="3"/>
        <v>8134995.1843096642</v>
      </c>
      <c r="M19" s="3">
        <f t="shared" si="3"/>
        <v>9848803.1296836399</v>
      </c>
      <c r="N19" s="3">
        <f t="shared" si="3"/>
        <v>9800500.3014815357</v>
      </c>
      <c r="O19" s="3">
        <f t="shared" si="3"/>
        <v>6806705.5042406665</v>
      </c>
      <c r="P19" s="3">
        <f>SUM(D19:O19)</f>
        <v>50501238.238056242</v>
      </c>
      <c r="Q19" s="3"/>
      <c r="S19" s="98"/>
      <c r="T19" s="373"/>
    </row>
    <row r="20" spans="1:20">
      <c r="A20" s="4">
        <v>9</v>
      </c>
      <c r="C20" s="6"/>
      <c r="D20" s="22"/>
      <c r="P20" s="6"/>
      <c r="Q20" s="6"/>
      <c r="S20" s="98"/>
      <c r="T20" s="373"/>
    </row>
    <row r="21" spans="1:20">
      <c r="A21" s="4">
        <v>10</v>
      </c>
      <c r="B21" s="23" t="s">
        <v>30</v>
      </c>
      <c r="D21" s="50">
        <f t="shared" ref="D21:O21" si="4">D22*$C$22+D23*$C$23+D24*$C$24+D25*$C$25</f>
        <v>2523401.5912431022</v>
      </c>
      <c r="E21" s="50">
        <f t="shared" si="4"/>
        <v>2027425.0156753755</v>
      </c>
      <c r="F21" s="50">
        <f t="shared" si="4"/>
        <v>1734862.7842760507</v>
      </c>
      <c r="G21" s="50">
        <f t="shared" si="4"/>
        <v>1674756.6713403068</v>
      </c>
      <c r="H21" s="50">
        <f t="shared" si="4"/>
        <v>1672898.7657461951</v>
      </c>
      <c r="I21" s="50">
        <f t="shared" si="4"/>
        <v>1650084.6531864449</v>
      </c>
      <c r="J21" s="50">
        <f t="shared" si="4"/>
        <v>1795549.955763049</v>
      </c>
      <c r="K21" s="50">
        <f t="shared" si="4"/>
        <v>2478596.1542428415</v>
      </c>
      <c r="L21" s="50">
        <f t="shared" si="4"/>
        <v>3147650.3996687569</v>
      </c>
      <c r="M21" s="50">
        <f t="shared" si="4"/>
        <v>3491368.0374248787</v>
      </c>
      <c r="N21" s="50">
        <f t="shared" si="4"/>
        <v>3656809.7964829011</v>
      </c>
      <c r="O21" s="50">
        <f t="shared" si="4"/>
        <v>3051273.8207761939</v>
      </c>
      <c r="P21" s="50">
        <f>SUM(D21:O21)</f>
        <v>28904677.645826098</v>
      </c>
      <c r="Q21" s="51"/>
      <c r="S21" s="99">
        <f>(P21+P28)/P22</f>
        <v>259.97744733158282</v>
      </c>
      <c r="T21" s="373"/>
    </row>
    <row r="22" spans="1:20">
      <c r="A22" s="4">
        <v>11</v>
      </c>
      <c r="B22" s="2" t="s">
        <v>22</v>
      </c>
      <c r="C22" s="44">
        <f>'Rate Design'!J13</f>
        <v>75</v>
      </c>
      <c r="D22" s="6">
        <f>'Monthly Forecast'!Y21</f>
        <v>18884</v>
      </c>
      <c r="E22" s="6">
        <f>'Monthly Forecast'!Z21</f>
        <v>18586</v>
      </c>
      <c r="F22" s="6">
        <f>'Monthly Forecast'!AA21</f>
        <v>18217</v>
      </c>
      <c r="G22" s="6">
        <f>'Monthly Forecast'!AB21</f>
        <v>17906</v>
      </c>
      <c r="H22" s="6">
        <f>'Monthly Forecast'!AC21</f>
        <v>17852</v>
      </c>
      <c r="I22" s="6">
        <f>'Monthly Forecast'!AD21</f>
        <v>17731</v>
      </c>
      <c r="J22" s="6">
        <f>'Monthly Forecast'!AE21</f>
        <v>17935</v>
      </c>
      <c r="K22" s="6">
        <f>'Monthly Forecast'!AF21</f>
        <v>18360</v>
      </c>
      <c r="L22" s="6">
        <f>'Monthly Forecast'!AG21</f>
        <v>18636</v>
      </c>
      <c r="M22" s="6">
        <f>'Monthly Forecast'!AH21</f>
        <v>18899</v>
      </c>
      <c r="N22" s="6">
        <f>'Monthly Forecast'!AI21</f>
        <v>18881</v>
      </c>
      <c r="O22" s="6">
        <f>'Monthly Forecast'!AJ21</f>
        <v>18894</v>
      </c>
      <c r="P22" s="6">
        <f>ROUND((SUM(D22:O22)),0)</f>
        <v>220781</v>
      </c>
      <c r="Q22" s="6">
        <f t="shared" ref="Q22:Q25" si="5">ROUND(P22*C22,0)</f>
        <v>16558575</v>
      </c>
      <c r="S22" s="98"/>
      <c r="T22" s="373"/>
    </row>
    <row r="23" spans="1:20">
      <c r="A23" s="4">
        <v>12</v>
      </c>
      <c r="B23" s="2" t="s">
        <v>23</v>
      </c>
      <c r="C23" s="13">
        <f>'Rate Design'!J23</f>
        <v>2.2951000000000001</v>
      </c>
      <c r="D23" s="6">
        <f>'Monthly Forecast'!Y22</f>
        <v>450438.39086677105</v>
      </c>
      <c r="E23" s="6">
        <f>'Monthly Forecast'!Z22</f>
        <v>256777.33183943888</v>
      </c>
      <c r="F23" s="6">
        <f>'Monthly Forecast'!AA22</f>
        <v>147122.54030253537</v>
      </c>
      <c r="G23" s="6">
        <f>'Monthly Forecast'!AB22</f>
        <v>130646.31892965757</v>
      </c>
      <c r="H23" s="6">
        <f>'Monthly Forecast'!AC22</f>
        <v>134814.39468582821</v>
      </c>
      <c r="I23" s="6">
        <f>'Monthly Forecast'!AD22</f>
        <v>113316.03222846896</v>
      </c>
      <c r="J23" s="6">
        <f>'Monthly Forecast'!AE22</f>
        <v>149214.90200769715</v>
      </c>
      <c r="K23" s="6">
        <f>'Monthly Forecast'!AF22</f>
        <v>437071.41059518291</v>
      </c>
      <c r="L23" s="6">
        <f>'Monthly Forecast'!AG22</f>
        <v>697238.14561079466</v>
      </c>
      <c r="M23" s="6">
        <f>'Monthly Forecast'!AH22</f>
        <v>802225.24254819378</v>
      </c>
      <c r="N23" s="6">
        <f>'Monthly Forecast'!AI22</f>
        <v>879856.95446737448</v>
      </c>
      <c r="O23" s="6">
        <f>'Monthly Forecast'!AJ22</f>
        <v>660855.73601369164</v>
      </c>
      <c r="P23" s="6">
        <f>SUM(D23:O23)</f>
        <v>4859577.4000956351</v>
      </c>
      <c r="Q23" s="6">
        <f t="shared" si="5"/>
        <v>11153216</v>
      </c>
      <c r="S23" s="98"/>
      <c r="T23" s="373"/>
    </row>
    <row r="24" spans="1:20">
      <c r="A24" s="4">
        <v>13</v>
      </c>
      <c r="B24" s="2" t="s">
        <v>24</v>
      </c>
      <c r="C24" s="13">
        <f>'Rate Design'!J24</f>
        <v>1.5952999999999999</v>
      </c>
      <c r="D24" s="6">
        <f>'Monthly Forecast'!Y23</f>
        <v>45947.746734016335</v>
      </c>
      <c r="E24" s="6">
        <f>'Monthly Forecast'!Z23</f>
        <v>27672.137761348546</v>
      </c>
      <c r="F24" s="6">
        <f>'Monthly Forecast'!AA23</f>
        <v>19386.223298252091</v>
      </c>
      <c r="G24" s="6">
        <f>'Monthly Forecast'!AB23</f>
        <v>20034.040471917302</v>
      </c>
      <c r="H24" s="6">
        <f>'Monthly Forecast'!AC23</f>
        <v>15411.677115746692</v>
      </c>
      <c r="I24" s="6">
        <f>'Monthly Forecast'!AD23</f>
        <v>37728.344273105904</v>
      </c>
      <c r="J24" s="6">
        <f>'Monthly Forecast'!AE23</f>
        <v>67674.941493877734</v>
      </c>
      <c r="K24" s="6">
        <f>'Monthly Forecast'!AF23</f>
        <v>61727.298806392049</v>
      </c>
      <c r="L24" s="6">
        <f>'Monthly Forecast'!AG23</f>
        <v>93850.142090780355</v>
      </c>
      <c r="M24" s="6">
        <f>'Monthly Forecast'!AH23</f>
        <v>145901.01125338109</v>
      </c>
      <c r="N24" s="6">
        <f>'Monthly Forecast'!AI23</f>
        <v>138767.06593420039</v>
      </c>
      <c r="O24" s="6">
        <f>'Monthly Forecast'!AJ23</f>
        <v>73649.984987883261</v>
      </c>
      <c r="P24" s="6">
        <f>SUM(D24:O24)</f>
        <v>747750.61422090186</v>
      </c>
      <c r="Q24" s="6">
        <f t="shared" si="5"/>
        <v>1192887</v>
      </c>
      <c r="S24" s="98"/>
      <c r="T24" s="373"/>
    </row>
    <row r="25" spans="1:20">
      <c r="A25" s="4">
        <v>14</v>
      </c>
      <c r="B25" s="2" t="s">
        <v>55</v>
      </c>
      <c r="C25" s="13">
        <f>'Rate Design'!J25</f>
        <v>1.3174999999999999</v>
      </c>
      <c r="D25" s="6">
        <f>'Monthly Forecast'!Y24</f>
        <v>0</v>
      </c>
      <c r="E25" s="6">
        <f>'Monthly Forecast'!Z24</f>
        <v>0</v>
      </c>
      <c r="F25" s="6">
        <f>'Monthly Forecast'!AA24</f>
        <v>0</v>
      </c>
      <c r="G25" s="6">
        <f>'Monthly Forecast'!AB24</f>
        <v>0</v>
      </c>
      <c r="H25" s="6">
        <f>'Monthly Forecast'!AC24</f>
        <v>0</v>
      </c>
      <c r="I25" s="6">
        <f>'Monthly Forecast'!AD24</f>
        <v>0</v>
      </c>
      <c r="J25" s="6">
        <f>'Monthly Forecast'!AE24</f>
        <v>0</v>
      </c>
      <c r="K25" s="6">
        <f>'Monthly Forecast'!AF24</f>
        <v>0</v>
      </c>
      <c r="L25" s="6">
        <f>'Monthly Forecast'!AG24</f>
        <v>0</v>
      </c>
      <c r="M25" s="6">
        <f>'Monthly Forecast'!AH24</f>
        <v>0</v>
      </c>
      <c r="N25" s="6">
        <f>'Monthly Forecast'!AI24</f>
        <v>0</v>
      </c>
      <c r="O25" s="6">
        <f>'Monthly Forecast'!AJ24</f>
        <v>0</v>
      </c>
      <c r="P25" s="6">
        <f>SUM(D25:O25)</f>
        <v>0</v>
      </c>
      <c r="Q25" s="6">
        <f t="shared" si="5"/>
        <v>0</v>
      </c>
      <c r="S25" s="98"/>
      <c r="T25" s="373"/>
    </row>
    <row r="26" spans="1:20">
      <c r="A26" s="4">
        <v>15</v>
      </c>
      <c r="B26" s="21" t="s">
        <v>53</v>
      </c>
      <c r="C26" s="21"/>
      <c r="D26" s="20">
        <f t="shared" ref="D26:P26" si="6">D23+D24+D25</f>
        <v>496386.13760078739</v>
      </c>
      <c r="E26" s="20">
        <f t="shared" si="6"/>
        <v>284449.46960078744</v>
      </c>
      <c r="F26" s="20">
        <f t="shared" si="6"/>
        <v>166508.76360078747</v>
      </c>
      <c r="G26" s="20">
        <f t="shared" si="6"/>
        <v>150680.35940157488</v>
      </c>
      <c r="H26" s="20">
        <f t="shared" si="6"/>
        <v>150226.0718015749</v>
      </c>
      <c r="I26" s="20">
        <f t="shared" si="6"/>
        <v>151044.37650157488</v>
      </c>
      <c r="J26" s="20">
        <f t="shared" si="6"/>
        <v>216889.84350157488</v>
      </c>
      <c r="K26" s="20">
        <f t="shared" si="6"/>
        <v>498798.70940157498</v>
      </c>
      <c r="L26" s="20">
        <f t="shared" si="6"/>
        <v>791088.28770157497</v>
      </c>
      <c r="M26" s="20">
        <f t="shared" si="6"/>
        <v>948126.25380157493</v>
      </c>
      <c r="N26" s="20">
        <f t="shared" si="6"/>
        <v>1018624.0204015749</v>
      </c>
      <c r="O26" s="20">
        <f t="shared" si="6"/>
        <v>734505.72100157489</v>
      </c>
      <c r="P26" s="20">
        <f t="shared" si="6"/>
        <v>5607328.0143165365</v>
      </c>
      <c r="Q26" s="20">
        <f>SUM(Q22:Q25)</f>
        <v>28904678</v>
      </c>
      <c r="S26" s="98"/>
      <c r="T26" s="374">
        <f>P26/P22*12</f>
        <v>304.77231361303029</v>
      </c>
    </row>
    <row r="27" spans="1:20">
      <c r="A27" s="4">
        <v>16</v>
      </c>
      <c r="B27" s="2" t="s">
        <v>196</v>
      </c>
      <c r="D27" s="11">
        <f>'Monthly Forecast'!Y26</f>
        <v>4.5812916609737586</v>
      </c>
      <c r="E27" s="11">
        <f>'Monthly Forecast'!Z26</f>
        <v>4.9331682240840156</v>
      </c>
      <c r="F27" s="11">
        <f>'Monthly Forecast'!AA26</f>
        <v>4.9331682240840156</v>
      </c>
      <c r="G27" s="11">
        <f>'Monthly Forecast'!AB26</f>
        <v>4.9331682240840156</v>
      </c>
      <c r="H27" s="11">
        <f>'Monthly Forecast'!AC26</f>
        <v>5.2989478814284547</v>
      </c>
      <c r="I27" s="11">
        <f>'Monthly Forecast'!AD26</f>
        <v>5.2989478814284547</v>
      </c>
      <c r="J27" s="11">
        <f>'Monthly Forecast'!AE26</f>
        <v>5.2989478814284547</v>
      </c>
      <c r="K27" s="11">
        <f>'Monthly Forecast'!AF26</f>
        <v>5.329817872818098</v>
      </c>
      <c r="L27" s="11">
        <f>'Monthly Forecast'!AG26</f>
        <v>5.329817872818098</v>
      </c>
      <c r="M27" s="11">
        <f>'Monthly Forecast'!AH26</f>
        <v>5.329817872818098</v>
      </c>
      <c r="N27" s="11">
        <f>'Monthly Forecast'!AI26</f>
        <v>4.8926337200932446</v>
      </c>
      <c r="O27" s="11">
        <f>'Monthly Forecast'!AJ26</f>
        <v>4.8926337200932446</v>
      </c>
      <c r="P27" s="11"/>
      <c r="Q27" s="11"/>
      <c r="S27" s="98"/>
      <c r="T27" s="373"/>
    </row>
    <row r="28" spans="1:20">
      <c r="A28" s="4">
        <v>17</v>
      </c>
      <c r="B28" s="2" t="s">
        <v>188</v>
      </c>
      <c r="D28" s="3">
        <f t="shared" ref="D28:O28" si="7">D27*D26</f>
        <v>2274089.6728134598</v>
      </c>
      <c r="E28" s="3">
        <f t="shared" si="7"/>
        <v>1403237.0847921567</v>
      </c>
      <c r="F28" s="3">
        <f t="shared" si="7"/>
        <v>821415.74162692192</v>
      </c>
      <c r="G28" s="3">
        <f t="shared" si="7"/>
        <v>743331.56099340832</v>
      </c>
      <c r="H28" s="3">
        <f t="shared" si="7"/>
        <v>796040.12490827427</v>
      </c>
      <c r="I28" s="3">
        <f t="shared" si="7"/>
        <v>800376.27886470209</v>
      </c>
      <c r="J28" s="3">
        <f t="shared" si="7"/>
        <v>1149287.9767260193</v>
      </c>
      <c r="K28" s="3">
        <f t="shared" si="7"/>
        <v>2658506.2763071149</v>
      </c>
      <c r="L28" s="3">
        <f t="shared" si="7"/>
        <v>4216356.4947689194</v>
      </c>
      <c r="M28" s="3">
        <f t="shared" si="7"/>
        <v>5053340.2531997021</v>
      </c>
      <c r="N28" s="3">
        <f t="shared" si="7"/>
        <v>4983754.2303136941</v>
      </c>
      <c r="O28" s="3">
        <f t="shared" si="7"/>
        <v>3593667.4581737062</v>
      </c>
      <c r="P28" s="3">
        <f>SUM(D28:O28)</f>
        <v>28493403.153488085</v>
      </c>
      <c r="Q28" s="3"/>
      <c r="S28" s="98"/>
      <c r="T28" s="373"/>
    </row>
    <row r="29" spans="1:20">
      <c r="A29" s="4">
        <v>18</v>
      </c>
      <c r="D29" s="22"/>
      <c r="P29" s="6"/>
      <c r="Q29" s="6"/>
      <c r="S29" s="98"/>
      <c r="T29" s="373"/>
    </row>
    <row r="30" spans="1:20">
      <c r="A30" s="4">
        <v>19</v>
      </c>
      <c r="B30" s="23" t="s">
        <v>54</v>
      </c>
      <c r="C30" s="13"/>
      <c r="D30" s="50">
        <f t="shared" ref="D30:O30" si="8">D31*$C$31+D32*$C$32+D33*$C$33+D34*$C$34</f>
        <v>112144.98748863999</v>
      </c>
      <c r="E30" s="50">
        <f t="shared" si="8"/>
        <v>113143.15940430001</v>
      </c>
      <c r="F30" s="50">
        <f t="shared" si="8"/>
        <v>51350.933780010004</v>
      </c>
      <c r="G30" s="50">
        <f t="shared" si="8"/>
        <v>46470.873864970003</v>
      </c>
      <c r="H30" s="50">
        <f t="shared" si="8"/>
        <v>56662.627369760005</v>
      </c>
      <c r="I30" s="50">
        <f t="shared" si="8"/>
        <v>53628.81547655</v>
      </c>
      <c r="J30" s="50">
        <f t="shared" si="8"/>
        <v>60776.678999169992</v>
      </c>
      <c r="K30" s="50">
        <f t="shared" si="8"/>
        <v>101622.58600526999</v>
      </c>
      <c r="L30" s="50">
        <f t="shared" si="8"/>
        <v>155077.61723365</v>
      </c>
      <c r="M30" s="50">
        <f t="shared" si="8"/>
        <v>241098.28705468</v>
      </c>
      <c r="N30" s="50">
        <f t="shared" si="8"/>
        <v>226891.86246589004</v>
      </c>
      <c r="O30" s="50">
        <f t="shared" si="8"/>
        <v>148720.31772607</v>
      </c>
      <c r="P30" s="50">
        <f>SUM(D30:O30)</f>
        <v>1367588.7468689603</v>
      </c>
      <c r="Q30" s="51"/>
      <c r="S30" s="99">
        <f>(P30+P37)/P31</f>
        <v>1789.7956773334204</v>
      </c>
      <c r="T30" s="373"/>
    </row>
    <row r="31" spans="1:20">
      <c r="A31" s="4">
        <v>20</v>
      </c>
      <c r="B31" s="2" t="s">
        <v>22</v>
      </c>
      <c r="C31" s="11">
        <f>C22</f>
        <v>75</v>
      </c>
      <c r="D31" s="6">
        <f>'Monthly Forecast'!Y30</f>
        <v>213</v>
      </c>
      <c r="E31" s="6">
        <f>'Monthly Forecast'!Z30</f>
        <v>212</v>
      </c>
      <c r="F31" s="6">
        <f>'Monthly Forecast'!AA30</f>
        <v>210</v>
      </c>
      <c r="G31" s="6">
        <f>'Monthly Forecast'!AB30</f>
        <v>203</v>
      </c>
      <c r="H31" s="6">
        <f>'Monthly Forecast'!AC30</f>
        <v>215</v>
      </c>
      <c r="I31" s="6">
        <f>'Monthly Forecast'!AD30</f>
        <v>208</v>
      </c>
      <c r="J31" s="6">
        <f>'Monthly Forecast'!AE30</f>
        <v>210</v>
      </c>
      <c r="K31" s="6">
        <f>'Monthly Forecast'!AF30</f>
        <v>213</v>
      </c>
      <c r="L31" s="6">
        <f>'Monthly Forecast'!AG30</f>
        <v>208</v>
      </c>
      <c r="M31" s="6">
        <f>'Monthly Forecast'!AH30</f>
        <v>205</v>
      </c>
      <c r="N31" s="6">
        <f>'Monthly Forecast'!AI30</f>
        <v>212</v>
      </c>
      <c r="O31" s="6">
        <f>'Monthly Forecast'!AJ30</f>
        <v>215</v>
      </c>
      <c r="P31" s="6">
        <f>ROUND((SUM(D31:O31)),0)</f>
        <v>2524</v>
      </c>
      <c r="Q31" s="6">
        <f t="shared" ref="Q31:Q34" si="9">ROUND(P31*C31,0)</f>
        <v>189300</v>
      </c>
      <c r="S31" s="98"/>
      <c r="T31" s="373"/>
    </row>
    <row r="32" spans="1:20">
      <c r="A32" s="4">
        <v>21</v>
      </c>
      <c r="B32" s="2" t="s">
        <v>23</v>
      </c>
      <c r="C32" s="13">
        <f>C23</f>
        <v>2.2951000000000001</v>
      </c>
      <c r="D32" s="6">
        <f>'Monthly Forecast'!Y31</f>
        <v>27357.7264</v>
      </c>
      <c r="E32" s="6">
        <f>'Monthly Forecast'!Z31</f>
        <v>16429.903000000002</v>
      </c>
      <c r="F32" s="6">
        <f>'Monthly Forecast'!AA31</f>
        <v>9573.3551000000007</v>
      </c>
      <c r="G32" s="6">
        <f>'Monthly Forecast'!AB31</f>
        <v>8454.1347000000005</v>
      </c>
      <c r="H32" s="6">
        <f>'Monthly Forecast'!AC31</f>
        <v>8648.4575999999997</v>
      </c>
      <c r="I32" s="6">
        <f>'Monthly Forecast'!AD31</f>
        <v>9242.5805</v>
      </c>
      <c r="J32" s="6">
        <f>'Monthly Forecast'!AE31</f>
        <v>10822.866699999995</v>
      </c>
      <c r="K32" s="6">
        <f>'Monthly Forecast'!AF31</f>
        <v>23510.049699999996</v>
      </c>
      <c r="L32" s="6">
        <f>'Monthly Forecast'!AG31</f>
        <v>34112.761500000008</v>
      </c>
      <c r="M32" s="6">
        <f>'Monthly Forecast'!AH31</f>
        <v>43948.126800000005</v>
      </c>
      <c r="N32" s="6">
        <f>'Monthly Forecast'!AI31</f>
        <v>45008.453900000015</v>
      </c>
      <c r="O32" s="6">
        <f>'Monthly Forecast'!AJ31</f>
        <v>34440.155699999996</v>
      </c>
      <c r="P32" s="6">
        <f>SUM(D32:O32)</f>
        <v>271548.57160000002</v>
      </c>
      <c r="Q32" s="6">
        <f t="shared" si="9"/>
        <v>623231</v>
      </c>
      <c r="S32" s="98"/>
      <c r="T32" s="373"/>
    </row>
    <row r="33" spans="1:20">
      <c r="A33" s="4">
        <v>22</v>
      </c>
      <c r="B33" s="2" t="s">
        <v>24</v>
      </c>
      <c r="C33" s="13">
        <f>C24</f>
        <v>1.5952999999999999</v>
      </c>
      <c r="D33" s="6">
        <f>'Monthly Forecast'!Y32</f>
        <v>20924.759999999998</v>
      </c>
      <c r="E33" s="6">
        <f>'Monthly Forecast'!Z32</f>
        <v>37318.93</v>
      </c>
      <c r="F33" s="6">
        <f>'Monthly Forecast'!AA32</f>
        <v>8543.2999999999993</v>
      </c>
      <c r="G33" s="6">
        <f>'Monthly Forecast'!AB32</f>
        <v>7423.55</v>
      </c>
      <c r="H33" s="6">
        <f>'Monthly Forecast'!AC32</f>
        <v>12968.44</v>
      </c>
      <c r="I33" s="6">
        <f>'Monthly Forecast'!AD32</f>
        <v>10541.07</v>
      </c>
      <c r="J33" s="6">
        <f>'Monthly Forecast'!AE32</f>
        <v>12654.12</v>
      </c>
      <c r="K33" s="6">
        <f>'Monthly Forecast'!AF32</f>
        <v>19864.396000000001</v>
      </c>
      <c r="L33" s="6">
        <f>'Monthly Forecast'!AG32</f>
        <v>38353.549999999996</v>
      </c>
      <c r="M33" s="6">
        <f>'Monthly Forecast'!AH32</f>
        <v>78266.12</v>
      </c>
      <c r="N33" s="6">
        <f>'Monthly Forecast'!AI32</f>
        <v>67506.399999999994</v>
      </c>
      <c r="O33" s="6">
        <f>'Monthly Forecast'!AJ32</f>
        <v>33568.43</v>
      </c>
      <c r="P33" s="6">
        <f>SUM(D33:O33)</f>
        <v>347933.06599999999</v>
      </c>
      <c r="Q33" s="6">
        <f t="shared" si="9"/>
        <v>555058</v>
      </c>
      <c r="S33" s="98"/>
      <c r="T33" s="373"/>
    </row>
    <row r="34" spans="1:20">
      <c r="A34" s="4">
        <v>23</v>
      </c>
      <c r="B34" s="2" t="s">
        <v>55</v>
      </c>
      <c r="C34" s="13">
        <f>C25</f>
        <v>1.3174999999999999</v>
      </c>
      <c r="D34" s="6">
        <f>'Monthly Forecast'!Y33</f>
        <v>0</v>
      </c>
      <c r="E34" s="6">
        <f>'Monthly Forecast'!Z33</f>
        <v>0</v>
      </c>
      <c r="F34" s="6">
        <f>'Monthly Forecast'!AA33</f>
        <v>0</v>
      </c>
      <c r="G34" s="6">
        <f>'Monthly Forecast'!AB33</f>
        <v>0</v>
      </c>
      <c r="H34" s="6">
        <f>'Monthly Forecast'!AC33</f>
        <v>0</v>
      </c>
      <c r="I34" s="6">
        <f>'Monthly Forecast'!AD33</f>
        <v>0</v>
      </c>
      <c r="J34" s="6">
        <f>'Monthly Forecast'!AE33</f>
        <v>0</v>
      </c>
      <c r="K34" s="6">
        <f>'Monthly Forecast'!AF33</f>
        <v>0</v>
      </c>
      <c r="L34" s="6">
        <f>'Monthly Forecast'!AG33</f>
        <v>0</v>
      </c>
      <c r="M34" s="6">
        <f>'Monthly Forecast'!AH33</f>
        <v>0</v>
      </c>
      <c r="N34" s="6">
        <f>'Monthly Forecast'!AI33</f>
        <v>0</v>
      </c>
      <c r="O34" s="6">
        <f>'Monthly Forecast'!AJ33</f>
        <v>0</v>
      </c>
      <c r="P34" s="6">
        <f>SUM(D34:O34)</f>
        <v>0</v>
      </c>
      <c r="Q34" s="6">
        <f t="shared" si="9"/>
        <v>0</v>
      </c>
      <c r="S34" s="98"/>
      <c r="T34" s="373"/>
    </row>
    <row r="35" spans="1:20">
      <c r="A35" s="4">
        <v>24</v>
      </c>
      <c r="B35" s="21" t="s">
        <v>53</v>
      </c>
      <c r="C35" s="21"/>
      <c r="D35" s="20">
        <f t="shared" ref="D35:P35" si="10">D32+D33+D34</f>
        <v>48282.486399999994</v>
      </c>
      <c r="E35" s="20">
        <f t="shared" si="10"/>
        <v>53748.832999999999</v>
      </c>
      <c r="F35" s="20">
        <f t="shared" si="10"/>
        <v>18116.6551</v>
      </c>
      <c r="G35" s="20">
        <f t="shared" si="10"/>
        <v>15877.684700000002</v>
      </c>
      <c r="H35" s="20">
        <f t="shared" si="10"/>
        <v>21616.8976</v>
      </c>
      <c r="I35" s="20">
        <f t="shared" si="10"/>
        <v>19783.6505</v>
      </c>
      <c r="J35" s="20">
        <f t="shared" si="10"/>
        <v>23476.986699999994</v>
      </c>
      <c r="K35" s="20">
        <f t="shared" si="10"/>
        <v>43374.445699999997</v>
      </c>
      <c r="L35" s="20">
        <f t="shared" si="10"/>
        <v>72466.311500000011</v>
      </c>
      <c r="M35" s="20">
        <f t="shared" si="10"/>
        <v>122214.24679999999</v>
      </c>
      <c r="N35" s="20">
        <f t="shared" si="10"/>
        <v>112514.85390000002</v>
      </c>
      <c r="O35" s="20">
        <f t="shared" si="10"/>
        <v>68008.585699999996</v>
      </c>
      <c r="P35" s="20">
        <f t="shared" si="10"/>
        <v>619481.63760000002</v>
      </c>
      <c r="Q35" s="20">
        <f>SUM(Q31:Q34)</f>
        <v>1367589</v>
      </c>
      <c r="S35" s="98"/>
      <c r="T35" s="374">
        <f>P35/P31*12</f>
        <v>2945.2375797147388</v>
      </c>
    </row>
    <row r="36" spans="1:20">
      <c r="A36" s="4">
        <v>25</v>
      </c>
      <c r="B36" s="2" t="s">
        <v>196</v>
      </c>
      <c r="D36" s="11">
        <f>'Monthly Forecast'!Y35</f>
        <v>4.5812916609737586</v>
      </c>
      <c r="E36" s="11">
        <f>'Monthly Forecast'!Z35</f>
        <v>4.9331682240840156</v>
      </c>
      <c r="F36" s="11">
        <f>'Monthly Forecast'!AA35</f>
        <v>4.9331682240840156</v>
      </c>
      <c r="G36" s="11">
        <f>'Monthly Forecast'!AB35</f>
        <v>4.9331682240840156</v>
      </c>
      <c r="H36" s="11">
        <f>'Monthly Forecast'!AC35</f>
        <v>5.2989478814284547</v>
      </c>
      <c r="I36" s="11">
        <f>'Monthly Forecast'!AD35</f>
        <v>5.2989478814284547</v>
      </c>
      <c r="J36" s="11">
        <f>'Monthly Forecast'!AE35</f>
        <v>5.2989478814284547</v>
      </c>
      <c r="K36" s="11">
        <f>'Monthly Forecast'!AF35</f>
        <v>5.329817872818098</v>
      </c>
      <c r="L36" s="11">
        <f>'Monthly Forecast'!AG35</f>
        <v>5.329817872818098</v>
      </c>
      <c r="M36" s="11">
        <f>'Monthly Forecast'!AH35</f>
        <v>5.329817872818098</v>
      </c>
      <c r="N36" s="11">
        <f>'Monthly Forecast'!AI35</f>
        <v>4.8926337200932446</v>
      </c>
      <c r="O36" s="11">
        <f>'Monthly Forecast'!AJ35</f>
        <v>4.8926337200932446</v>
      </c>
      <c r="P36" s="11"/>
      <c r="Q36" s="11"/>
      <c r="S36" s="98"/>
      <c r="T36" s="373"/>
    </row>
    <row r="37" spans="1:20">
      <c r="A37" s="4">
        <v>26</v>
      </c>
      <c r="B37" s="2" t="s">
        <v>188</v>
      </c>
      <c r="D37" s="3">
        <f t="shared" ref="D37:O37" si="11">D36*D35</f>
        <v>221196.15231539888</v>
      </c>
      <c r="E37" s="3">
        <f t="shared" si="11"/>
        <v>265152.03503719834</v>
      </c>
      <c r="F37" s="3">
        <f t="shared" si="11"/>
        <v>89372.507266009619</v>
      </c>
      <c r="G37" s="3">
        <f t="shared" si="11"/>
        <v>78327.28963406496</v>
      </c>
      <c r="H37" s="3">
        <f t="shared" si="11"/>
        <v>114546.81374057585</v>
      </c>
      <c r="I37" s="3">
        <f t="shared" si="11"/>
        <v>104832.53290389599</v>
      </c>
      <c r="J37" s="3">
        <f t="shared" si="11"/>
        <v>124403.32893628898</v>
      </c>
      <c r="K37" s="3">
        <f t="shared" si="11"/>
        <v>231177.89591543807</v>
      </c>
      <c r="L37" s="3">
        <f t="shared" si="11"/>
        <v>386232.24220990372</v>
      </c>
      <c r="M37" s="3">
        <f t="shared" si="11"/>
        <v>651379.67690764205</v>
      </c>
      <c r="N37" s="3">
        <f t="shared" si="11"/>
        <v>550493.96820250503</v>
      </c>
      <c r="O37" s="3">
        <f t="shared" si="11"/>
        <v>332741.09965167119</v>
      </c>
      <c r="P37" s="3">
        <f>SUM(D37:O37)</f>
        <v>3149855.5427205926</v>
      </c>
      <c r="Q37" s="3"/>
      <c r="S37" s="98"/>
      <c r="T37" s="373"/>
    </row>
    <row r="38" spans="1:20">
      <c r="A38" s="4">
        <v>27</v>
      </c>
      <c r="D38" s="22"/>
      <c r="S38" s="98"/>
      <c r="T38" s="373"/>
    </row>
    <row r="39" spans="1:20">
      <c r="A39" s="4">
        <v>28</v>
      </c>
      <c r="B39" s="23" t="s">
        <v>56</v>
      </c>
      <c r="C39" s="13"/>
      <c r="D39" s="50">
        <f>D40*$C$40+D41*$C$41+D42*$C$42+D43*$C$43</f>
        <v>291236.4868028193</v>
      </c>
      <c r="E39" s="50">
        <f t="shared" ref="E39:O39" si="12">E40*$C$40+E41*$C$41+E42*$C$42+E43*$C$43</f>
        <v>214470.26227453584</v>
      </c>
      <c r="F39" s="50">
        <f t="shared" si="12"/>
        <v>168787.18027333054</v>
      </c>
      <c r="G39" s="50">
        <f t="shared" si="12"/>
        <v>165157.49574791756</v>
      </c>
      <c r="H39" s="50">
        <f t="shared" si="12"/>
        <v>165524.27568018041</v>
      </c>
      <c r="I39" s="50">
        <f t="shared" si="12"/>
        <v>167871.80638548156</v>
      </c>
      <c r="J39" s="50">
        <f t="shared" si="12"/>
        <v>192025.29847674616</v>
      </c>
      <c r="K39" s="50">
        <f t="shared" si="12"/>
        <v>295874.88643895119</v>
      </c>
      <c r="L39" s="50">
        <f t="shared" si="12"/>
        <v>401676.7254210083</v>
      </c>
      <c r="M39" s="50">
        <f t="shared" si="12"/>
        <v>449469.9977848077</v>
      </c>
      <c r="N39" s="50">
        <f t="shared" si="12"/>
        <v>471742.32047204074</v>
      </c>
      <c r="O39" s="50">
        <f t="shared" si="12"/>
        <v>377616.07843574818</v>
      </c>
      <c r="P39" s="50">
        <f>SUM(D39:O39)</f>
        <v>3361452.8141935677</v>
      </c>
      <c r="Q39" s="51"/>
      <c r="S39" s="99">
        <f>(P39+P46)/P40</f>
        <v>444.81835074786488</v>
      </c>
      <c r="T39" s="373"/>
    </row>
    <row r="40" spans="1:20">
      <c r="A40" s="4">
        <v>29</v>
      </c>
      <c r="B40" s="2" t="s">
        <v>22</v>
      </c>
      <c r="C40" s="11">
        <f>C31</f>
        <v>75</v>
      </c>
      <c r="D40" s="6">
        <f>'Monthly Forecast'!Y39</f>
        <v>1504</v>
      </c>
      <c r="E40" s="6">
        <f>'Monthly Forecast'!Z39</f>
        <v>1513</v>
      </c>
      <c r="F40" s="6">
        <f>'Monthly Forecast'!AA39</f>
        <v>1483</v>
      </c>
      <c r="G40" s="6">
        <f>'Monthly Forecast'!AB39</f>
        <v>1490</v>
      </c>
      <c r="H40" s="6">
        <f>'Monthly Forecast'!AC39</f>
        <v>1493</v>
      </c>
      <c r="I40" s="6">
        <f>'Monthly Forecast'!AD39</f>
        <v>1496</v>
      </c>
      <c r="J40" s="6">
        <f>'Monthly Forecast'!AE39</f>
        <v>1504</v>
      </c>
      <c r="K40" s="6">
        <f>'Monthly Forecast'!AF39</f>
        <v>1502</v>
      </c>
      <c r="L40" s="6">
        <f>'Monthly Forecast'!AG39</f>
        <v>1507</v>
      </c>
      <c r="M40" s="6">
        <f>'Monthly Forecast'!AH39</f>
        <v>1516</v>
      </c>
      <c r="N40" s="6">
        <f>'Monthly Forecast'!AI39</f>
        <v>1503</v>
      </c>
      <c r="O40" s="6">
        <f>'Monthly Forecast'!AJ39</f>
        <v>1507</v>
      </c>
      <c r="P40" s="6">
        <f>ROUND((SUM(D40:O40)),0)</f>
        <v>18018</v>
      </c>
      <c r="Q40" s="6">
        <f t="shared" ref="Q40:Q43" si="13">ROUND(P40*C40,0)</f>
        <v>1351350</v>
      </c>
      <c r="S40" s="98"/>
      <c r="T40" s="373"/>
    </row>
    <row r="41" spans="1:20">
      <c r="A41" s="4">
        <v>30</v>
      </c>
      <c r="B41" s="2" t="s">
        <v>23</v>
      </c>
      <c r="C41" s="13">
        <f>C32</f>
        <v>2.2951000000000001</v>
      </c>
      <c r="D41" s="6">
        <f>'Monthly Forecast'!Y40</f>
        <v>72573.374250856432</v>
      </c>
      <c r="E41" s="6">
        <f>'Monthly Forecast'!Z40</f>
        <v>39286.905960354146</v>
      </c>
      <c r="F41" s="6">
        <f>'Monthly Forecast'!AA40</f>
        <v>22475.558414676387</v>
      </c>
      <c r="G41" s="6">
        <f>'Monthly Forecast'!AB40</f>
        <v>21359.171345509516</v>
      </c>
      <c r="H41" s="6">
        <f>'Monthly Forecast'!AC40</f>
        <v>21453.343795799363</v>
      </c>
      <c r="I41" s="6">
        <f>'Monthly Forecast'!AD40</f>
        <v>23642.721399916503</v>
      </c>
      <c r="J41" s="6">
        <f>'Monthly Forecast'!AE40</f>
        <v>31613.699163898465</v>
      </c>
      <c r="K41" s="6">
        <f>'Monthly Forecast'!AF40</f>
        <v>73414.031412576674</v>
      </c>
      <c r="L41" s="6">
        <f>'Monthly Forecast'!AG40</f>
        <v>114685.50792167516</v>
      </c>
      <c r="M41" s="6">
        <f>'Monthly Forecast'!AH40</f>
        <v>124978.36002113133</v>
      </c>
      <c r="N41" s="6">
        <f>'Monthly Forecast'!AI40</f>
        <v>134401.31441577696</v>
      </c>
      <c r="O41" s="6">
        <f>'Monthly Forecast'!AJ40</f>
        <v>105739.11486968872</v>
      </c>
      <c r="P41" s="6">
        <f>SUM(D41:O41)</f>
        <v>785623.10297185974</v>
      </c>
      <c r="Q41" s="6">
        <f t="shared" si="13"/>
        <v>1803084</v>
      </c>
      <c r="S41" s="98"/>
      <c r="T41" s="373"/>
    </row>
    <row r="42" spans="1:20">
      <c r="A42" s="4">
        <v>31</v>
      </c>
      <c r="B42" s="2" t="s">
        <v>24</v>
      </c>
      <c r="C42" s="13">
        <f>C33</f>
        <v>1.5952999999999999</v>
      </c>
      <c r="D42" s="6">
        <f>'Monthly Forecast'!Y41</f>
        <v>7442.6976491435726</v>
      </c>
      <c r="E42" s="6">
        <f>'Monthly Forecast'!Z41</f>
        <v>6787.3656396458537</v>
      </c>
      <c r="F42" s="6">
        <f>'Monthly Forecast'!AA41</f>
        <v>3747.5873853236103</v>
      </c>
      <c r="G42" s="6">
        <f>'Monthly Forecast'!AB41</f>
        <v>2749.3647544904838</v>
      </c>
      <c r="H42" s="6">
        <f>'Monthly Forecast'!AC41</f>
        <v>2702.7558042006376</v>
      </c>
      <c r="I42" s="6">
        <f>'Monthly Forecast'!AD41</f>
        <v>883.46800008349476</v>
      </c>
      <c r="J42" s="6">
        <f>'Monthly Forecast'!AE41</f>
        <v>4180.2153361015362</v>
      </c>
      <c r="K42" s="6">
        <f>'Monthly Forecast'!AF41</f>
        <v>9234.8416874233153</v>
      </c>
      <c r="L42" s="6">
        <f>'Monthly Forecast'!AG41</f>
        <v>15944.973478324855</v>
      </c>
      <c r="M42" s="6">
        <f>'Monthly Forecast'!AH41</f>
        <v>30672.703378868671</v>
      </c>
      <c r="N42" s="6">
        <f>'Monthly Forecast'!AI41</f>
        <v>31688.625184223063</v>
      </c>
      <c r="O42" s="6">
        <f>'Monthly Forecast'!AJ41</f>
        <v>13733.614930311276</v>
      </c>
      <c r="P42" s="6">
        <f>SUM(D42:O42)</f>
        <v>129768.21322814038</v>
      </c>
      <c r="Q42" s="6">
        <f t="shared" si="13"/>
        <v>207019</v>
      </c>
      <c r="S42" s="98"/>
      <c r="T42" s="373"/>
    </row>
    <row r="43" spans="1:20">
      <c r="A43" s="4">
        <v>32</v>
      </c>
      <c r="B43" s="2" t="s">
        <v>55</v>
      </c>
      <c r="C43" s="13">
        <f>C34</f>
        <v>1.3174999999999999</v>
      </c>
      <c r="D43" s="6">
        <f>'Monthly Forecast'!Y42</f>
        <v>0</v>
      </c>
      <c r="E43" s="6">
        <f>'Monthly Forecast'!Z42</f>
        <v>0</v>
      </c>
      <c r="F43" s="6">
        <f>'Monthly Forecast'!AA42</f>
        <v>0</v>
      </c>
      <c r="G43" s="6">
        <f>'Monthly Forecast'!AB42</f>
        <v>0</v>
      </c>
      <c r="H43" s="6">
        <f>'Monthly Forecast'!AC42</f>
        <v>0</v>
      </c>
      <c r="I43" s="6">
        <f>'Monthly Forecast'!AD42</f>
        <v>0</v>
      </c>
      <c r="J43" s="6">
        <f>'Monthly Forecast'!AE42</f>
        <v>0</v>
      </c>
      <c r="K43" s="6">
        <f>'Monthly Forecast'!AF42</f>
        <v>0</v>
      </c>
      <c r="L43" s="6">
        <f>'Monthly Forecast'!AG42</f>
        <v>0</v>
      </c>
      <c r="M43" s="6">
        <f>'Monthly Forecast'!AH42</f>
        <v>0</v>
      </c>
      <c r="N43" s="6">
        <f>'Monthly Forecast'!AI42</f>
        <v>0</v>
      </c>
      <c r="O43" s="6">
        <f>'Monthly Forecast'!AJ42</f>
        <v>0</v>
      </c>
      <c r="P43" s="6">
        <f>SUM(D43:O43)</f>
        <v>0</v>
      </c>
      <c r="Q43" s="6">
        <f t="shared" si="13"/>
        <v>0</v>
      </c>
      <c r="S43" s="98"/>
      <c r="T43" s="373"/>
    </row>
    <row r="44" spans="1:20">
      <c r="A44" s="4">
        <v>33</v>
      </c>
      <c r="B44" s="21" t="s">
        <v>53</v>
      </c>
      <c r="C44" s="21"/>
      <c r="D44" s="20">
        <f t="shared" ref="D44:P44" si="14">D41+D42+D43</f>
        <v>80016.07190000001</v>
      </c>
      <c r="E44" s="20">
        <f t="shared" si="14"/>
        <v>46074.2716</v>
      </c>
      <c r="F44" s="20">
        <f t="shared" si="14"/>
        <v>26223.145799999998</v>
      </c>
      <c r="G44" s="20">
        <f t="shared" si="14"/>
        <v>24108.536100000001</v>
      </c>
      <c r="H44" s="20">
        <f t="shared" si="14"/>
        <v>24156.099600000001</v>
      </c>
      <c r="I44" s="20">
        <f t="shared" si="14"/>
        <v>24526.189399999999</v>
      </c>
      <c r="J44" s="20">
        <f t="shared" si="14"/>
        <v>35793.914499999999</v>
      </c>
      <c r="K44" s="20">
        <f t="shared" si="14"/>
        <v>82648.873099999997</v>
      </c>
      <c r="L44" s="20">
        <f t="shared" si="14"/>
        <v>130630.48140000002</v>
      </c>
      <c r="M44" s="20">
        <f t="shared" si="14"/>
        <v>155651.06340000001</v>
      </c>
      <c r="N44" s="20">
        <f t="shared" si="14"/>
        <v>166089.93960000001</v>
      </c>
      <c r="O44" s="20">
        <f t="shared" si="14"/>
        <v>119472.7298</v>
      </c>
      <c r="P44" s="20">
        <f t="shared" si="14"/>
        <v>915391.31620000012</v>
      </c>
      <c r="Q44" s="20">
        <f>SUM(Q40:Q43)</f>
        <v>3361453</v>
      </c>
      <c r="S44" s="98"/>
      <c r="T44" s="374">
        <f>P44/P40*12</f>
        <v>609.65122624042635</v>
      </c>
    </row>
    <row r="45" spans="1:20">
      <c r="A45" s="4">
        <v>34</v>
      </c>
      <c r="B45" s="2" t="s">
        <v>196</v>
      </c>
      <c r="D45" s="11">
        <f>'Monthly Forecast'!Y44</f>
        <v>4.5812916609737586</v>
      </c>
      <c r="E45" s="11">
        <f>'Monthly Forecast'!Z44</f>
        <v>4.9331682240840156</v>
      </c>
      <c r="F45" s="11">
        <f>'Monthly Forecast'!AA44</f>
        <v>4.9331682240840156</v>
      </c>
      <c r="G45" s="11">
        <f>'Monthly Forecast'!AB44</f>
        <v>4.9331682240840156</v>
      </c>
      <c r="H45" s="11">
        <f>'Monthly Forecast'!AC44</f>
        <v>5.2989478814284547</v>
      </c>
      <c r="I45" s="11">
        <f>'Monthly Forecast'!AD44</f>
        <v>5.2989478814284547</v>
      </c>
      <c r="J45" s="11">
        <f>'Monthly Forecast'!AE44</f>
        <v>5.2989478814284547</v>
      </c>
      <c r="K45" s="11">
        <f>'Monthly Forecast'!AF44</f>
        <v>5.329817872818098</v>
      </c>
      <c r="L45" s="11">
        <f>'Monthly Forecast'!AG44</f>
        <v>5.329817872818098</v>
      </c>
      <c r="M45" s="11">
        <f>'Monthly Forecast'!AH44</f>
        <v>5.329817872818098</v>
      </c>
      <c r="N45" s="11">
        <f>'Monthly Forecast'!AI44</f>
        <v>4.8926337200932446</v>
      </c>
      <c r="O45" s="11">
        <f>'Monthly Forecast'!AJ44</f>
        <v>4.8926337200932446</v>
      </c>
      <c r="P45" s="11"/>
      <c r="Q45" s="11"/>
      <c r="S45" s="98"/>
      <c r="T45" s="373"/>
    </row>
    <row r="46" spans="1:20">
      <c r="A46" s="4">
        <v>35</v>
      </c>
      <c r="B46" s="2" t="s">
        <v>188</v>
      </c>
      <c r="D46" s="3">
        <f t="shared" ref="D46:O46" si="15">D45*D44</f>
        <v>366576.96293934673</v>
      </c>
      <c r="E46" s="3">
        <f t="shared" si="15"/>
        <v>227292.1326049366</v>
      </c>
      <c r="F46" s="3">
        <f t="shared" si="15"/>
        <v>129363.1895960822</v>
      </c>
      <c r="G46" s="3">
        <f t="shared" si="15"/>
        <v>118931.46421770238</v>
      </c>
      <c r="H46" s="3">
        <f t="shared" si="15"/>
        <v>128001.91279899474</v>
      </c>
      <c r="I46" s="3">
        <f t="shared" si="15"/>
        <v>129962.99936064302</v>
      </c>
      <c r="J46" s="3">
        <f t="shared" si="15"/>
        <v>189670.08740780625</v>
      </c>
      <c r="K46" s="3">
        <f t="shared" si="15"/>
        <v>440503.44101665489</v>
      </c>
      <c r="L46" s="3">
        <f t="shared" si="15"/>
        <v>696236.67450055224</v>
      </c>
      <c r="M46" s="3">
        <f t="shared" si="15"/>
        <v>829591.81963246304</v>
      </c>
      <c r="N46" s="3">
        <f t="shared" si="15"/>
        <v>812617.23905521038</v>
      </c>
      <c r="O46" s="3">
        <f t="shared" si="15"/>
        <v>584536.30645106907</v>
      </c>
      <c r="P46" s="3">
        <f>SUM(D46:O46)</f>
        <v>4653284.2295814613</v>
      </c>
      <c r="Q46" s="3"/>
      <c r="S46" s="98"/>
      <c r="T46" s="373"/>
    </row>
    <row r="47" spans="1:20">
      <c r="A47" s="4">
        <v>36</v>
      </c>
      <c r="D47" s="22"/>
      <c r="S47" s="98"/>
      <c r="T47" s="373"/>
    </row>
    <row r="48" spans="1:20">
      <c r="A48" s="4">
        <v>37</v>
      </c>
      <c r="B48" s="23" t="s">
        <v>57</v>
      </c>
      <c r="D48" s="50">
        <f t="shared" ref="D48:O48" si="16">D49*$C$49+D50*$C$50+D51*$C$51</f>
        <v>2758.91139952</v>
      </c>
      <c r="E48" s="50">
        <f t="shared" si="16"/>
        <v>3255.2066117200002</v>
      </c>
      <c r="F48" s="50">
        <f t="shared" si="16"/>
        <v>1446.83089384</v>
      </c>
      <c r="G48" s="50">
        <f t="shared" si="16"/>
        <v>1394.7003548800001</v>
      </c>
      <c r="H48" s="50">
        <f t="shared" si="16"/>
        <v>1407.1806105600001</v>
      </c>
      <c r="I48" s="50">
        <f t="shared" si="16"/>
        <v>1528.60268784</v>
      </c>
      <c r="J48" s="50">
        <f t="shared" si="16"/>
        <v>1427.46102604</v>
      </c>
      <c r="K48" s="50">
        <f t="shared" si="16"/>
        <v>2275.16921116</v>
      </c>
      <c r="L48" s="50">
        <f t="shared" si="16"/>
        <v>3312.2907922799996</v>
      </c>
      <c r="M48" s="50">
        <f t="shared" si="16"/>
        <v>3983.2581932399999</v>
      </c>
      <c r="N48" s="50">
        <f t="shared" si="16"/>
        <v>4475.0750790399998</v>
      </c>
      <c r="O48" s="50">
        <f t="shared" si="16"/>
        <v>3478.9382492</v>
      </c>
      <c r="P48" s="50">
        <f>SUM(D48:O48)</f>
        <v>30743.625109320004</v>
      </c>
      <c r="Q48" s="51"/>
      <c r="S48" s="98"/>
      <c r="T48" s="373"/>
    </row>
    <row r="49" spans="1:20">
      <c r="A49" s="4">
        <v>38</v>
      </c>
      <c r="B49" s="2" t="s">
        <v>58</v>
      </c>
      <c r="C49" s="44">
        <f>'Rate Design'!J14</f>
        <v>685</v>
      </c>
      <c r="D49" s="6">
        <f>'Monthly Forecast'!Y48</f>
        <v>3</v>
      </c>
      <c r="E49" s="6">
        <f>'Monthly Forecast'!Z48</f>
        <v>4</v>
      </c>
      <c r="F49" s="6">
        <f>'Monthly Forecast'!AA48</f>
        <v>2</v>
      </c>
      <c r="G49" s="6">
        <f>'Monthly Forecast'!AB48</f>
        <v>2</v>
      </c>
      <c r="H49" s="6">
        <f>'Monthly Forecast'!AC48</f>
        <v>2</v>
      </c>
      <c r="I49" s="6">
        <f>'Monthly Forecast'!AD48</f>
        <v>2</v>
      </c>
      <c r="J49" s="6">
        <f>'Monthly Forecast'!AE48</f>
        <v>2</v>
      </c>
      <c r="K49" s="6">
        <f>'Monthly Forecast'!AF48</f>
        <v>3</v>
      </c>
      <c r="L49" s="6">
        <f>'Monthly Forecast'!AG48</f>
        <v>3</v>
      </c>
      <c r="M49" s="6">
        <f>'Monthly Forecast'!AH48</f>
        <v>3</v>
      </c>
      <c r="N49" s="6">
        <f>'Monthly Forecast'!AI48</f>
        <v>3</v>
      </c>
      <c r="O49" s="6">
        <f>'Monthly Forecast'!AJ48</f>
        <v>3</v>
      </c>
      <c r="P49" s="6">
        <f>SUM(D49:O49)</f>
        <v>32</v>
      </c>
      <c r="Q49" s="6">
        <f t="shared" ref="Q49:Q51" si="17">ROUND(P49*C49,0)</f>
        <v>21920</v>
      </c>
      <c r="S49" s="98"/>
      <c r="T49" s="373"/>
    </row>
    <row r="50" spans="1:20">
      <c r="A50" s="4">
        <v>39</v>
      </c>
      <c r="B50" s="2" t="s">
        <v>59</v>
      </c>
      <c r="C50" s="13">
        <f>'Rate Design'!J31</f>
        <v>1.2955999999999999</v>
      </c>
      <c r="D50" s="6">
        <f>'Monthly Forecast'!Y49</f>
        <v>543.30920000000003</v>
      </c>
      <c r="E50" s="6">
        <f>'Monthly Forecast'!Z49</f>
        <v>397.65870000000001</v>
      </c>
      <c r="F50" s="6">
        <f>'Monthly Forecast'!AA49</f>
        <v>59.301400000000001</v>
      </c>
      <c r="G50" s="6">
        <f>'Monthly Forecast'!AB49</f>
        <v>19.064800000000002</v>
      </c>
      <c r="H50" s="6">
        <f>'Monthly Forecast'!AC49</f>
        <v>28.697600000000001</v>
      </c>
      <c r="I50" s="6">
        <f>'Monthly Forecast'!AD49</f>
        <v>122.4164</v>
      </c>
      <c r="J50" s="6">
        <f>'Monthly Forecast'!AE49</f>
        <v>44.350900000000003</v>
      </c>
      <c r="K50" s="6">
        <f>'Monthly Forecast'!AF49</f>
        <v>169.93610000000001</v>
      </c>
      <c r="L50" s="6">
        <f>'Monthly Forecast'!AG49</f>
        <v>970.43129999999996</v>
      </c>
      <c r="M50" s="6">
        <f>'Monthly Forecast'!AH49</f>
        <v>1488.3128999999999</v>
      </c>
      <c r="N50" s="6">
        <f>'Monthly Forecast'!AI49</f>
        <v>1867.9184</v>
      </c>
      <c r="O50" s="6">
        <f>'Monthly Forecast'!AJ49</f>
        <v>1099.057</v>
      </c>
      <c r="P50" s="6">
        <f>SUM(C50:O50)</f>
        <v>6811.7503000000006</v>
      </c>
      <c r="Q50" s="6">
        <f t="shared" si="17"/>
        <v>8825</v>
      </c>
      <c r="S50" s="98"/>
      <c r="T50" s="373"/>
    </row>
    <row r="51" spans="1:20">
      <c r="A51" s="4">
        <v>40</v>
      </c>
      <c r="B51" s="2" t="s">
        <v>55</v>
      </c>
      <c r="C51" s="13">
        <f>'Rate Design'!J32</f>
        <v>1.0624</v>
      </c>
      <c r="D51" s="6">
        <f>'Monthly Forecast'!Y50</f>
        <v>0</v>
      </c>
      <c r="E51" s="6">
        <f>'Monthly Forecast'!Z50</f>
        <v>0</v>
      </c>
      <c r="F51" s="6">
        <f>'Monthly Forecast'!AA50</f>
        <v>0</v>
      </c>
      <c r="G51" s="6">
        <f>'Monthly Forecast'!AB50</f>
        <v>0</v>
      </c>
      <c r="H51" s="6">
        <f>'Monthly Forecast'!AC50</f>
        <v>0</v>
      </c>
      <c r="I51" s="6">
        <f>'Monthly Forecast'!AD50</f>
        <v>0</v>
      </c>
      <c r="J51" s="6">
        <f>'Monthly Forecast'!AE50</f>
        <v>0</v>
      </c>
      <c r="K51" s="6">
        <f>'Monthly Forecast'!AF50</f>
        <v>0</v>
      </c>
      <c r="L51" s="6">
        <f>'Monthly Forecast'!AG50</f>
        <v>0</v>
      </c>
      <c r="M51" s="6">
        <f>'Monthly Forecast'!AH50</f>
        <v>0</v>
      </c>
      <c r="N51" s="6">
        <f>'Monthly Forecast'!AI50</f>
        <v>0</v>
      </c>
      <c r="O51" s="6">
        <f>'Monthly Forecast'!AJ50</f>
        <v>0</v>
      </c>
      <c r="P51" s="6">
        <f>SUM(C51:O51)</f>
        <v>1.0624</v>
      </c>
      <c r="Q51" s="6">
        <f t="shared" si="17"/>
        <v>1</v>
      </c>
      <c r="S51" s="98"/>
      <c r="T51" s="373"/>
    </row>
    <row r="52" spans="1:20">
      <c r="A52" s="4">
        <v>41</v>
      </c>
      <c r="B52" s="21" t="s">
        <v>53</v>
      </c>
      <c r="C52" s="21"/>
      <c r="D52" s="20">
        <f t="shared" ref="D52:P52" si="18">D50+D51</f>
        <v>543.30920000000003</v>
      </c>
      <c r="E52" s="20">
        <f t="shared" si="18"/>
        <v>397.65870000000001</v>
      </c>
      <c r="F52" s="20">
        <f t="shared" si="18"/>
        <v>59.301400000000001</v>
      </c>
      <c r="G52" s="20">
        <f t="shared" si="18"/>
        <v>19.064800000000002</v>
      </c>
      <c r="H52" s="20">
        <f t="shared" si="18"/>
        <v>28.697600000000001</v>
      </c>
      <c r="I52" s="20">
        <f t="shared" si="18"/>
        <v>122.4164</v>
      </c>
      <c r="J52" s="20">
        <f t="shared" si="18"/>
        <v>44.350900000000003</v>
      </c>
      <c r="K52" s="20">
        <f t="shared" si="18"/>
        <v>169.93610000000001</v>
      </c>
      <c r="L52" s="20">
        <f t="shared" si="18"/>
        <v>970.43129999999996</v>
      </c>
      <c r="M52" s="20">
        <f t="shared" si="18"/>
        <v>1488.3128999999999</v>
      </c>
      <c r="N52" s="20">
        <f t="shared" si="18"/>
        <v>1867.9184</v>
      </c>
      <c r="O52" s="20">
        <f t="shared" si="18"/>
        <v>1099.057</v>
      </c>
      <c r="P52" s="20">
        <f t="shared" si="18"/>
        <v>6812.8127000000004</v>
      </c>
      <c r="Q52" s="20">
        <f>SUM(Q49:Q51)</f>
        <v>30746</v>
      </c>
      <c r="S52" s="98"/>
      <c r="T52" s="374">
        <f>P52/P49*12</f>
        <v>2554.8047624999999</v>
      </c>
    </row>
    <row r="53" spans="1:20">
      <c r="A53" s="4">
        <v>42</v>
      </c>
      <c r="B53" s="2" t="s">
        <v>196</v>
      </c>
      <c r="D53" s="11">
        <f>'Monthly Forecast'!Y52</f>
        <v>3.4812973052790346</v>
      </c>
      <c r="E53" s="11">
        <f>'Monthly Forecast'!Z52</f>
        <v>3.833173868389292</v>
      </c>
      <c r="F53" s="11">
        <f>'Monthly Forecast'!AA52</f>
        <v>3.833173868389292</v>
      </c>
      <c r="G53" s="11">
        <f>'Monthly Forecast'!AB52</f>
        <v>3.833173868389292</v>
      </c>
      <c r="H53" s="11">
        <f>'Monthly Forecast'!AC52</f>
        <v>4.1989535257337307</v>
      </c>
      <c r="I53" s="11">
        <f>'Monthly Forecast'!AD52</f>
        <v>4.1989535257337307</v>
      </c>
      <c r="J53" s="11">
        <f>'Monthly Forecast'!AE52</f>
        <v>4.1989535257337307</v>
      </c>
      <c r="K53" s="11">
        <f>'Monthly Forecast'!AF52</f>
        <v>4.229823517123374</v>
      </c>
      <c r="L53" s="11">
        <f>'Monthly Forecast'!AG52</f>
        <v>4.229823517123374</v>
      </c>
      <c r="M53" s="11">
        <f>'Monthly Forecast'!AH52</f>
        <v>4.229823517123374</v>
      </c>
      <c r="N53" s="11">
        <f>'Monthly Forecast'!AI52</f>
        <v>3.7936198763327615</v>
      </c>
      <c r="O53" s="11">
        <f>'Monthly Forecast'!AJ52</f>
        <v>3.7936198763327615</v>
      </c>
      <c r="P53" s="11"/>
      <c r="Q53" s="11"/>
      <c r="S53" s="98"/>
      <c r="T53" s="373"/>
    </row>
    <row r="54" spans="1:20">
      <c r="A54" s="4">
        <v>43</v>
      </c>
      <c r="B54" s="2" t="s">
        <v>188</v>
      </c>
      <c r="D54" s="3">
        <f t="shared" ref="D54:O54" si="19">D53*D52</f>
        <v>1891.4208538933083</v>
      </c>
      <c r="E54" s="3">
        <f t="shared" si="19"/>
        <v>1524.2949373776569</v>
      </c>
      <c r="F54" s="3">
        <f t="shared" si="19"/>
        <v>227.31257683890075</v>
      </c>
      <c r="G54" s="3">
        <f t="shared" si="19"/>
        <v>73.078693166068177</v>
      </c>
      <c r="H54" s="3">
        <f t="shared" si="19"/>
        <v>120.49988870009632</v>
      </c>
      <c r="I54" s="3">
        <f t="shared" si="19"/>
        <v>514.02077438763069</v>
      </c>
      <c r="J54" s="3">
        <f t="shared" si="19"/>
        <v>186.22736792446412</v>
      </c>
      <c r="K54" s="3">
        <f t="shared" si="19"/>
        <v>718.79971218822948</v>
      </c>
      <c r="L54" s="3">
        <f t="shared" si="19"/>
        <v>4104.7531344926083</v>
      </c>
      <c r="M54" s="3">
        <f t="shared" si="19"/>
        <v>6295.3009052580883</v>
      </c>
      <c r="N54" s="3">
        <f t="shared" si="19"/>
        <v>7086.1723696076897</v>
      </c>
      <c r="O54" s="3">
        <f t="shared" si="19"/>
        <v>4169.404480422656</v>
      </c>
      <c r="P54" s="3">
        <f>SUM(D54:O54)</f>
        <v>26911.2856942574</v>
      </c>
      <c r="Q54" s="3"/>
      <c r="S54" s="98"/>
      <c r="T54" s="373"/>
    </row>
    <row r="55" spans="1:20">
      <c r="A55" s="4">
        <v>44</v>
      </c>
      <c r="D55" s="22"/>
      <c r="S55" s="98"/>
      <c r="T55" s="373"/>
    </row>
    <row r="56" spans="1:20">
      <c r="A56" s="4">
        <v>45</v>
      </c>
      <c r="B56" s="23" t="s">
        <v>60</v>
      </c>
      <c r="D56" s="50">
        <f t="shared" ref="D56:O56" si="20">D57*$C$57+D58*$C$58+D59*$C$59</f>
        <v>28290.134822399999</v>
      </c>
      <c r="E56" s="50">
        <f t="shared" si="20"/>
        <v>24411.9259232</v>
      </c>
      <c r="F56" s="50">
        <f t="shared" si="20"/>
        <v>23607.671430399998</v>
      </c>
      <c r="G56" s="50">
        <f t="shared" si="20"/>
        <v>13275.858915999999</v>
      </c>
      <c r="H56" s="50">
        <f t="shared" si="20"/>
        <v>14628.117904000001</v>
      </c>
      <c r="I56" s="50">
        <f t="shared" si="20"/>
        <v>18181.620894399999</v>
      </c>
      <c r="J56" s="50">
        <f t="shared" si="20"/>
        <v>16775.3689744</v>
      </c>
      <c r="K56" s="50">
        <f t="shared" si="20"/>
        <v>21413.750180800002</v>
      </c>
      <c r="L56" s="50">
        <f t="shared" si="20"/>
        <v>27571.254001199995</v>
      </c>
      <c r="M56" s="50">
        <f t="shared" si="20"/>
        <v>29257.027619200002</v>
      </c>
      <c r="N56" s="50">
        <f t="shared" si="20"/>
        <v>26534.034609599999</v>
      </c>
      <c r="O56" s="50">
        <f t="shared" si="20"/>
        <v>29929.782244799997</v>
      </c>
      <c r="P56" s="50">
        <f>SUM(D56:O56)</f>
        <v>273876.54752039997</v>
      </c>
      <c r="Q56" s="51"/>
      <c r="S56" s="98"/>
      <c r="T56" s="373"/>
    </row>
    <row r="57" spans="1:20">
      <c r="A57" s="4">
        <v>46</v>
      </c>
      <c r="B57" s="2" t="s">
        <v>58</v>
      </c>
      <c r="C57" s="44">
        <f>C49</f>
        <v>685</v>
      </c>
      <c r="D57" s="6">
        <f>'Monthly Forecast'!Y56</f>
        <v>6</v>
      </c>
      <c r="E57" s="6">
        <f>'Monthly Forecast'!Z56</f>
        <v>6</v>
      </c>
      <c r="F57" s="6">
        <f>'Monthly Forecast'!AA56</f>
        <v>6</v>
      </c>
      <c r="G57" s="6">
        <f>'Monthly Forecast'!AB56</f>
        <v>5</v>
      </c>
      <c r="H57" s="6">
        <f>'Monthly Forecast'!AC56</f>
        <v>5</v>
      </c>
      <c r="I57" s="6">
        <f>'Monthly Forecast'!AD56</f>
        <v>6</v>
      </c>
      <c r="J57" s="6">
        <f>'Monthly Forecast'!AE56</f>
        <v>6</v>
      </c>
      <c r="K57" s="6">
        <f>'Monthly Forecast'!AF56</f>
        <v>6</v>
      </c>
      <c r="L57" s="6">
        <f>'Monthly Forecast'!AG56</f>
        <v>5</v>
      </c>
      <c r="M57" s="6">
        <f>'Monthly Forecast'!AH56</f>
        <v>8</v>
      </c>
      <c r="N57" s="6">
        <f>'Monthly Forecast'!AI56</f>
        <v>8</v>
      </c>
      <c r="O57" s="6">
        <f>'Monthly Forecast'!AJ56</f>
        <v>6</v>
      </c>
      <c r="P57" s="6">
        <f>ROUND((SUM(D57:O57)),0)</f>
        <v>73</v>
      </c>
      <c r="Q57" s="6">
        <f t="shared" ref="Q57:Q59" si="21">ROUND(P57*C57,0)</f>
        <v>50005</v>
      </c>
      <c r="S57" s="98"/>
      <c r="T57" s="373"/>
    </row>
    <row r="58" spans="1:20">
      <c r="A58" s="4">
        <v>47</v>
      </c>
      <c r="B58" s="2" t="s">
        <v>59</v>
      </c>
      <c r="C58" s="13">
        <f>C50</f>
        <v>1.2955999999999999</v>
      </c>
      <c r="D58" s="6">
        <f>'Monthly Forecast'!Y57</f>
        <v>2078.4</v>
      </c>
      <c r="E58" s="6">
        <f>'Monthly Forecast'!Z57</f>
        <v>2200.1999999999998</v>
      </c>
      <c r="F58" s="6">
        <f>'Monthly Forecast'!AA57</f>
        <v>1286</v>
      </c>
      <c r="G58" s="6">
        <f>'Monthly Forecast'!AB57</f>
        <v>1620.8219999999999</v>
      </c>
      <c r="H58" s="6">
        <f>'Monthly Forecast'!AC57</f>
        <v>2041.4</v>
      </c>
      <c r="I58" s="6">
        <f>'Monthly Forecast'!AD57</f>
        <v>2038.1</v>
      </c>
      <c r="J58" s="6">
        <f>'Monthly Forecast'!AE57</f>
        <v>1556.636</v>
      </c>
      <c r="K58" s="6">
        <f>'Monthly Forecast'!AF57</f>
        <v>1833.412</v>
      </c>
      <c r="L58" s="6">
        <f>'Monthly Forecast'!AG57</f>
        <v>1436.077</v>
      </c>
      <c r="M58" s="6">
        <f>'Monthly Forecast'!AH57</f>
        <v>1910.44</v>
      </c>
      <c r="N58" s="6">
        <f>'Monthly Forecast'!AI57</f>
        <v>1860.9</v>
      </c>
      <c r="O58" s="6">
        <f>'Monthly Forecast'!AJ57</f>
        <v>2104.9</v>
      </c>
      <c r="P58" s="6">
        <f>SUM(C58:O58)</f>
        <v>21968.582600000002</v>
      </c>
      <c r="Q58" s="6">
        <f t="shared" si="21"/>
        <v>28462</v>
      </c>
      <c r="S58" s="98"/>
      <c r="T58" s="373"/>
    </row>
    <row r="59" spans="1:20">
      <c r="A59" s="4">
        <v>48</v>
      </c>
      <c r="B59" s="2" t="s">
        <v>55</v>
      </c>
      <c r="C59" s="13">
        <f>C51</f>
        <v>1.0624</v>
      </c>
      <c r="D59" s="6">
        <f>'Monthly Forecast'!Y58</f>
        <v>20225.300999999999</v>
      </c>
      <c r="E59" s="6">
        <f>'Monthly Forecast'!Z58</f>
        <v>16426.343000000001</v>
      </c>
      <c r="F59" s="6">
        <f>'Monthly Forecast'!AA58</f>
        <v>16784.196</v>
      </c>
      <c r="G59" s="6">
        <f>'Monthly Forecast'!AB58</f>
        <v>7295.6719999999996</v>
      </c>
      <c r="H59" s="6">
        <f>'Monthly Forecast'!AC58</f>
        <v>8055.6100000000006</v>
      </c>
      <c r="I59" s="6">
        <f>'Monthly Forecast'!AD58</f>
        <v>10759.655999999999</v>
      </c>
      <c r="J59" s="6">
        <f>'Monthly Forecast'!AE58</f>
        <v>10023.146999999999</v>
      </c>
      <c r="K59" s="6">
        <f>'Monthly Forecast'!AF58</f>
        <v>14051.564</v>
      </c>
      <c r="L59" s="6">
        <f>'Monthly Forecast'!AG58</f>
        <v>20976.724999999999</v>
      </c>
      <c r="M59" s="6">
        <f>'Monthly Forecast'!AH58</f>
        <v>20050.698</v>
      </c>
      <c r="N59" s="6">
        <f>'Monthly Forecast'!AI58</f>
        <v>17548.054</v>
      </c>
      <c r="O59" s="6">
        <f>'Monthly Forecast'!AJ58</f>
        <v>21736.326999999997</v>
      </c>
      <c r="P59" s="6">
        <f>SUM(C59:O59)</f>
        <v>183934.3554</v>
      </c>
      <c r="Q59" s="6">
        <f t="shared" si="21"/>
        <v>195412</v>
      </c>
      <c r="S59" s="98"/>
      <c r="T59" s="373"/>
    </row>
    <row r="60" spans="1:20">
      <c r="A60" s="4">
        <v>49</v>
      </c>
      <c r="B60" s="21" t="s">
        <v>53</v>
      </c>
      <c r="C60" s="21"/>
      <c r="D60" s="20">
        <f t="shared" ref="D60:P60" si="22">D58+D59</f>
        <v>22303.701000000001</v>
      </c>
      <c r="E60" s="20">
        <f t="shared" si="22"/>
        <v>18626.543000000001</v>
      </c>
      <c r="F60" s="20">
        <f t="shared" si="22"/>
        <v>18070.196</v>
      </c>
      <c r="G60" s="20">
        <f t="shared" si="22"/>
        <v>8916.4939999999988</v>
      </c>
      <c r="H60" s="20">
        <f t="shared" si="22"/>
        <v>10097.01</v>
      </c>
      <c r="I60" s="20">
        <f t="shared" si="22"/>
        <v>12797.755999999999</v>
      </c>
      <c r="J60" s="20">
        <f t="shared" si="22"/>
        <v>11579.782999999999</v>
      </c>
      <c r="K60" s="20">
        <f t="shared" si="22"/>
        <v>15884.976000000001</v>
      </c>
      <c r="L60" s="20">
        <f t="shared" si="22"/>
        <v>22412.802</v>
      </c>
      <c r="M60" s="20">
        <f t="shared" si="22"/>
        <v>21961.137999999999</v>
      </c>
      <c r="N60" s="20">
        <f t="shared" si="22"/>
        <v>19408.954000000002</v>
      </c>
      <c r="O60" s="20">
        <f t="shared" si="22"/>
        <v>23841.226999999999</v>
      </c>
      <c r="P60" s="20">
        <f t="shared" si="22"/>
        <v>205902.93799999999</v>
      </c>
      <c r="Q60" s="20">
        <f>SUM(Q57:Q59)</f>
        <v>273879</v>
      </c>
      <c r="S60" s="98"/>
      <c r="T60" s="497">
        <f>P60/P57*12</f>
        <v>33847.058301369863</v>
      </c>
    </row>
    <row r="61" spans="1:20">
      <c r="A61" s="4">
        <v>50</v>
      </c>
      <c r="B61" s="2" t="s">
        <v>196</v>
      </c>
      <c r="D61" s="11">
        <f>'Monthly Forecast'!Y60</f>
        <v>3.4812973052790346</v>
      </c>
      <c r="E61" s="11">
        <f>'Monthly Forecast'!Z60</f>
        <v>3.833173868389292</v>
      </c>
      <c r="F61" s="11">
        <f>'Monthly Forecast'!AA60</f>
        <v>3.833173868389292</v>
      </c>
      <c r="G61" s="11">
        <f>'Monthly Forecast'!AB60</f>
        <v>3.833173868389292</v>
      </c>
      <c r="H61" s="11">
        <f>'Monthly Forecast'!AC60</f>
        <v>4.1989535257337307</v>
      </c>
      <c r="I61" s="11">
        <f>'Monthly Forecast'!AD60</f>
        <v>4.1989535257337307</v>
      </c>
      <c r="J61" s="11">
        <f>'Monthly Forecast'!AE60</f>
        <v>4.1989535257337307</v>
      </c>
      <c r="K61" s="11">
        <f>'Monthly Forecast'!AF60</f>
        <v>4.229823517123374</v>
      </c>
      <c r="L61" s="11">
        <f>'Monthly Forecast'!AG60</f>
        <v>4.229823517123374</v>
      </c>
      <c r="M61" s="11">
        <f>'Monthly Forecast'!AH60</f>
        <v>4.229823517123374</v>
      </c>
      <c r="N61" s="11">
        <f>'Monthly Forecast'!AI60</f>
        <v>3.7936198763327615</v>
      </c>
      <c r="O61" s="11">
        <f>'Monthly Forecast'!AJ60</f>
        <v>3.7936198763327615</v>
      </c>
      <c r="P61" s="11"/>
      <c r="Q61" s="11"/>
      <c r="S61" s="98"/>
      <c r="T61" s="373"/>
    </row>
    <row r="62" spans="1:20">
      <c r="A62" s="4">
        <v>51</v>
      </c>
      <c r="B62" s="2" t="s">
        <v>188</v>
      </c>
      <c r="D62" s="3">
        <f t="shared" ref="D62:O62" si="23">D61*D60</f>
        <v>77645.814189049313</v>
      </c>
      <c r="E62" s="3">
        <f t="shared" si="23"/>
        <v>71398.777886029493</v>
      </c>
      <c r="F62" s="3">
        <f t="shared" si="23"/>
        <v>69266.203103872715</v>
      </c>
      <c r="G62" s="3">
        <f t="shared" si="23"/>
        <v>34178.471798449908</v>
      </c>
      <c r="H62" s="3">
        <f t="shared" si="23"/>
        <v>42396.875738868737</v>
      </c>
      <c r="I62" s="3">
        <f t="shared" si="23"/>
        <v>53737.182677680001</v>
      </c>
      <c r="J62" s="3">
        <f t="shared" si="23"/>
        <v>48622.970655081517</v>
      </c>
      <c r="K62" s="3">
        <f t="shared" si="23"/>
        <v>67190.645053740387</v>
      </c>
      <c r="L62" s="3">
        <f t="shared" si="23"/>
        <v>94802.196984229784</v>
      </c>
      <c r="M62" s="3">
        <f t="shared" si="23"/>
        <v>92891.737975191776</v>
      </c>
      <c r="N62" s="3">
        <f t="shared" si="23"/>
        <v>73630.193673228263</v>
      </c>
      <c r="O62" s="3">
        <f t="shared" si="23"/>
        <v>90444.552623361291</v>
      </c>
      <c r="P62" s="3">
        <f>SUM(C62:O62)</f>
        <v>816205.62235878315</v>
      </c>
      <c r="Q62" s="3"/>
      <c r="S62" s="98"/>
      <c r="T62" s="373"/>
    </row>
    <row r="63" spans="1:20">
      <c r="A63" s="4">
        <v>52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S63" s="98"/>
      <c r="T63" s="373"/>
    </row>
    <row r="64" spans="1:20">
      <c r="A64" s="4">
        <v>53</v>
      </c>
      <c r="B64" s="23" t="s">
        <v>62</v>
      </c>
      <c r="D64" s="50">
        <f>D65*$C$65+D69*$C$69+D70*$C$70+D71*$C$71+D66+D67+D68</f>
        <v>972217.92238354858</v>
      </c>
      <c r="E64" s="50">
        <f t="shared" ref="E64:O64" si="24">E65*$C$65+E69*$C$69+E70*$C$70+E71*$C$71+E66+E67+E68</f>
        <v>957239.05361144897</v>
      </c>
      <c r="F64" s="50">
        <f t="shared" si="24"/>
        <v>980856.7361030113</v>
      </c>
      <c r="G64" s="50">
        <f t="shared" si="24"/>
        <v>954812.73772801098</v>
      </c>
      <c r="H64" s="50">
        <f t="shared" si="24"/>
        <v>1114174.7927085108</v>
      </c>
      <c r="I64" s="50">
        <f t="shared" si="24"/>
        <v>1214520.6969351114</v>
      </c>
      <c r="J64" s="50">
        <f t="shared" si="24"/>
        <v>1260925.0936006117</v>
      </c>
      <c r="K64" s="50">
        <f t="shared" si="24"/>
        <v>1538075.9416501115</v>
      </c>
      <c r="L64" s="50">
        <f t="shared" si="24"/>
        <v>1281252.3531227109</v>
      </c>
      <c r="M64" s="50">
        <f t="shared" si="24"/>
        <v>1208352.5969193112</v>
      </c>
      <c r="N64" s="50">
        <f t="shared" si="24"/>
        <v>1064572.5149518736</v>
      </c>
      <c r="O64" s="50">
        <f t="shared" si="24"/>
        <v>1003069.927688932</v>
      </c>
      <c r="P64" s="50">
        <f>SUM(D64:O64)</f>
        <v>13550070.367403192</v>
      </c>
      <c r="Q64" s="51"/>
      <c r="S64" s="98"/>
      <c r="T64" s="373"/>
    </row>
    <row r="65" spans="1:20">
      <c r="A65" s="4">
        <v>54</v>
      </c>
      <c r="B65" s="2" t="s">
        <v>61</v>
      </c>
      <c r="C65" s="44">
        <f>'Rate Design'!J15</f>
        <v>685</v>
      </c>
      <c r="D65" s="6">
        <f>'Monthly Forecast'!Y64</f>
        <v>118.34615384615384</v>
      </c>
      <c r="E65" s="6">
        <f>'Monthly Forecast'!Z64</f>
        <v>118.34615384615384</v>
      </c>
      <c r="F65" s="6">
        <f>'Monthly Forecast'!AA64</f>
        <v>118.34615384615384</v>
      </c>
      <c r="G65" s="6">
        <f>'Monthly Forecast'!AB64</f>
        <v>117.34615384615384</v>
      </c>
      <c r="H65" s="6">
        <f>'Monthly Forecast'!AC64</f>
        <v>117.34615384615384</v>
      </c>
      <c r="I65" s="6">
        <f>'Monthly Forecast'!AD64</f>
        <v>117.34615384615384</v>
      </c>
      <c r="J65" s="6">
        <f>'Monthly Forecast'!AE64</f>
        <v>117.34615384615384</v>
      </c>
      <c r="K65" s="6">
        <f>'Monthly Forecast'!AF64</f>
        <v>117.34615384615384</v>
      </c>
      <c r="L65" s="6">
        <f>'Monthly Forecast'!AG64</f>
        <v>118.34615384615384</v>
      </c>
      <c r="M65" s="6">
        <f>'Monthly Forecast'!AH64</f>
        <v>118.34615384615384</v>
      </c>
      <c r="N65" s="6">
        <f>'Monthly Forecast'!AI64</f>
        <v>118.34615384615384</v>
      </c>
      <c r="O65" s="6">
        <f>'Monthly Forecast'!AJ64</f>
        <v>118.34615384615384</v>
      </c>
      <c r="P65" s="6">
        <f>SUM(D65:O65)</f>
        <v>1415.153846153846</v>
      </c>
      <c r="Q65" s="6">
        <f>ROUND(P65*C65,0)</f>
        <v>969380</v>
      </c>
      <c r="R65" s="98">
        <f>'Test Year Monthly - (Pres)'!Q65-Q65</f>
        <v>-233500.00000000012</v>
      </c>
      <c r="S65" s="98"/>
      <c r="T65" s="373"/>
    </row>
    <row r="66" spans="1:20">
      <c r="A66" s="4">
        <v>55</v>
      </c>
      <c r="B66" s="2" t="s">
        <v>1</v>
      </c>
      <c r="D66" s="6">
        <f>'Monthly Forecast'!Y65</f>
        <v>5900</v>
      </c>
      <c r="E66" s="6">
        <f>'Monthly Forecast'!Z65</f>
        <v>5900</v>
      </c>
      <c r="F66" s="6">
        <f>'Monthly Forecast'!AA65</f>
        <v>5900</v>
      </c>
      <c r="G66" s="6">
        <f>'Monthly Forecast'!AB65</f>
        <v>5850</v>
      </c>
      <c r="H66" s="6">
        <f>'Monthly Forecast'!AC65</f>
        <v>5850</v>
      </c>
      <c r="I66" s="6">
        <f>'Monthly Forecast'!AD65</f>
        <v>5850</v>
      </c>
      <c r="J66" s="6">
        <f>'Monthly Forecast'!AE65</f>
        <v>5850</v>
      </c>
      <c r="K66" s="6">
        <f>'Monthly Forecast'!AF65</f>
        <v>5850</v>
      </c>
      <c r="L66" s="6">
        <f>'Monthly Forecast'!AG65</f>
        <v>5900</v>
      </c>
      <c r="M66" s="6">
        <f>'Monthly Forecast'!AH65</f>
        <v>5900</v>
      </c>
      <c r="N66" s="6">
        <f>'Monthly Forecast'!AI65</f>
        <v>5900</v>
      </c>
      <c r="O66" s="6">
        <f>'Monthly Forecast'!AJ65</f>
        <v>5950</v>
      </c>
      <c r="P66" s="3">
        <f t="shared" ref="P66:P71" si="25">SUM(D66:O66)</f>
        <v>70600</v>
      </c>
      <c r="Q66" s="6">
        <f>P66</f>
        <v>70600</v>
      </c>
      <c r="R66" s="98">
        <f>'Test Year Monthly - (Pres)'!Q66-Q66</f>
        <v>0</v>
      </c>
      <c r="S66" s="98"/>
      <c r="T66" s="373"/>
    </row>
    <row r="67" spans="1:20">
      <c r="A67" s="4">
        <v>56</v>
      </c>
      <c r="B67" s="2" t="s">
        <v>48</v>
      </c>
      <c r="D67" s="6">
        <f>'Monthly Forecast'!Y66</f>
        <v>7050</v>
      </c>
      <c r="E67" s="6">
        <f>'Monthly Forecast'!Z66</f>
        <v>7050</v>
      </c>
      <c r="F67" s="6">
        <f>'Monthly Forecast'!AA66</f>
        <v>7125</v>
      </c>
      <c r="G67" s="6">
        <f>'Monthly Forecast'!AB66</f>
        <v>6750</v>
      </c>
      <c r="H67" s="6">
        <f>'Monthly Forecast'!AC66</f>
        <v>6900</v>
      </c>
      <c r="I67" s="6">
        <f>'Monthly Forecast'!AD66</f>
        <v>6750</v>
      </c>
      <c r="J67" s="6">
        <f>'Monthly Forecast'!AE66</f>
        <v>6900</v>
      </c>
      <c r="K67" s="6">
        <f>'Monthly Forecast'!AF66</f>
        <v>6900</v>
      </c>
      <c r="L67" s="6">
        <f>'Monthly Forecast'!AG66</f>
        <v>6975</v>
      </c>
      <c r="M67" s="6">
        <f>'Monthly Forecast'!AH66</f>
        <v>7050</v>
      </c>
      <c r="N67" s="6">
        <f>'Monthly Forecast'!AI66</f>
        <v>7200</v>
      </c>
      <c r="O67" s="6">
        <f>'Monthly Forecast'!AJ66</f>
        <v>6975</v>
      </c>
      <c r="P67" s="3">
        <f t="shared" si="25"/>
        <v>83625</v>
      </c>
      <c r="Q67" s="6">
        <f>P67</f>
        <v>83625</v>
      </c>
      <c r="R67" s="98">
        <f>'Test Year Monthly - (Pres)'!Q67-Q67</f>
        <v>0</v>
      </c>
      <c r="S67" s="98"/>
      <c r="T67" s="373"/>
    </row>
    <row r="68" spans="1:20">
      <c r="A68" s="4">
        <v>57</v>
      </c>
      <c r="B68" s="2" t="s">
        <v>2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3">
        <f t="shared" si="25"/>
        <v>0</v>
      </c>
      <c r="Q68" s="6">
        <f>P68</f>
        <v>0</v>
      </c>
      <c r="R68" s="98">
        <f>'Test Year Monthly - (Pres)'!Q68-Q68</f>
        <v>0</v>
      </c>
      <c r="S68" s="98"/>
      <c r="T68" s="373"/>
    </row>
    <row r="69" spans="1:20">
      <c r="A69" s="4">
        <v>58</v>
      </c>
      <c r="B69" s="2" t="s">
        <v>31</v>
      </c>
      <c r="C69" s="13">
        <f>'Rate Design'!J27</f>
        <v>2.2951000000000001</v>
      </c>
      <c r="D69" s="6">
        <f>'Monthly Forecast'!Y68</f>
        <v>31740.676000000003</v>
      </c>
      <c r="E69" s="6">
        <f>'Monthly Forecast'!Z68</f>
        <v>31401.204000000005</v>
      </c>
      <c r="F69" s="6">
        <f>'Monthly Forecast'!AA68</f>
        <v>31572.666000000005</v>
      </c>
      <c r="G69" s="6">
        <f>'Monthly Forecast'!AB68</f>
        <v>31784.461999999996</v>
      </c>
      <c r="H69" s="6">
        <f>'Monthly Forecast'!AC68</f>
        <v>34534.737000000001</v>
      </c>
      <c r="I69" s="6">
        <f>'Monthly Forecast'!AD68</f>
        <v>36151.909999999996</v>
      </c>
      <c r="J69" s="6">
        <f>'Monthly Forecast'!AE68</f>
        <v>36243.234000000004</v>
      </c>
      <c r="K69" s="6">
        <f>'Monthly Forecast'!AF68</f>
        <v>35897.127</v>
      </c>
      <c r="L69" s="6">
        <f>'Monthly Forecast'!AG68</f>
        <v>35221.706000000006</v>
      </c>
      <c r="M69" s="6">
        <f>'Monthly Forecast'!AH68</f>
        <v>35440.599000000002</v>
      </c>
      <c r="N69" s="6">
        <f>'Monthly Forecast'!AI68</f>
        <v>34241.104999999996</v>
      </c>
      <c r="O69" s="6">
        <f>'Monthly Forecast'!AJ68</f>
        <v>32255.929</v>
      </c>
      <c r="P69" s="6">
        <f t="shared" si="25"/>
        <v>406485.35499999998</v>
      </c>
      <c r="Q69" s="6">
        <f t="shared" ref="Q69:Q71" si="26">ROUND(P69*C69,0)</f>
        <v>932925</v>
      </c>
      <c r="R69" s="98">
        <f>'Test Year Monthly - (Pres)'!Q69-Q69</f>
        <v>-303563.72485350003</v>
      </c>
      <c r="S69" s="98"/>
      <c r="T69" s="373"/>
    </row>
    <row r="70" spans="1:20">
      <c r="A70" s="4">
        <v>59</v>
      </c>
      <c r="B70" s="2" t="s">
        <v>32</v>
      </c>
      <c r="C70" s="13">
        <f>'Rate Design'!J28</f>
        <v>1.5952999999999999</v>
      </c>
      <c r="D70" s="6">
        <f>'Monthly Forecast'!Y69</f>
        <v>412964.15166666661</v>
      </c>
      <c r="E70" s="6">
        <f>'Monthly Forecast'!Z69</f>
        <v>406840.55795238109</v>
      </c>
      <c r="F70" s="6">
        <f>'Monthly Forecast'!AA69</f>
        <v>413844.60529166675</v>
      </c>
      <c r="G70" s="6">
        <f>'Monthly Forecast'!AB69</f>
        <v>404806.89472023799</v>
      </c>
      <c r="H70" s="6">
        <f>'Monthly Forecast'!AC69</f>
        <v>471919.80472023779</v>
      </c>
      <c r="I70" s="6">
        <f>'Monthly Forecast'!AD69</f>
        <v>525332.28572023823</v>
      </c>
      <c r="J70" s="6">
        <f>'Monthly Forecast'!AE69</f>
        <v>567791.31272023835</v>
      </c>
      <c r="K70" s="6">
        <f>'Monthly Forecast'!AF69</f>
        <v>676762.24672023824</v>
      </c>
      <c r="L70" s="6">
        <f>'Monthly Forecast'!AG69</f>
        <v>551046.99572023796</v>
      </c>
      <c r="M70" s="6">
        <f>'Monthly Forecast'!AH69</f>
        <v>503579.26172023814</v>
      </c>
      <c r="N70" s="6">
        <f>'Monthly Forecast'!AI69</f>
        <v>440323.09891666664</v>
      </c>
      <c r="O70" s="6">
        <f>'Monthly Forecast'!AJ69</f>
        <v>411568.39083333343</v>
      </c>
      <c r="P70" s="6">
        <f t="shared" si="25"/>
        <v>5786779.6067023808</v>
      </c>
      <c r="Q70" s="6">
        <f t="shared" si="26"/>
        <v>9231650</v>
      </c>
      <c r="R70" s="98">
        <f>'Test Year Monthly - (Pres)'!Q70-Q70</f>
        <v>-3003917.787266898</v>
      </c>
      <c r="S70" s="98"/>
      <c r="T70" s="373"/>
    </row>
    <row r="71" spans="1:20">
      <c r="A71" s="4">
        <v>60</v>
      </c>
      <c r="B71" s="2" t="s">
        <v>33</v>
      </c>
      <c r="C71" s="13">
        <f>'Rate Design'!J29</f>
        <v>1.3174999999999999</v>
      </c>
      <c r="D71" s="6">
        <f>'Monthly Forecast'!Y70</f>
        <v>111234.209</v>
      </c>
      <c r="E71" s="6">
        <f>'Monthly Forecast'!Z70</f>
        <v>107871.19000000002</v>
      </c>
      <c r="F71" s="6">
        <f>'Monthly Forecast'!AA70</f>
        <v>116960.83199999999</v>
      </c>
      <c r="G71" s="6">
        <f>'Monthly Forecast'!AB70</f>
        <v>108609.992</v>
      </c>
      <c r="H71" s="6">
        <f>'Monthly Forecast'!AC70</f>
        <v>143399.11800000002</v>
      </c>
      <c r="I71" s="6">
        <f>'Monthly Forecast'!AD70</f>
        <v>152185</v>
      </c>
      <c r="J71" s="6">
        <f>'Monthly Forecast'!AE70</f>
        <v>135721.93599999999</v>
      </c>
      <c r="K71" s="6">
        <f>'Monthly Forecast'!AF70</f>
        <v>214738.15400000001</v>
      </c>
      <c r="L71" s="6">
        <f>'Monthly Forecast'!AG70</f>
        <v>172590.22999999995</v>
      </c>
      <c r="M71" s="6">
        <f>'Monthly Forecast'!AH70</f>
        <v>174296.59700000001</v>
      </c>
      <c r="N71" s="6">
        <f>'Monthly Forecast'!AI70</f>
        <v>143735.25599999999</v>
      </c>
      <c r="O71" s="6">
        <f>'Monthly Forecast'!AJ70</f>
        <v>135462.75199999998</v>
      </c>
      <c r="P71" s="6">
        <f t="shared" si="25"/>
        <v>1716805.2660000003</v>
      </c>
      <c r="Q71" s="6">
        <f t="shared" si="26"/>
        <v>2261891</v>
      </c>
      <c r="R71" s="98">
        <f>'Test Year Monthly - (Pres)'!Q71-Q71</f>
        <v>-735994.47957919957</v>
      </c>
      <c r="S71" s="98"/>
      <c r="T71" s="373"/>
    </row>
    <row r="72" spans="1:20">
      <c r="A72" s="4">
        <v>61</v>
      </c>
      <c r="B72" s="21" t="s">
        <v>53</v>
      </c>
      <c r="C72" s="21"/>
      <c r="D72" s="20">
        <f t="shared" ref="D72:O72" si="27">D69+D70+D71</f>
        <v>555939.03666666662</v>
      </c>
      <c r="E72" s="20">
        <f t="shared" si="27"/>
        <v>546112.95195238118</v>
      </c>
      <c r="F72" s="20">
        <f t="shared" si="27"/>
        <v>562378.10329166683</v>
      </c>
      <c r="G72" s="20">
        <f t="shared" si="27"/>
        <v>545201.34872023796</v>
      </c>
      <c r="H72" s="20">
        <f t="shared" si="27"/>
        <v>649853.65972023783</v>
      </c>
      <c r="I72" s="20">
        <f t="shared" si="27"/>
        <v>713669.19572023826</v>
      </c>
      <c r="J72" s="20">
        <f t="shared" si="27"/>
        <v>739756.48272023839</v>
      </c>
      <c r="K72" s="20">
        <f t="shared" si="27"/>
        <v>927397.5277202382</v>
      </c>
      <c r="L72" s="20">
        <f t="shared" si="27"/>
        <v>758858.93172023795</v>
      </c>
      <c r="M72" s="20">
        <f t="shared" si="27"/>
        <v>713316.45772023825</v>
      </c>
      <c r="N72" s="20">
        <f t="shared" si="27"/>
        <v>618299.45991666662</v>
      </c>
      <c r="O72" s="20">
        <f t="shared" si="27"/>
        <v>579287.07183333347</v>
      </c>
      <c r="P72" s="20">
        <f>SUM(C72:O72)</f>
        <v>7910070.2277023811</v>
      </c>
      <c r="Q72" s="20">
        <f>SUM(Q65:Q71)</f>
        <v>13550071</v>
      </c>
      <c r="S72" s="98"/>
      <c r="T72" s="374">
        <f>SUM(P69:P71)/P65*12</f>
        <v>67074.57495904612</v>
      </c>
    </row>
    <row r="73" spans="1:20">
      <c r="A73" s="4">
        <v>62</v>
      </c>
      <c r="S73" s="98"/>
      <c r="T73" s="373"/>
    </row>
    <row r="74" spans="1:20">
      <c r="A74" s="4">
        <v>63</v>
      </c>
      <c r="B74" s="23" t="s">
        <v>574</v>
      </c>
      <c r="D74" s="29">
        <f>D75*$C$75+D76*$C$76+D77*$C$77</f>
        <v>0</v>
      </c>
      <c r="E74" s="29">
        <f t="shared" ref="E74:O74" si="28">E75*$C$75+E76*$C$76+E77*$C$77</f>
        <v>0</v>
      </c>
      <c r="F74" s="29">
        <f t="shared" si="28"/>
        <v>0</v>
      </c>
      <c r="G74" s="29">
        <f t="shared" si="28"/>
        <v>0</v>
      </c>
      <c r="H74" s="29">
        <f t="shared" si="28"/>
        <v>0</v>
      </c>
      <c r="I74" s="29">
        <f t="shared" si="28"/>
        <v>0</v>
      </c>
      <c r="J74" s="29">
        <f t="shared" si="28"/>
        <v>0</v>
      </c>
      <c r="K74" s="29">
        <f t="shared" si="28"/>
        <v>0</v>
      </c>
      <c r="L74" s="29">
        <f t="shared" si="28"/>
        <v>0</v>
      </c>
      <c r="M74" s="29">
        <f t="shared" si="28"/>
        <v>0</v>
      </c>
      <c r="N74" s="29">
        <f t="shared" si="28"/>
        <v>0</v>
      </c>
      <c r="O74" s="29">
        <f t="shared" si="28"/>
        <v>0</v>
      </c>
      <c r="P74" s="29">
        <f>SUM(D74:O74)</f>
        <v>0</v>
      </c>
      <c r="S74" s="98"/>
      <c r="T74" s="373"/>
    </row>
    <row r="75" spans="1:20">
      <c r="A75" s="4">
        <v>64</v>
      </c>
      <c r="B75" s="2" t="s">
        <v>31</v>
      </c>
      <c r="C75" s="468">
        <f>'Rate Design'!U27</f>
        <v>1.7213250000000002</v>
      </c>
      <c r="D75" s="6">
        <f>'Monthly Forecast'!Y74</f>
        <v>0</v>
      </c>
      <c r="E75" s="6">
        <f>'Monthly Forecast'!Z74</f>
        <v>0</v>
      </c>
      <c r="F75" s="6">
        <f>'Monthly Forecast'!AA74</f>
        <v>0</v>
      </c>
      <c r="G75" s="6">
        <f>'Monthly Forecast'!AB74</f>
        <v>0</v>
      </c>
      <c r="H75" s="6">
        <f>'Monthly Forecast'!AC74</f>
        <v>0</v>
      </c>
      <c r="I75" s="6">
        <f>'Monthly Forecast'!AD74</f>
        <v>0</v>
      </c>
      <c r="J75" s="6">
        <f>'Monthly Forecast'!AE74</f>
        <v>0</v>
      </c>
      <c r="K75" s="6">
        <f>'Monthly Forecast'!AF74</f>
        <v>0</v>
      </c>
      <c r="L75" s="6">
        <f>'Monthly Forecast'!AG74</f>
        <v>0</v>
      </c>
      <c r="M75" s="6">
        <f>'Monthly Forecast'!AH74</f>
        <v>0</v>
      </c>
      <c r="N75" s="6">
        <f>'Monthly Forecast'!AI74</f>
        <v>0</v>
      </c>
      <c r="O75" s="6">
        <f>'Monthly Forecast'!AJ74</f>
        <v>0</v>
      </c>
      <c r="P75" s="6">
        <f t="shared" ref="P75:P77" si="29">SUM(D75:O75)</f>
        <v>0</v>
      </c>
      <c r="Q75" s="6">
        <f t="shared" ref="Q75:Q77" si="30">P75*C75</f>
        <v>0</v>
      </c>
      <c r="S75" s="98"/>
      <c r="T75" s="373"/>
    </row>
    <row r="76" spans="1:20">
      <c r="A76" s="4">
        <v>65</v>
      </c>
      <c r="B76" s="2" t="s">
        <v>32</v>
      </c>
      <c r="C76" s="468">
        <f>'Rate Design'!U28</f>
        <v>1.196475</v>
      </c>
      <c r="D76" s="6">
        <f>'Monthly Forecast'!Y75</f>
        <v>0</v>
      </c>
      <c r="E76" s="6">
        <f>'Monthly Forecast'!Z75</f>
        <v>0</v>
      </c>
      <c r="F76" s="6">
        <f>'Monthly Forecast'!AA75</f>
        <v>0</v>
      </c>
      <c r="G76" s="6">
        <f>'Monthly Forecast'!AB75</f>
        <v>0</v>
      </c>
      <c r="H76" s="6">
        <f>'Monthly Forecast'!AC75</f>
        <v>0</v>
      </c>
      <c r="I76" s="6">
        <f>'Monthly Forecast'!AD75</f>
        <v>0</v>
      </c>
      <c r="J76" s="6">
        <f>'Monthly Forecast'!AE75</f>
        <v>0</v>
      </c>
      <c r="K76" s="6">
        <f>'Monthly Forecast'!AF75</f>
        <v>0</v>
      </c>
      <c r="L76" s="6">
        <f>'Monthly Forecast'!AG75</f>
        <v>0</v>
      </c>
      <c r="M76" s="6">
        <f>'Monthly Forecast'!AH75</f>
        <v>0</v>
      </c>
      <c r="N76" s="6">
        <f>'Monthly Forecast'!AI75</f>
        <v>0</v>
      </c>
      <c r="O76" s="6">
        <f>'Monthly Forecast'!AJ75</f>
        <v>0</v>
      </c>
      <c r="P76" s="6">
        <f t="shared" si="29"/>
        <v>0</v>
      </c>
      <c r="Q76" s="6">
        <f t="shared" si="30"/>
        <v>0</v>
      </c>
      <c r="R76" s="98">
        <f>'Test Year Monthly - (Pres)'!Q76-Q76</f>
        <v>0</v>
      </c>
      <c r="S76" s="98"/>
      <c r="T76" s="373"/>
    </row>
    <row r="77" spans="1:20">
      <c r="A77" s="4">
        <v>66</v>
      </c>
      <c r="B77" s="2" t="s">
        <v>572</v>
      </c>
      <c r="C77" s="468">
        <f>'Rate Design'!U29</f>
        <v>0.98812499999999992</v>
      </c>
      <c r="D77" s="6">
        <f>'Monthly Forecast'!Y76</f>
        <v>0</v>
      </c>
      <c r="E77" s="6">
        <f>'Monthly Forecast'!Z76</f>
        <v>0</v>
      </c>
      <c r="F77" s="6">
        <f>'Monthly Forecast'!AA76</f>
        <v>0</v>
      </c>
      <c r="G77" s="6">
        <f>'Monthly Forecast'!AB76</f>
        <v>0</v>
      </c>
      <c r="H77" s="6">
        <f>'Monthly Forecast'!AC76</f>
        <v>0</v>
      </c>
      <c r="I77" s="6">
        <f>'Monthly Forecast'!AD76</f>
        <v>0</v>
      </c>
      <c r="J77" s="6">
        <f>'Monthly Forecast'!AE76</f>
        <v>0</v>
      </c>
      <c r="K77" s="6">
        <f>'Monthly Forecast'!AF76</f>
        <v>0</v>
      </c>
      <c r="L77" s="6">
        <f>'Monthly Forecast'!AG76</f>
        <v>0</v>
      </c>
      <c r="M77" s="6">
        <f>'Monthly Forecast'!AH76</f>
        <v>0</v>
      </c>
      <c r="N77" s="6">
        <f>'Monthly Forecast'!AI76</f>
        <v>0</v>
      </c>
      <c r="O77" s="6">
        <f>'Monthly Forecast'!AJ76</f>
        <v>0</v>
      </c>
      <c r="P77" s="6">
        <f t="shared" si="29"/>
        <v>0</v>
      </c>
      <c r="Q77" s="6">
        <f t="shared" si="30"/>
        <v>0</v>
      </c>
      <c r="R77" s="98">
        <f>'Test Year Monthly - (Pres)'!Q77-Q77</f>
        <v>0</v>
      </c>
      <c r="S77" s="98"/>
      <c r="T77" s="373"/>
    </row>
    <row r="78" spans="1:20">
      <c r="A78" s="4">
        <v>67</v>
      </c>
      <c r="B78" s="21" t="s">
        <v>53</v>
      </c>
      <c r="C78" s="20"/>
      <c r="D78" s="20">
        <f t="shared" ref="D78:Q78" si="31">D75+D76+D77</f>
        <v>0</v>
      </c>
      <c r="E78" s="20">
        <f t="shared" si="31"/>
        <v>0</v>
      </c>
      <c r="F78" s="20">
        <f t="shared" si="31"/>
        <v>0</v>
      </c>
      <c r="G78" s="20">
        <f t="shared" si="31"/>
        <v>0</v>
      </c>
      <c r="H78" s="20">
        <f t="shared" si="31"/>
        <v>0</v>
      </c>
      <c r="I78" s="20">
        <f t="shared" si="31"/>
        <v>0</v>
      </c>
      <c r="J78" s="20">
        <f t="shared" si="31"/>
        <v>0</v>
      </c>
      <c r="K78" s="20">
        <f t="shared" si="31"/>
        <v>0</v>
      </c>
      <c r="L78" s="20">
        <f t="shared" si="31"/>
        <v>0</v>
      </c>
      <c r="M78" s="20">
        <f t="shared" si="31"/>
        <v>0</v>
      </c>
      <c r="N78" s="20">
        <f t="shared" si="31"/>
        <v>0</v>
      </c>
      <c r="O78" s="20">
        <f t="shared" si="31"/>
        <v>0</v>
      </c>
      <c r="P78" s="20">
        <f t="shared" si="31"/>
        <v>0</v>
      </c>
      <c r="Q78" s="20">
        <f t="shared" si="31"/>
        <v>0</v>
      </c>
      <c r="S78" s="98"/>
      <c r="T78" s="373"/>
    </row>
    <row r="79" spans="1:20">
      <c r="A79" s="4">
        <v>68</v>
      </c>
      <c r="D79" s="29"/>
      <c r="P79" s="11"/>
      <c r="S79" s="98"/>
      <c r="T79" s="373"/>
    </row>
    <row r="80" spans="1:20">
      <c r="A80" s="4">
        <v>69</v>
      </c>
      <c r="B80" s="23" t="s">
        <v>63</v>
      </c>
      <c r="D80" s="50">
        <f t="shared" ref="D80:O80" si="32">D81*$C$81+D85*$C$85+D86*$C$86+D82+D83+D84</f>
        <v>885939.08826040011</v>
      </c>
      <c r="E80" s="50">
        <f t="shared" si="32"/>
        <v>837473.3118643997</v>
      </c>
      <c r="F80" s="50">
        <f t="shared" si="32"/>
        <v>744529.8897251999</v>
      </c>
      <c r="G80" s="50">
        <f t="shared" si="32"/>
        <v>836996.73588079994</v>
      </c>
      <c r="H80" s="50">
        <f t="shared" si="32"/>
        <v>964344.1765711999</v>
      </c>
      <c r="I80" s="50">
        <f t="shared" si="32"/>
        <v>989195.23001760012</v>
      </c>
      <c r="J80" s="50">
        <f t="shared" si="32"/>
        <v>993460.2411632</v>
      </c>
      <c r="K80" s="50">
        <f t="shared" si="32"/>
        <v>1064841.6242827999</v>
      </c>
      <c r="L80" s="50">
        <f t="shared" si="32"/>
        <v>963083.85738280008</v>
      </c>
      <c r="M80" s="50">
        <f t="shared" si="32"/>
        <v>961607.51160199987</v>
      </c>
      <c r="N80" s="50">
        <f t="shared" si="32"/>
        <v>903436.91522559989</v>
      </c>
      <c r="O80" s="50">
        <f t="shared" si="32"/>
        <v>894807.89083439973</v>
      </c>
      <c r="P80" s="3">
        <f t="shared" ref="P80:P86" si="33">SUM(C80:O80)</f>
        <v>11039716.472810401</v>
      </c>
      <c r="Q80" s="51"/>
      <c r="S80" s="98"/>
      <c r="T80" s="373"/>
    </row>
    <row r="81" spans="1:20">
      <c r="A81" s="4">
        <v>70</v>
      </c>
      <c r="B81" s="2" t="s">
        <v>61</v>
      </c>
      <c r="C81" s="44">
        <f>'Rate Design'!J16</f>
        <v>685</v>
      </c>
      <c r="D81" s="6">
        <f>'Monthly Forecast'!Y80</f>
        <v>71</v>
      </c>
      <c r="E81" s="6">
        <f>'Monthly Forecast'!Z80</f>
        <v>71</v>
      </c>
      <c r="F81" s="6">
        <f>'Monthly Forecast'!AA80</f>
        <v>71</v>
      </c>
      <c r="G81" s="6">
        <f>'Monthly Forecast'!AB80</f>
        <v>71</v>
      </c>
      <c r="H81" s="6">
        <f>'Monthly Forecast'!AC80</f>
        <v>71</v>
      </c>
      <c r="I81" s="6">
        <f>'Monthly Forecast'!AD80</f>
        <v>71</v>
      </c>
      <c r="J81" s="6">
        <f>'Monthly Forecast'!AE80</f>
        <v>71</v>
      </c>
      <c r="K81" s="6">
        <f>'Monthly Forecast'!AF80</f>
        <v>71</v>
      </c>
      <c r="L81" s="6">
        <f>'Monthly Forecast'!AG80</f>
        <v>71</v>
      </c>
      <c r="M81" s="6">
        <f>'Monthly Forecast'!AH80</f>
        <v>71</v>
      </c>
      <c r="N81" s="6">
        <f>'Monthly Forecast'!AI80</f>
        <v>71</v>
      </c>
      <c r="O81" s="6">
        <f>'Monthly Forecast'!AJ80</f>
        <v>71</v>
      </c>
      <c r="P81" s="6">
        <f>SUM(D81:O81)</f>
        <v>852</v>
      </c>
      <c r="Q81" s="6">
        <f>ROUND(P81*C81,0)</f>
        <v>583620</v>
      </c>
      <c r="S81" s="98"/>
      <c r="T81" s="373"/>
    </row>
    <row r="82" spans="1:20">
      <c r="A82" s="4">
        <v>71</v>
      </c>
      <c r="B82" s="2" t="s">
        <v>1</v>
      </c>
      <c r="D82" s="6">
        <f>'Monthly Forecast'!Y81</f>
        <v>3500</v>
      </c>
      <c r="E82" s="6">
        <f>'Monthly Forecast'!Z81</f>
        <v>3500</v>
      </c>
      <c r="F82" s="6">
        <f>'Monthly Forecast'!AA81</f>
        <v>3500</v>
      </c>
      <c r="G82" s="6">
        <f>'Monthly Forecast'!AB81</f>
        <v>3500</v>
      </c>
      <c r="H82" s="6">
        <f>'Monthly Forecast'!AC81</f>
        <v>3500</v>
      </c>
      <c r="I82" s="6">
        <f>'Monthly Forecast'!AD81</f>
        <v>3500</v>
      </c>
      <c r="J82" s="6">
        <f>'Monthly Forecast'!AE81</f>
        <v>3500</v>
      </c>
      <c r="K82" s="6">
        <f>'Monthly Forecast'!AF81</f>
        <v>3500</v>
      </c>
      <c r="L82" s="6">
        <f>'Monthly Forecast'!AG81</f>
        <v>3500</v>
      </c>
      <c r="M82" s="6">
        <f>'Monthly Forecast'!AH81</f>
        <v>3500</v>
      </c>
      <c r="N82" s="6">
        <f>'Monthly Forecast'!AI81</f>
        <v>3500</v>
      </c>
      <c r="O82" s="6">
        <f>'Monthly Forecast'!AJ81</f>
        <v>3500</v>
      </c>
      <c r="P82" s="3">
        <f t="shared" si="33"/>
        <v>42000</v>
      </c>
      <c r="Q82" s="6">
        <f>P82</f>
        <v>42000</v>
      </c>
      <c r="S82" s="98"/>
      <c r="T82" s="373"/>
    </row>
    <row r="83" spans="1:20">
      <c r="A83" s="4">
        <v>72</v>
      </c>
      <c r="B83" s="2" t="s">
        <v>48</v>
      </c>
      <c r="D83" s="6">
        <f>'Monthly Forecast'!Y82</f>
        <v>3975</v>
      </c>
      <c r="E83" s="6">
        <f>'Monthly Forecast'!Z82</f>
        <v>3975</v>
      </c>
      <c r="F83" s="6">
        <f>'Monthly Forecast'!AA82</f>
        <v>3975</v>
      </c>
      <c r="G83" s="6">
        <f>'Monthly Forecast'!AB82</f>
        <v>3975</v>
      </c>
      <c r="H83" s="6">
        <f>'Monthly Forecast'!AC82</f>
        <v>3975</v>
      </c>
      <c r="I83" s="6">
        <f>'Monthly Forecast'!AD82</f>
        <v>3975</v>
      </c>
      <c r="J83" s="6">
        <f>'Monthly Forecast'!AE82</f>
        <v>3975</v>
      </c>
      <c r="K83" s="6">
        <f>'Monthly Forecast'!AF82</f>
        <v>3975</v>
      </c>
      <c r="L83" s="6">
        <f>'Monthly Forecast'!AG82</f>
        <v>3975</v>
      </c>
      <c r="M83" s="6">
        <f>'Monthly Forecast'!AH82</f>
        <v>3975</v>
      </c>
      <c r="N83" s="6">
        <f>'Monthly Forecast'!AI82</f>
        <v>3975</v>
      </c>
      <c r="O83" s="6">
        <f>'Monthly Forecast'!AJ82</f>
        <v>3975</v>
      </c>
      <c r="P83" s="3">
        <f t="shared" si="33"/>
        <v>47700</v>
      </c>
      <c r="Q83" s="6">
        <f>P83</f>
        <v>47700</v>
      </c>
      <c r="S83" s="98"/>
      <c r="T83" s="373"/>
    </row>
    <row r="84" spans="1:20">
      <c r="A84" s="4">
        <v>73</v>
      </c>
      <c r="B84" s="2" t="s">
        <v>2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3">
        <f t="shared" si="33"/>
        <v>0</v>
      </c>
      <c r="Q84" s="6">
        <f>P84</f>
        <v>0</v>
      </c>
      <c r="S84" s="98"/>
      <c r="T84" s="373"/>
    </row>
    <row r="85" spans="1:20">
      <c r="A85" s="4">
        <v>74</v>
      </c>
      <c r="B85" s="2" t="s">
        <v>39</v>
      </c>
      <c r="C85" s="498">
        <f>'Rate Design'!J34</f>
        <v>1.2955999999999999</v>
      </c>
      <c r="D85" s="6">
        <f>'Monthly Forecast'!Y84</f>
        <v>417295.32500000007</v>
      </c>
      <c r="E85" s="6">
        <f>'Monthly Forecast'!Z84</f>
        <v>401974.18699999986</v>
      </c>
      <c r="F85" s="6">
        <f>'Monthly Forecast'!AA84</f>
        <v>388998.01500000001</v>
      </c>
      <c r="G85" s="6">
        <f>'Monthly Forecast'!AB84</f>
        <v>399640.08999999991</v>
      </c>
      <c r="H85" s="6">
        <f>'Monthly Forecast'!AC84</f>
        <v>444351.85199999996</v>
      </c>
      <c r="I85" s="6">
        <f>'Monthly Forecast'!AD84</f>
        <v>465474.78000000009</v>
      </c>
      <c r="J85" s="6">
        <f>'Monthly Forecast'!AE84</f>
        <v>465884.10000000003</v>
      </c>
      <c r="K85" s="6">
        <f>'Monthly Forecast'!AF84</f>
        <v>488045.31699999992</v>
      </c>
      <c r="L85" s="6">
        <f>'Monthly Forecast'!AG84</f>
        <v>447164.79100000003</v>
      </c>
      <c r="M85" s="6">
        <f>'Monthly Forecast'!AH84</f>
        <v>436683.45099999994</v>
      </c>
      <c r="N85" s="6">
        <f>'Monthly Forecast'!AI84</f>
        <v>426391.45600000001</v>
      </c>
      <c r="O85" s="6">
        <f>'Monthly Forecast'!AJ84</f>
        <v>425511.52199999994</v>
      </c>
      <c r="P85" s="6">
        <f t="shared" si="33"/>
        <v>5207416.1816000007</v>
      </c>
      <c r="Q85" s="6">
        <f t="shared" ref="Q85:Q86" si="34">ROUND(P85*C85,0)</f>
        <v>6746728</v>
      </c>
      <c r="R85" s="98">
        <f>'Test Year Monthly - (Pres)'!Q85-Q85</f>
        <v>-1770000.6800873093</v>
      </c>
      <c r="S85" s="98"/>
      <c r="T85" s="373"/>
    </row>
    <row r="86" spans="1:20">
      <c r="A86" s="4">
        <v>75</v>
      </c>
      <c r="B86" s="2" t="s">
        <v>40</v>
      </c>
      <c r="C86" s="498">
        <f>'Rate Design'!J35</f>
        <v>1.0624</v>
      </c>
      <c r="D86" s="6">
        <f>'Monthly Forecast'!Y85</f>
        <v>272196.22100000002</v>
      </c>
      <c r="E86" s="6">
        <f>'Monthly Forecast'!Z85</f>
        <v>245261.25299999994</v>
      </c>
      <c r="F86" s="6">
        <f>'Monthly Forecast'!AA85</f>
        <v>173601.33800000002</v>
      </c>
      <c r="G86" s="6">
        <f>'Monthly Forecast'!AB85</f>
        <v>247659.10700000005</v>
      </c>
      <c r="H86" s="6">
        <f>'Monthly Forecast'!AC85</f>
        <v>313000.67499999999</v>
      </c>
      <c r="I86" s="6">
        <f>'Monthly Forecast'!AD85</f>
        <v>310632.62900000002</v>
      </c>
      <c r="J86" s="6">
        <f>'Monthly Forecast'!AE85</f>
        <v>314147.96799999994</v>
      </c>
      <c r="K86" s="6">
        <f>'Monthly Forecast'!AF85</f>
        <v>354311.09900000005</v>
      </c>
      <c r="L86" s="6">
        <f>'Monthly Forecast'!AG85</f>
        <v>308383.99300000007</v>
      </c>
      <c r="M86" s="6">
        <f>'Monthly Forecast'!AH85</f>
        <v>319776.386</v>
      </c>
      <c r="N86" s="6">
        <f>'Monthly Forecast'!AI85</f>
        <v>277573.55499999993</v>
      </c>
      <c r="O86" s="6">
        <f>'Monthly Forecast'!AJ85</f>
        <v>270524.43799999997</v>
      </c>
      <c r="P86" s="6">
        <f t="shared" si="33"/>
        <v>3407069.7243999997</v>
      </c>
      <c r="Q86" s="6">
        <f t="shared" si="34"/>
        <v>3619671</v>
      </c>
      <c r="R86" s="98">
        <f>'Test Year Monthly - (Pres)'!Q86-Q86</f>
        <v>-949550.67540491</v>
      </c>
      <c r="S86" s="98"/>
      <c r="T86" s="373"/>
    </row>
    <row r="87" spans="1:20">
      <c r="A87" s="4">
        <v>76</v>
      </c>
      <c r="B87" s="21" t="s">
        <v>53</v>
      </c>
      <c r="C87" s="21"/>
      <c r="D87" s="20">
        <f t="shared" ref="D87:P87" si="35">D85+D86</f>
        <v>689491.54600000009</v>
      </c>
      <c r="E87" s="20">
        <f t="shared" si="35"/>
        <v>647235.43999999983</v>
      </c>
      <c r="F87" s="20">
        <f t="shared" si="35"/>
        <v>562599.353</v>
      </c>
      <c r="G87" s="20">
        <f t="shared" si="35"/>
        <v>647299.19699999993</v>
      </c>
      <c r="H87" s="20">
        <f t="shared" si="35"/>
        <v>757352.527</v>
      </c>
      <c r="I87" s="20">
        <f t="shared" si="35"/>
        <v>776107.4090000001</v>
      </c>
      <c r="J87" s="20">
        <f t="shared" si="35"/>
        <v>780032.06799999997</v>
      </c>
      <c r="K87" s="20">
        <f t="shared" si="35"/>
        <v>842356.41599999997</v>
      </c>
      <c r="L87" s="20">
        <f t="shared" si="35"/>
        <v>755548.7840000001</v>
      </c>
      <c r="M87" s="20">
        <f t="shared" si="35"/>
        <v>756459.83699999994</v>
      </c>
      <c r="N87" s="20">
        <f t="shared" si="35"/>
        <v>703965.01099999994</v>
      </c>
      <c r="O87" s="20">
        <f t="shared" si="35"/>
        <v>696035.96</v>
      </c>
      <c r="P87" s="20">
        <f t="shared" si="35"/>
        <v>8614485.9059999995</v>
      </c>
      <c r="Q87" s="20">
        <f>SUM(Q81:Q86)</f>
        <v>11039719</v>
      </c>
      <c r="S87" s="98"/>
      <c r="T87" s="497">
        <f>SUM(P85:P86)/P81*12</f>
        <v>121330.78740845069</v>
      </c>
    </row>
    <row r="88" spans="1:20">
      <c r="A88" s="4">
        <v>77</v>
      </c>
      <c r="D88" s="29"/>
      <c r="S88" s="98"/>
      <c r="T88" s="373"/>
    </row>
    <row r="89" spans="1:20">
      <c r="A89" s="4">
        <v>78</v>
      </c>
      <c r="B89" s="23" t="s">
        <v>64</v>
      </c>
      <c r="D89" s="50">
        <f t="shared" ref="D89:O89" si="36">D90*$C$90+D91+D92+D93+D95</f>
        <v>294856.53250000003</v>
      </c>
      <c r="E89" s="50">
        <f t="shared" si="36"/>
        <v>274115.96250000002</v>
      </c>
      <c r="F89" s="50">
        <f t="shared" si="36"/>
        <v>255651.05249999999</v>
      </c>
      <c r="G89" s="50">
        <f t="shared" si="36"/>
        <v>224506.49249999999</v>
      </c>
      <c r="H89" s="50">
        <f t="shared" si="36"/>
        <v>270434.41250000003</v>
      </c>
      <c r="I89" s="50">
        <f t="shared" si="36"/>
        <v>240831.22249999997</v>
      </c>
      <c r="J89" s="50">
        <f t="shared" si="36"/>
        <v>215894.06249999997</v>
      </c>
      <c r="K89" s="50">
        <f t="shared" si="36"/>
        <v>256668.56250000003</v>
      </c>
      <c r="L89" s="50">
        <f t="shared" si="36"/>
        <v>240852.4425</v>
      </c>
      <c r="M89" s="50">
        <f t="shared" si="36"/>
        <v>258975.85250000001</v>
      </c>
      <c r="N89" s="50">
        <f t="shared" si="36"/>
        <v>304933.69250000006</v>
      </c>
      <c r="O89" s="50">
        <f t="shared" si="36"/>
        <v>280519.34250000003</v>
      </c>
      <c r="P89" s="3">
        <f t="shared" ref="P89:P95" si="37">SUM(C89:O89)</f>
        <v>3118239.63</v>
      </c>
      <c r="Q89" s="51"/>
      <c r="S89" s="98"/>
      <c r="T89" s="373"/>
    </row>
    <row r="90" spans="1:20">
      <c r="A90" s="4">
        <v>79</v>
      </c>
      <c r="B90" s="2" t="s">
        <v>61</v>
      </c>
      <c r="C90" s="44">
        <f>'Rate Design'!E16</f>
        <v>520</v>
      </c>
      <c r="D90" s="6">
        <f>'Monthly Forecast'!Y89</f>
        <v>13.346153846153847</v>
      </c>
      <c r="E90" s="6">
        <f>'Monthly Forecast'!Z89</f>
        <v>13.346153846153847</v>
      </c>
      <c r="F90" s="6">
        <f>'Monthly Forecast'!AA89</f>
        <v>13.346153846153847</v>
      </c>
      <c r="G90" s="6">
        <f>'Monthly Forecast'!AB89</f>
        <v>12.346153846153847</v>
      </c>
      <c r="H90" s="6">
        <f>'Monthly Forecast'!AC89</f>
        <v>12.346153846153847</v>
      </c>
      <c r="I90" s="6">
        <f>'Monthly Forecast'!AD89</f>
        <v>12.346153846153847</v>
      </c>
      <c r="J90" s="6">
        <f>'Monthly Forecast'!AE89</f>
        <v>12.346153846153847</v>
      </c>
      <c r="K90" s="6">
        <f>'Monthly Forecast'!AF89</f>
        <v>12.346153846153847</v>
      </c>
      <c r="L90" s="6">
        <f>'Monthly Forecast'!AG89</f>
        <v>12.346153846153847</v>
      </c>
      <c r="M90" s="6">
        <f>'Monthly Forecast'!AH89</f>
        <v>13.346153846153847</v>
      </c>
      <c r="N90" s="6">
        <f>'Monthly Forecast'!AI89</f>
        <v>13.346153846153847</v>
      </c>
      <c r="O90" s="6">
        <f>'Monthly Forecast'!AJ89</f>
        <v>13.346153846153847</v>
      </c>
      <c r="P90" s="6">
        <f>SUM(D90:O90)</f>
        <v>154.1538461538461</v>
      </c>
      <c r="Q90" s="6">
        <f>ROUND(P90*C90,0)</f>
        <v>80160</v>
      </c>
      <c r="S90" s="98"/>
      <c r="T90" s="373"/>
    </row>
    <row r="91" spans="1:20">
      <c r="A91" s="4">
        <v>80</v>
      </c>
      <c r="B91" s="2" t="s">
        <v>1</v>
      </c>
      <c r="D91" s="6">
        <f>'Monthly Forecast'!Y90</f>
        <v>650</v>
      </c>
      <c r="E91" s="6">
        <f>'Monthly Forecast'!Z90</f>
        <v>650</v>
      </c>
      <c r="F91" s="6">
        <f>'Monthly Forecast'!AA90</f>
        <v>650</v>
      </c>
      <c r="G91" s="6">
        <f>'Monthly Forecast'!AB90</f>
        <v>600</v>
      </c>
      <c r="H91" s="6">
        <f>'Monthly Forecast'!AC90</f>
        <v>600</v>
      </c>
      <c r="I91" s="6">
        <f>'Monthly Forecast'!AD90</f>
        <v>600</v>
      </c>
      <c r="J91" s="6">
        <f>'Monthly Forecast'!AE90</f>
        <v>600</v>
      </c>
      <c r="K91" s="6">
        <f>'Monthly Forecast'!AF90</f>
        <v>600</v>
      </c>
      <c r="L91" s="6">
        <f>'Monthly Forecast'!AG90</f>
        <v>600</v>
      </c>
      <c r="M91" s="6">
        <f>'Monthly Forecast'!AH90</f>
        <v>650</v>
      </c>
      <c r="N91" s="6">
        <f>'Monthly Forecast'!AI90</f>
        <v>650</v>
      </c>
      <c r="O91" s="6">
        <f>'Monthly Forecast'!AJ90</f>
        <v>650</v>
      </c>
      <c r="P91" s="3">
        <f t="shared" si="37"/>
        <v>7500</v>
      </c>
      <c r="Q91" s="6">
        <f>P91</f>
        <v>7500</v>
      </c>
      <c r="S91" s="98"/>
      <c r="T91" s="373"/>
    </row>
    <row r="92" spans="1:20">
      <c r="A92" s="4">
        <v>81</v>
      </c>
      <c r="B92" s="2" t="s">
        <v>48</v>
      </c>
      <c r="D92" s="6">
        <f>'Monthly Forecast'!Y91</f>
        <v>750</v>
      </c>
      <c r="E92" s="6">
        <f>'Monthly Forecast'!Z91</f>
        <v>750</v>
      </c>
      <c r="F92" s="6">
        <f>'Monthly Forecast'!AA91</f>
        <v>750</v>
      </c>
      <c r="G92" s="6">
        <f>'Monthly Forecast'!AB91</f>
        <v>675</v>
      </c>
      <c r="H92" s="6">
        <f>'Monthly Forecast'!AC91</f>
        <v>675</v>
      </c>
      <c r="I92" s="6">
        <f>'Monthly Forecast'!AD91</f>
        <v>675</v>
      </c>
      <c r="J92" s="6">
        <f>'Monthly Forecast'!AE91</f>
        <v>675</v>
      </c>
      <c r="K92" s="6">
        <f>'Monthly Forecast'!AF91</f>
        <v>675</v>
      </c>
      <c r="L92" s="6">
        <f>'Monthly Forecast'!AG91</f>
        <v>675</v>
      </c>
      <c r="M92" s="6">
        <f>'Monthly Forecast'!AH91</f>
        <v>750</v>
      </c>
      <c r="N92" s="6">
        <f>'Monthly Forecast'!AI91</f>
        <v>750</v>
      </c>
      <c r="O92" s="6">
        <f>'Monthly Forecast'!AJ91</f>
        <v>750</v>
      </c>
      <c r="P92" s="3">
        <f t="shared" si="37"/>
        <v>8550</v>
      </c>
      <c r="Q92" s="6">
        <f>P92</f>
        <v>8550</v>
      </c>
      <c r="S92" s="98"/>
      <c r="T92" s="373"/>
    </row>
    <row r="93" spans="1:20">
      <c r="A93" s="4">
        <v>82</v>
      </c>
      <c r="B93" s="2" t="s">
        <v>2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3">
        <f t="shared" si="37"/>
        <v>0</v>
      </c>
      <c r="Q93" s="6">
        <f>P93</f>
        <v>0</v>
      </c>
      <c r="S93" s="98"/>
      <c r="T93" s="373"/>
    </row>
    <row r="94" spans="1:20">
      <c r="A94" s="4">
        <v>83</v>
      </c>
      <c r="B94" s="2" t="s">
        <v>65</v>
      </c>
      <c r="C94" s="37" t="s">
        <v>47</v>
      </c>
      <c r="D94" s="6">
        <f>'Monthly Forecast'!Y93</f>
        <v>1174024.8120000002</v>
      </c>
      <c r="E94" s="6">
        <f>'Monthly Forecast'!Z93</f>
        <v>1325397.4870000002</v>
      </c>
      <c r="F94" s="6">
        <f>'Monthly Forecast'!AA93</f>
        <v>1227574.175</v>
      </c>
      <c r="G94" s="6">
        <f>'Monthly Forecast'!AB93</f>
        <v>1095711.6499999999</v>
      </c>
      <c r="H94" s="6">
        <f>'Monthly Forecast'!AC93</f>
        <v>1171325.5090000001</v>
      </c>
      <c r="I94" s="6">
        <f>'Monthly Forecast'!AD93</f>
        <v>1223327.2750000001</v>
      </c>
      <c r="J94" s="6">
        <f>'Monthly Forecast'!AE93</f>
        <v>1296950.4989999998</v>
      </c>
      <c r="K94" s="6">
        <f>'Monthly Forecast'!AF93</f>
        <v>1535323.86</v>
      </c>
      <c r="L94" s="6">
        <f>'Monthly Forecast'!AG93</f>
        <v>1391759.6110000003</v>
      </c>
      <c r="M94" s="6">
        <f>'Monthly Forecast'!AH93</f>
        <v>1467400.6270000001</v>
      </c>
      <c r="N94" s="6">
        <f>'Monthly Forecast'!AI93</f>
        <v>1320463.8700000003</v>
      </c>
      <c r="O94" s="6">
        <f>'Monthly Forecast'!AJ93</f>
        <v>1275922.6930000002</v>
      </c>
      <c r="P94" s="6">
        <f t="shared" si="37"/>
        <v>15505182.068</v>
      </c>
      <c r="Q94" s="6"/>
      <c r="S94" s="98"/>
      <c r="T94" s="373"/>
    </row>
    <row r="95" spans="1:20">
      <c r="A95" s="4">
        <v>84</v>
      </c>
      <c r="B95" s="2" t="s">
        <v>66</v>
      </c>
      <c r="C95" s="37"/>
      <c r="D95" s="6">
        <f>'Monthly Forecast'!Y94</f>
        <v>286516.53250000003</v>
      </c>
      <c r="E95" s="6">
        <f>'Monthly Forecast'!Z94</f>
        <v>265775.96250000002</v>
      </c>
      <c r="F95" s="6">
        <f>'Monthly Forecast'!AA94</f>
        <v>247311.05249999999</v>
      </c>
      <c r="G95" s="6">
        <f>'Monthly Forecast'!AB94</f>
        <v>216811.49249999999</v>
      </c>
      <c r="H95" s="6">
        <f>'Monthly Forecast'!AC94</f>
        <v>262739.41250000003</v>
      </c>
      <c r="I95" s="6">
        <f>'Monthly Forecast'!AD94</f>
        <v>233136.22249999997</v>
      </c>
      <c r="J95" s="6">
        <f>'Monthly Forecast'!AE94</f>
        <v>208199.06249999997</v>
      </c>
      <c r="K95" s="6">
        <f>'Monthly Forecast'!AF94</f>
        <v>248973.56250000003</v>
      </c>
      <c r="L95" s="6">
        <f>'Monthly Forecast'!AG94</f>
        <v>233157.4425</v>
      </c>
      <c r="M95" s="6">
        <f>'Monthly Forecast'!AH94</f>
        <v>250635.85250000001</v>
      </c>
      <c r="N95" s="6">
        <f>'Monthly Forecast'!AI94</f>
        <v>296593.69250000006</v>
      </c>
      <c r="O95" s="6">
        <f>'Monthly Forecast'!AJ94</f>
        <v>272179.34250000003</v>
      </c>
      <c r="P95" s="3">
        <f t="shared" si="37"/>
        <v>3022029.63</v>
      </c>
      <c r="Q95" s="6">
        <f>P95</f>
        <v>3022029.63</v>
      </c>
      <c r="S95" s="98"/>
      <c r="T95" s="373"/>
    </row>
    <row r="96" spans="1:20">
      <c r="A96" s="4">
        <v>85</v>
      </c>
      <c r="B96" s="21" t="s">
        <v>53</v>
      </c>
      <c r="C96" s="21"/>
      <c r="D96" s="20">
        <f t="shared" ref="D96:P96" si="38">D94</f>
        <v>1174024.8120000002</v>
      </c>
      <c r="E96" s="20">
        <f t="shared" si="38"/>
        <v>1325397.4870000002</v>
      </c>
      <c r="F96" s="20">
        <f t="shared" si="38"/>
        <v>1227574.175</v>
      </c>
      <c r="G96" s="20">
        <f t="shared" si="38"/>
        <v>1095711.6499999999</v>
      </c>
      <c r="H96" s="20">
        <f t="shared" si="38"/>
        <v>1171325.5090000001</v>
      </c>
      <c r="I96" s="20">
        <f t="shared" si="38"/>
        <v>1223327.2750000001</v>
      </c>
      <c r="J96" s="20">
        <f t="shared" si="38"/>
        <v>1296950.4989999998</v>
      </c>
      <c r="K96" s="20">
        <f t="shared" si="38"/>
        <v>1535323.86</v>
      </c>
      <c r="L96" s="20">
        <f t="shared" si="38"/>
        <v>1391759.6110000003</v>
      </c>
      <c r="M96" s="20">
        <f t="shared" si="38"/>
        <v>1467400.6270000001</v>
      </c>
      <c r="N96" s="20">
        <f t="shared" si="38"/>
        <v>1320463.8700000003</v>
      </c>
      <c r="O96" s="20">
        <f t="shared" si="38"/>
        <v>1275922.6930000002</v>
      </c>
      <c r="P96" s="20">
        <f t="shared" si="38"/>
        <v>15505182.068</v>
      </c>
      <c r="Q96" s="20">
        <f>SUM(Q90:Q95)</f>
        <v>3118239.63</v>
      </c>
      <c r="S96" s="98"/>
      <c r="T96" s="497">
        <f>P94/P90*12</f>
        <v>1206990.2208622759</v>
      </c>
    </row>
    <row r="97" spans="1:19">
      <c r="A97" s="4">
        <v>86</v>
      </c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S97" s="98"/>
    </row>
    <row r="98" spans="1:19">
      <c r="A98" s="4">
        <v>87</v>
      </c>
      <c r="B98" s="2" t="s">
        <v>279</v>
      </c>
      <c r="D98" s="3"/>
      <c r="S98" s="98"/>
    </row>
    <row r="99" spans="1:19">
      <c r="A99" s="4">
        <v>88</v>
      </c>
      <c r="B99" s="2" t="s">
        <v>280</v>
      </c>
      <c r="D99" s="3">
        <f>'Monthly Forecast'!Y98</f>
        <v>3438</v>
      </c>
      <c r="E99" s="3">
        <f>'Monthly Forecast'!Z98</f>
        <v>3844</v>
      </c>
      <c r="F99" s="3">
        <f>'Monthly Forecast'!AA98</f>
        <v>3004</v>
      </c>
      <c r="G99" s="3">
        <f>'Monthly Forecast'!AB98</f>
        <v>3387</v>
      </c>
      <c r="H99" s="3">
        <f>'Monthly Forecast'!AC98</f>
        <v>3698</v>
      </c>
      <c r="I99" s="3">
        <f>'Monthly Forecast'!AD98</f>
        <v>4212</v>
      </c>
      <c r="J99" s="3">
        <f>'Monthly Forecast'!AE98</f>
        <v>9928</v>
      </c>
      <c r="K99" s="3">
        <f>'Monthly Forecast'!AF98</f>
        <v>8550</v>
      </c>
      <c r="L99" s="3">
        <f>'Monthly Forecast'!AG98</f>
        <v>4906</v>
      </c>
      <c r="M99" s="3">
        <f>'Monthly Forecast'!AH98</f>
        <v>5587</v>
      </c>
      <c r="N99" s="3">
        <f>'Monthly Forecast'!AI98</f>
        <v>4026</v>
      </c>
      <c r="O99" s="3">
        <f>'Monthly Forecast'!AJ98</f>
        <v>4332</v>
      </c>
      <c r="P99" s="3">
        <f>SUM(D99:O99)</f>
        <v>58912</v>
      </c>
      <c r="Q99" s="3"/>
      <c r="S99" s="98"/>
    </row>
    <row r="100" spans="1:19">
      <c r="A100" s="4">
        <v>89</v>
      </c>
      <c r="B100" s="2" t="s">
        <v>73</v>
      </c>
      <c r="D100" s="3">
        <f>'Monthly Forecast'!Y99+D112*'Other Revenue'!$C$62</f>
        <v>55083.611568365552</v>
      </c>
      <c r="E100" s="3">
        <f>'Monthly Forecast'!Z99+E112*'Other Revenue'!$C$62</f>
        <v>41250.526553897689</v>
      </c>
      <c r="F100" s="3">
        <f>'Monthly Forecast'!AA99+F112*'Other Revenue'!$C$62</f>
        <v>30537.248218539877</v>
      </c>
      <c r="G100" s="3">
        <f>'Monthly Forecast'!AB99+G112*'Other Revenue'!$C$62</f>
        <v>24483.669406425564</v>
      </c>
      <c r="H100" s="3">
        <f>'Monthly Forecast'!AC99+H112*'Other Revenue'!$C$62</f>
        <v>23615.277627190524</v>
      </c>
      <c r="I100" s="3">
        <f>'Monthly Forecast'!AD99+I112*'Other Revenue'!$C$62</f>
        <v>23934.25633101727</v>
      </c>
      <c r="J100" s="3">
        <f>'Monthly Forecast'!AE99+J112*'Other Revenue'!$C$62</f>
        <v>24929.651392454798</v>
      </c>
      <c r="K100" s="3">
        <f>'Monthly Forecast'!AF99+K112*'Other Revenue'!$C$62</f>
        <v>32774.759531089905</v>
      </c>
      <c r="L100" s="3">
        <f>'Monthly Forecast'!AG99+L112*'Other Revenue'!$C$62</f>
        <v>51818.04371570611</v>
      </c>
      <c r="M100" s="3">
        <f>'Monthly Forecast'!AH99+M112*'Other Revenue'!$C$62</f>
        <v>68896.290743224701</v>
      </c>
      <c r="N100" s="3">
        <f>'Monthly Forecast'!AI99+N112*'Other Revenue'!$C$62</f>
        <v>77833.202255412849</v>
      </c>
      <c r="O100" s="3">
        <f>'Monthly Forecast'!AJ99+O112*'Other Revenue'!$C$62</f>
        <v>73701.644072748939</v>
      </c>
      <c r="P100" s="3">
        <f>SUM(D100:O100)</f>
        <v>528858.1814160737</v>
      </c>
      <c r="Q100" s="3"/>
      <c r="S100" s="98"/>
    </row>
    <row r="101" spans="1:19">
      <c r="A101" s="4">
        <v>90</v>
      </c>
      <c r="S101" s="98"/>
    </row>
    <row r="102" spans="1:19">
      <c r="A102" s="4">
        <v>91</v>
      </c>
      <c r="B102" s="18" t="s">
        <v>281</v>
      </c>
      <c r="D102" s="3">
        <f>D108+D99+D100</f>
        <v>11250905.430227738</v>
      </c>
      <c r="E102" s="3">
        <f t="shared" ref="E102:O102" si="39">E108+E99+E100</f>
        <v>9532311.6568989772</v>
      </c>
      <c r="F102" s="3">
        <f t="shared" si="39"/>
        <v>8429266.6671711281</v>
      </c>
      <c r="G102" s="3">
        <f t="shared" si="39"/>
        <v>8270027.9068483263</v>
      </c>
      <c r="H102" s="3">
        <f t="shared" si="39"/>
        <v>8606292.9026021715</v>
      </c>
      <c r="I102" s="3">
        <f t="shared" si="39"/>
        <v>8661821.4629543927</v>
      </c>
      <c r="J102" s="3">
        <f t="shared" si="39"/>
        <v>9226709.4956606273</v>
      </c>
      <c r="K102" s="3">
        <f t="shared" si="39"/>
        <v>11877619.755568633</v>
      </c>
      <c r="L102" s="3">
        <f t="shared" si="39"/>
        <v>13808052.662719809</v>
      </c>
      <c r="M102" s="3">
        <f t="shared" si="39"/>
        <v>15011114.100402439</v>
      </c>
      <c r="N102" s="3">
        <f t="shared" si="39"/>
        <v>15394326.041930806</v>
      </c>
      <c r="O102" s="3">
        <f t="shared" si="39"/>
        <v>13113827.328122836</v>
      </c>
      <c r="P102" s="3">
        <f>SUM(D102:O102)</f>
        <v>133182275.4111079</v>
      </c>
      <c r="Q102" s="6"/>
      <c r="R102" s="181">
        <f>P102-'Test Year Revenue Proposed'!P44</f>
        <v>-150.40030817687511</v>
      </c>
      <c r="S102" s="98"/>
    </row>
    <row r="103" spans="1:19">
      <c r="A103" s="4">
        <v>92</v>
      </c>
      <c r="B103" s="2" t="s">
        <v>188</v>
      </c>
      <c r="D103" s="3">
        <f t="shared" ref="D103:O103" si="40">D62+D54+D46+D37+D28+D19</f>
        <v>6982218.9628609549</v>
      </c>
      <c r="E103" s="3">
        <f t="shared" si="40"/>
        <v>4112629.6777597396</v>
      </c>
      <c r="F103" s="3">
        <f t="shared" si="40"/>
        <v>2020053.9170128419</v>
      </c>
      <c r="G103" s="3">
        <f t="shared" si="40"/>
        <v>1734260.1808545445</v>
      </c>
      <c r="H103" s="3">
        <f t="shared" si="40"/>
        <v>1895723.9966289767</v>
      </c>
      <c r="I103" s="3">
        <f t="shared" si="40"/>
        <v>1919919.1172605176</v>
      </c>
      <c r="J103" s="3">
        <f t="shared" si="40"/>
        <v>3099921.7521362798</v>
      </c>
      <c r="K103" s="3">
        <f t="shared" si="40"/>
        <v>8220794.5724572185</v>
      </c>
      <c r="L103" s="3">
        <f t="shared" si="40"/>
        <v>13532727.545907762</v>
      </c>
      <c r="M103" s="3">
        <f t="shared" si="40"/>
        <v>16482301.918303896</v>
      </c>
      <c r="N103" s="3">
        <f t="shared" si="40"/>
        <v>16228082.105095781</v>
      </c>
      <c r="O103" s="3">
        <f t="shared" si="40"/>
        <v>11412264.325620897</v>
      </c>
      <c r="P103" s="3">
        <f>SUM(D103:O103)</f>
        <v>87640898.071899384</v>
      </c>
      <c r="Q103" s="6"/>
      <c r="S103" s="98"/>
    </row>
    <row r="104" spans="1:19">
      <c r="A104" s="4">
        <v>93</v>
      </c>
      <c r="B104" s="18" t="s">
        <v>282</v>
      </c>
      <c r="D104" s="3">
        <f>D102+D103</f>
        <v>18233124.393088691</v>
      </c>
      <c r="E104" s="3">
        <f t="shared" ref="E104:O104" si="41">E102+E103</f>
        <v>13644941.334658716</v>
      </c>
      <c r="F104" s="3">
        <f t="shared" si="41"/>
        <v>10449320.58418397</v>
      </c>
      <c r="G104" s="3">
        <f t="shared" si="41"/>
        <v>10004288.08770287</v>
      </c>
      <c r="H104" s="3">
        <f t="shared" si="41"/>
        <v>10502016.899231149</v>
      </c>
      <c r="I104" s="3">
        <f t="shared" si="41"/>
        <v>10581740.58021491</v>
      </c>
      <c r="J104" s="3">
        <f t="shared" si="41"/>
        <v>12326631.247796908</v>
      </c>
      <c r="K104" s="3">
        <f t="shared" si="41"/>
        <v>20098414.328025851</v>
      </c>
      <c r="L104" s="3">
        <f t="shared" si="41"/>
        <v>27340780.20862757</v>
      </c>
      <c r="M104" s="3">
        <f t="shared" si="41"/>
        <v>31493416.018706337</v>
      </c>
      <c r="N104" s="3">
        <f t="shared" si="41"/>
        <v>31622408.147026587</v>
      </c>
      <c r="O104" s="3">
        <f t="shared" si="41"/>
        <v>24526091.653743733</v>
      </c>
      <c r="P104" s="3">
        <f>SUM(D104:O104)</f>
        <v>220823173.48300731</v>
      </c>
      <c r="Q104" s="6"/>
      <c r="S104" s="98"/>
    </row>
    <row r="105" spans="1:19">
      <c r="Q105" s="6"/>
    </row>
    <row r="106" spans="1:19">
      <c r="A106" s="4"/>
      <c r="Q106" s="6"/>
    </row>
    <row r="107" spans="1:19">
      <c r="A107" s="4"/>
      <c r="D107" s="6">
        <f t="shared" ref="D107:P107" si="42">D17+D26+D35+D44+D52+D60+D72+D87+D96</f>
        <v>3949013.2276285691</v>
      </c>
      <c r="E107" s="6">
        <f t="shared" si="42"/>
        <v>3356656.9341787314</v>
      </c>
      <c r="F107" s="6">
        <f t="shared" si="42"/>
        <v>2766078.2270126566</v>
      </c>
      <c r="G107" s="6">
        <f t="shared" si="42"/>
        <v>2641755.6318805488</v>
      </c>
      <c r="H107" s="6">
        <f t="shared" si="42"/>
        <v>2938388.4560630769</v>
      </c>
      <c r="I107" s="6">
        <f t="shared" si="42"/>
        <v>3078106.7590189362</v>
      </c>
      <c r="J107" s="6">
        <f t="shared" si="42"/>
        <v>3404159.1005430473</v>
      </c>
      <c r="K107" s="6">
        <f t="shared" si="42"/>
        <v>4850806.9602762721</v>
      </c>
      <c r="L107" s="6">
        <f t="shared" si="42"/>
        <v>5450053.3082100209</v>
      </c>
      <c r="M107" s="6">
        <f t="shared" si="42"/>
        <v>6034486.5438986626</v>
      </c>
      <c r="N107" s="6">
        <f t="shared" si="42"/>
        <v>5964347.4549069908</v>
      </c>
      <c r="O107" s="6">
        <f t="shared" si="42"/>
        <v>4889388.0623689126</v>
      </c>
      <c r="P107" s="6">
        <f t="shared" si="42"/>
        <v>49323247.73998642</v>
      </c>
      <c r="Q107" s="6"/>
    </row>
    <row r="108" spans="1:19">
      <c r="A108" s="4"/>
      <c r="C108" s="6"/>
      <c r="D108" s="3">
        <f>D89+D80+D64+D56+D48+D39+D30+D21+D12+D74</f>
        <v>11192383.818659373</v>
      </c>
      <c r="E108" s="3">
        <f t="shared" ref="E108:O108" si="43">E89+E80+E64+E56+E48+E39+E30+E21+E12+E74</f>
        <v>9487217.13034508</v>
      </c>
      <c r="F108" s="3">
        <f t="shared" si="43"/>
        <v>8395725.418952588</v>
      </c>
      <c r="G108" s="3">
        <f t="shared" si="43"/>
        <v>8242157.2374419011</v>
      </c>
      <c r="H108" s="3">
        <f t="shared" si="43"/>
        <v>8578979.624974981</v>
      </c>
      <c r="I108" s="3">
        <f t="shared" si="43"/>
        <v>8633675.2066233754</v>
      </c>
      <c r="J108" s="3">
        <f t="shared" si="43"/>
        <v>9191851.844268173</v>
      </c>
      <c r="K108" s="3">
        <f t="shared" si="43"/>
        <v>11836294.996037543</v>
      </c>
      <c r="L108" s="3">
        <f t="shared" si="43"/>
        <v>13751328.619004102</v>
      </c>
      <c r="M108" s="3">
        <f t="shared" si="43"/>
        <v>14936630.809659215</v>
      </c>
      <c r="N108" s="3">
        <f t="shared" si="43"/>
        <v>15312466.839675393</v>
      </c>
      <c r="O108" s="3">
        <f t="shared" si="43"/>
        <v>13035793.684050087</v>
      </c>
      <c r="P108" s="3">
        <f>P89+P80+P64+P56+P48+P39+P30+P21+P12</f>
        <v>132594505.22969182</v>
      </c>
      <c r="Q108" s="6"/>
    </row>
    <row r="109" spans="1:19">
      <c r="A109" s="4"/>
      <c r="C109" s="6"/>
      <c r="D109" s="3">
        <f>D62+D54+D46+D37+D28+D19</f>
        <v>6982218.9628609549</v>
      </c>
      <c r="E109" s="3">
        <f>E62+E54+E46+E37+E28+E19</f>
        <v>4112629.6777597396</v>
      </c>
      <c r="F109" s="3">
        <f>F62+F54+F46+F37+F28+F19</f>
        <v>2020053.9170128419</v>
      </c>
      <c r="G109" s="3">
        <f>G62+G54+G46+G37+G28+G19</f>
        <v>1734260.1808545445</v>
      </c>
      <c r="H109" s="3">
        <f t="shared" ref="H109:P109" si="44">H62+H54+H46+H37+H28+H19</f>
        <v>1895723.9966289767</v>
      </c>
      <c r="I109" s="3">
        <f t="shared" si="44"/>
        <v>1919919.1172605176</v>
      </c>
      <c r="J109" s="3">
        <f t="shared" si="44"/>
        <v>3099921.7521362798</v>
      </c>
      <c r="K109" s="3">
        <f t="shared" si="44"/>
        <v>8220794.5724572185</v>
      </c>
      <c r="L109" s="3">
        <f t="shared" si="44"/>
        <v>13532727.545907762</v>
      </c>
      <c r="M109" s="3">
        <f t="shared" si="44"/>
        <v>16482301.918303896</v>
      </c>
      <c r="N109" s="3">
        <f t="shared" si="44"/>
        <v>16228082.105095781</v>
      </c>
      <c r="O109" s="3">
        <f t="shared" si="44"/>
        <v>11412264.325620897</v>
      </c>
      <c r="P109" s="3">
        <f t="shared" si="44"/>
        <v>87640898.071899414</v>
      </c>
      <c r="Q109" s="6"/>
    </row>
    <row r="110" spans="1:19">
      <c r="A110" s="4"/>
      <c r="D110" s="3"/>
      <c r="Q110" s="6"/>
    </row>
    <row r="111" spans="1:19">
      <c r="A111" s="4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43"/>
    </row>
    <row r="112" spans="1:19">
      <c r="A112" s="4"/>
      <c r="B112" s="2" t="s">
        <v>576</v>
      </c>
      <c r="D112" s="6">
        <f>(D12+D21+D39)-('Test Year Monthly - (Pres)'!D12+'Test Year Monthly - (Pres)'!D21+'Test Year Monthly - (Pres)'!D39)</f>
        <v>2185530.8774090242</v>
      </c>
      <c r="E112" s="6">
        <f>(E12+E21+E39)-('Test Year Monthly - (Pres)'!E12+'Test Year Monthly - (Pres)'!E21+'Test Year Monthly - (Pres)'!E39)</f>
        <v>1665159.244804672</v>
      </c>
      <c r="F112" s="6">
        <f>(F12+F21+F39)-('Test Year Monthly - (Pres)'!F12+'Test Year Monthly - (Pres)'!F21+'Test Year Monthly - (Pres)'!F39)</f>
        <v>1368310.5663047852</v>
      </c>
      <c r="G112" s="6">
        <f>(G12+G21+G39)-('Test Year Monthly - (Pres)'!G12+'Test Year Monthly - (Pres)'!G21+'Test Year Monthly - (Pres)'!G39)</f>
        <v>1320368.2265086677</v>
      </c>
      <c r="H112" s="6">
        <f>(H12+H21+H39)-('Test Year Monthly - (Pres)'!H12+'Test Year Monthly - (Pres)'!H21+'Test Year Monthly - (Pres)'!H39)</f>
        <v>1319281.0946847992</v>
      </c>
      <c r="I112" s="6">
        <f>(I12+I21+I39)-('Test Year Monthly - (Pres)'!I12+'Test Year Monthly - (Pres)'!I21+'Test Year Monthly - (Pres)'!I39)</f>
        <v>1310304.5256639421</v>
      </c>
      <c r="J112" s="6">
        <f>(J12+J21+J39)-('Test Year Monthly - (Pres)'!J12+'Test Year Monthly - (Pres)'!J21+'Test Year Monthly - (Pres)'!J39)</f>
        <v>1475611.4578802092</v>
      </c>
      <c r="K112" s="6">
        <f>(K12+K21+K39)-('Test Year Monthly - (Pres)'!K12+'Test Year Monthly - (Pres)'!K21+'Test Year Monthly - (Pres)'!K39)</f>
        <v>2184614.2103205649</v>
      </c>
      <c r="L112" s="6">
        <f>(L12+L21+L39)-('Test Year Monthly - (Pres)'!L12+'Test Year Monthly - (Pres)'!L21+'Test Year Monthly - (Pres)'!L39)</f>
        <v>2902818.6631048452</v>
      </c>
      <c r="M112" s="6">
        <f>(M12+M21+M39)-('Test Year Monthly - (Pres)'!M12+'Test Year Monthly - (Pres)'!M21+'Test Year Monthly - (Pres)'!M39)</f>
        <v>3271554.6415787265</v>
      </c>
      <c r="N112" s="6">
        <f>(N12+N21+N39)-('Test Year Monthly - (Pres)'!N12+'Test Year Monthly - (Pres)'!N21+'Test Year Monthly - (Pres)'!N39)</f>
        <v>3450018.0322594699</v>
      </c>
      <c r="O112" s="6">
        <f>(O12+O21+O39)-('Test Year Monthly - (Pres)'!O12+'Test Year Monthly - (Pres)'!O21+'Test Year Monthly - (Pres)'!O39)</f>
        <v>2764597.4360782392</v>
      </c>
      <c r="P112" s="6"/>
    </row>
    <row r="114" spans="2:16">
      <c r="B114" s="2" t="s">
        <v>363</v>
      </c>
      <c r="D114" s="6">
        <f>D17+D26+D35+D44</f>
        <v>1506710.8227619021</v>
      </c>
      <c r="E114" s="6">
        <f t="shared" ref="E114:O114" si="45">E17+E26+E35+E44</f>
        <v>818886.85352635011</v>
      </c>
      <c r="F114" s="6">
        <f t="shared" si="45"/>
        <v>395397.09832098981</v>
      </c>
      <c r="G114" s="6">
        <f t="shared" si="45"/>
        <v>344607.87736031122</v>
      </c>
      <c r="H114" s="6">
        <f t="shared" si="45"/>
        <v>349731.05274283863</v>
      </c>
      <c r="I114" s="6">
        <f t="shared" si="45"/>
        <v>352082.70689869771</v>
      </c>
      <c r="J114" s="6">
        <f t="shared" si="45"/>
        <v>575795.91692280897</v>
      </c>
      <c r="K114" s="6">
        <f t="shared" si="45"/>
        <v>1529674.2444560339</v>
      </c>
      <c r="L114" s="6">
        <f t="shared" si="45"/>
        <v>2520502.7481897827</v>
      </c>
      <c r="M114" s="6">
        <f t="shared" si="45"/>
        <v>3073860.1712784241</v>
      </c>
      <c r="N114" s="6">
        <f t="shared" si="45"/>
        <v>3300342.2415903243</v>
      </c>
      <c r="O114" s="6">
        <f t="shared" si="45"/>
        <v>2313202.0535355792</v>
      </c>
      <c r="P114" s="6">
        <f>SUM(D114:O114)</f>
        <v>17080793.787584044</v>
      </c>
    </row>
  </sheetData>
  <mergeCells count="5">
    <mergeCell ref="O3:P3"/>
    <mergeCell ref="A4:P4"/>
    <mergeCell ref="A5:P5"/>
    <mergeCell ref="A6:P6"/>
    <mergeCell ref="A7:P7"/>
  </mergeCells>
  <printOptions horizontalCentered="1"/>
  <pageMargins left="0.25" right="0.25" top="0.75" bottom="0.75" header="0.3" footer="0.3"/>
  <pageSetup scale="70" orientation="landscape" r:id="rId1"/>
  <headerFooter alignWithMargins="0">
    <oddFooter>&amp;C&amp;A&amp;RPage &amp;P</oddFooter>
  </headerFooter>
  <rowBreaks count="1" manualBreakCount="1">
    <brk id="55" max="15" man="1"/>
  </rowBreaks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2"/>
  <dimension ref="A1:AU156"/>
  <sheetViews>
    <sheetView topLeftCell="R15" zoomScaleNormal="100" workbookViewId="0">
      <selection activeCell="D50" sqref="D50"/>
    </sheetView>
  </sheetViews>
  <sheetFormatPr defaultColWidth="11.140625" defaultRowHeight="15.75"/>
  <cols>
    <col min="1" max="1" width="6.42578125" style="122" customWidth="1"/>
    <col min="2" max="2" width="26.5703125" style="122" customWidth="1"/>
    <col min="3" max="3" width="15.42578125" style="122" customWidth="1"/>
    <col min="4" max="4" width="16" style="122" customWidth="1"/>
    <col min="5" max="5" width="13.140625" style="122" customWidth="1"/>
    <col min="6" max="6" width="15.140625" style="122" customWidth="1"/>
    <col min="7" max="7" width="12.42578125" style="122" customWidth="1"/>
    <col min="8" max="8" width="13.42578125" style="122" customWidth="1"/>
    <col min="9" max="9" width="13.28515625" style="122" customWidth="1"/>
    <col min="10" max="10" width="16" style="122" customWidth="1"/>
    <col min="11" max="11" width="14.28515625" style="122" customWidth="1"/>
    <col min="12" max="13" width="14.5703125" style="122" customWidth="1"/>
    <col min="14" max="14" width="16" style="122" customWidth="1"/>
    <col min="15" max="15" width="15.85546875" style="122" bestFit="1" customWidth="1"/>
    <col min="16" max="16" width="18" style="122" bestFit="1" customWidth="1"/>
    <col min="17" max="18" width="14.42578125" style="122" customWidth="1"/>
    <col min="19" max="19" width="14.85546875" style="122" bestFit="1" customWidth="1"/>
    <col min="20" max="20" width="16" style="122" bestFit="1" customWidth="1"/>
    <col min="21" max="21" width="14.140625" style="122" bestFit="1" customWidth="1"/>
    <col min="22" max="26" width="14.5703125" style="122" customWidth="1"/>
    <col min="27" max="27" width="13.5703125" style="122" bestFit="1" customWidth="1"/>
    <col min="28" max="28" width="15.42578125" style="122" bestFit="1" customWidth="1"/>
    <col min="29" max="30" width="13.85546875" style="122" bestFit="1" customWidth="1"/>
    <col min="31" max="31" width="15.42578125" style="122" bestFit="1" customWidth="1"/>
    <col min="32" max="33" width="15.42578125" style="122" customWidth="1"/>
    <col min="34" max="37" width="12.5703125" style="122" customWidth="1"/>
    <col min="38" max="38" width="30.140625" style="122" bestFit="1" customWidth="1"/>
    <col min="39" max="39" width="13.42578125" style="122" bestFit="1" customWidth="1"/>
    <col min="40" max="40" width="12.5703125" style="122" customWidth="1"/>
    <col min="41" max="41" width="13.42578125" style="122" bestFit="1" customWidth="1"/>
    <col min="42" max="42" width="15" style="122" bestFit="1" customWidth="1"/>
    <col min="43" max="43" width="12.5703125" style="122" bestFit="1" customWidth="1"/>
    <col min="44" max="46" width="15.85546875" style="122" bestFit="1" customWidth="1"/>
    <col min="47" max="47" width="15.28515625" style="122" bestFit="1" customWidth="1"/>
    <col min="48" max="16384" width="11.140625" style="122"/>
  </cols>
  <sheetData>
    <row r="1" spans="1:46">
      <c r="A1" s="121"/>
      <c r="B1" s="121" t="s">
        <v>138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O1" s="121"/>
      <c r="P1" s="121"/>
      <c r="Q1" s="499">
        <v>45551.477760185182</v>
      </c>
      <c r="R1" s="121"/>
      <c r="T1" s="629"/>
      <c r="U1" s="631"/>
      <c r="AC1" s="123" t="s">
        <v>171</v>
      </c>
      <c r="AD1" s="124"/>
      <c r="AE1" s="125"/>
      <c r="AF1" s="126"/>
      <c r="AG1" s="127"/>
      <c r="AH1" s="127"/>
      <c r="AL1" s="582"/>
      <c r="AM1" s="684" t="s">
        <v>705</v>
      </c>
      <c r="AN1" s="684"/>
      <c r="AO1" s="685" t="s">
        <v>706</v>
      </c>
      <c r="AP1" s="684"/>
      <c r="AQ1" s="582"/>
      <c r="AR1" s="582"/>
      <c r="AS1" s="582"/>
      <c r="AT1" s="582"/>
    </row>
    <row r="2" spans="1:46">
      <c r="A2" s="121"/>
      <c r="B2" s="661" t="s">
        <v>677</v>
      </c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130" t="s">
        <v>139</v>
      </c>
      <c r="R2" s="121"/>
      <c r="S2" s="121"/>
      <c r="AC2" s="121" t="s">
        <v>172</v>
      </c>
      <c r="AD2" s="124"/>
      <c r="AE2" s="125" t="s">
        <v>160</v>
      </c>
      <c r="AF2" s="126"/>
      <c r="AG2" s="407"/>
      <c r="AH2" s="127"/>
      <c r="AL2" s="582"/>
      <c r="AM2" s="591" t="s">
        <v>18</v>
      </c>
      <c r="AN2" s="591" t="s">
        <v>18</v>
      </c>
      <c r="AO2" s="617" t="s">
        <v>18</v>
      </c>
      <c r="AP2" s="591" t="s">
        <v>18</v>
      </c>
      <c r="AQ2" s="582"/>
      <c r="AR2" s="582"/>
      <c r="AS2" s="582"/>
      <c r="AT2" s="582"/>
    </row>
    <row r="3" spans="1:46" ht="16.5" thickBot="1">
      <c r="A3" s="121"/>
      <c r="B3" s="661" t="s">
        <v>140</v>
      </c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121"/>
      <c r="R3" s="121"/>
      <c r="S3" s="121"/>
      <c r="AC3" s="128" t="s">
        <v>161</v>
      </c>
      <c r="AD3" s="124"/>
      <c r="AE3" s="125"/>
      <c r="AF3" s="126"/>
      <c r="AG3" s="407">
        <f>+G23</f>
        <v>1.5483</v>
      </c>
      <c r="AH3" s="407">
        <f>+J23</f>
        <v>2.2951000000000001</v>
      </c>
      <c r="AL3" s="592" t="s">
        <v>26</v>
      </c>
      <c r="AM3" s="593" t="s">
        <v>315</v>
      </c>
      <c r="AN3" s="593" t="s">
        <v>21</v>
      </c>
      <c r="AO3" s="618" t="s">
        <v>315</v>
      </c>
      <c r="AP3" s="593" t="s">
        <v>21</v>
      </c>
      <c r="AQ3" s="582"/>
      <c r="AR3" s="582"/>
      <c r="AS3" s="582"/>
      <c r="AT3" s="582"/>
    </row>
    <row r="4" spans="1:46">
      <c r="A4" s="121"/>
      <c r="B4" s="661" t="str">
        <f>'Monthly Forecast'!G5</f>
        <v>TEST YEAR ENDING MARCH 31 2026</v>
      </c>
      <c r="C4" s="661"/>
      <c r="D4" s="661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121"/>
      <c r="R4" s="121"/>
      <c r="S4" s="121"/>
      <c r="AC4" s="128" t="s">
        <v>162</v>
      </c>
      <c r="AD4" s="124"/>
      <c r="AE4" s="125"/>
      <c r="AF4" s="126"/>
      <c r="AG4" s="407">
        <f>+G24</f>
        <v>1.0762</v>
      </c>
      <c r="AH4" s="407">
        <f>+J24</f>
        <v>1.5952999999999999</v>
      </c>
      <c r="AL4" s="594" t="s">
        <v>29</v>
      </c>
      <c r="AM4" s="595">
        <f>'Test Year Monthly - (Pres)'!P12</f>
        <v>52550517.162381545</v>
      </c>
      <c r="AN4" s="596"/>
      <c r="AO4" s="619">
        <f>'Test Year Monthly - (Prop)'!P12</f>
        <v>70948139.379959881</v>
      </c>
      <c r="AP4" s="596"/>
      <c r="AQ4" s="582"/>
      <c r="AR4" s="582"/>
      <c r="AS4" s="582"/>
      <c r="AT4" s="582"/>
    </row>
    <row r="5" spans="1:46">
      <c r="A5" s="121"/>
      <c r="B5" s="121"/>
      <c r="C5" s="121"/>
      <c r="D5" s="121"/>
      <c r="E5" s="131"/>
      <c r="F5" s="121"/>
      <c r="G5" s="121"/>
      <c r="H5" s="121"/>
      <c r="I5"/>
      <c r="J5"/>
      <c r="K5" s="121"/>
      <c r="L5" s="124"/>
      <c r="M5" s="131"/>
      <c r="N5" s="121"/>
      <c r="O5" s="121"/>
      <c r="P5" s="121"/>
      <c r="Q5" s="121"/>
      <c r="R5" s="121"/>
      <c r="S5" s="121"/>
      <c r="AC5" s="128" t="s">
        <v>163</v>
      </c>
      <c r="AD5" s="124"/>
      <c r="AE5" s="124"/>
      <c r="AF5" s="126"/>
      <c r="AG5" s="407">
        <f>+G25</f>
        <v>0.88880000000000003</v>
      </c>
      <c r="AH5" s="407">
        <f>+J25</f>
        <v>1.3174999999999999</v>
      </c>
      <c r="AL5" s="597" t="s">
        <v>22</v>
      </c>
      <c r="AM5" s="598">
        <f>'Test Year Monthly - (Pres)'!P13</f>
        <v>1925523</v>
      </c>
      <c r="AN5" s="598">
        <f>'Test Year Monthly - (Pres)'!Q13</f>
        <v>37162593.899999999</v>
      </c>
      <c r="AO5" s="620">
        <f>'Test Year Monthly - (Prop)'!P13</f>
        <v>1925523</v>
      </c>
      <c r="AP5" s="598">
        <f>'Test Year Monthly - (Prop)'!Q13</f>
        <v>48138075</v>
      </c>
      <c r="AQ5" s="582"/>
      <c r="AR5" s="582"/>
      <c r="AS5" s="582"/>
      <c r="AT5" s="582"/>
    </row>
    <row r="6" spans="1:46">
      <c r="A6" s="128" t="s">
        <v>11</v>
      </c>
      <c r="B6" s="121"/>
      <c r="C6" s="128"/>
      <c r="D6" s="121"/>
      <c r="E6" s="128" t="s">
        <v>588</v>
      </c>
      <c r="F6" s="128" t="s">
        <v>589</v>
      </c>
      <c r="G6" s="128" t="s">
        <v>590</v>
      </c>
      <c r="H6" s="128" t="s">
        <v>680</v>
      </c>
      <c r="I6" s="128" t="s">
        <v>681</v>
      </c>
      <c r="J6" s="128" t="s">
        <v>682</v>
      </c>
      <c r="K6" s="128" t="s">
        <v>591</v>
      </c>
      <c r="L6" s="128"/>
      <c r="M6" s="121"/>
      <c r="N6" s="128" t="s">
        <v>189</v>
      </c>
      <c r="O6" s="128"/>
      <c r="P6" s="128" t="s">
        <v>143</v>
      </c>
      <c r="Q6" s="128"/>
      <c r="R6" s="128"/>
      <c r="S6" s="128"/>
      <c r="AC6" s="128" t="s">
        <v>167</v>
      </c>
      <c r="AD6" s="124"/>
      <c r="AE6" s="124"/>
      <c r="AF6" s="136"/>
      <c r="AG6" s="407">
        <f>+G31</f>
        <v>0.95569999999999999</v>
      </c>
      <c r="AH6" s="407">
        <f>+J31</f>
        <v>1.2955999999999999</v>
      </c>
      <c r="AL6" s="597" t="s">
        <v>23</v>
      </c>
      <c r="AM6" s="598">
        <f>'Test Year Monthly - (Pres)'!P14</f>
        <v>9938592.8194675054</v>
      </c>
      <c r="AN6" s="598">
        <f>'Test Year Monthly - (Pres)'!Q14</f>
        <v>15387923.262381539</v>
      </c>
      <c r="AO6" s="620">
        <f>'Test Year Monthly - (Prop)'!P14</f>
        <v>9938592.8194675054</v>
      </c>
      <c r="AP6" s="598">
        <f>'Test Year Monthly - (Prop)'!Q14</f>
        <v>22810064</v>
      </c>
      <c r="AQ6" s="582"/>
      <c r="AR6" s="582"/>
      <c r="AS6" s="582"/>
      <c r="AT6" s="582"/>
    </row>
    <row r="7" spans="1:46">
      <c r="A7" s="134" t="s">
        <v>16</v>
      </c>
      <c r="B7" s="135" t="s">
        <v>144</v>
      </c>
      <c r="C7" s="134"/>
      <c r="D7" s="134" t="s">
        <v>145</v>
      </c>
      <c r="E7" s="134" t="s">
        <v>381</v>
      </c>
      <c r="F7" s="134" t="s">
        <v>5</v>
      </c>
      <c r="G7" s="134" t="s">
        <v>5</v>
      </c>
      <c r="H7" s="134" t="s">
        <v>381</v>
      </c>
      <c r="I7" s="134" t="s">
        <v>5</v>
      </c>
      <c r="J7" s="134" t="s">
        <v>5</v>
      </c>
      <c r="K7" s="134" t="s">
        <v>381</v>
      </c>
      <c r="L7" s="135" t="s">
        <v>144</v>
      </c>
      <c r="M7" s="134"/>
      <c r="N7" s="134" t="s">
        <v>146</v>
      </c>
      <c r="O7" s="134" t="s">
        <v>147</v>
      </c>
      <c r="P7" s="134" t="s">
        <v>146</v>
      </c>
      <c r="Q7" s="137" t="s">
        <v>147</v>
      </c>
      <c r="R7" s="128"/>
      <c r="S7" s="128"/>
      <c r="AC7" s="128" t="s">
        <v>163</v>
      </c>
      <c r="AD7" s="124"/>
      <c r="AE7" s="124"/>
      <c r="AF7" s="136"/>
      <c r="AG7" s="407">
        <f>+G32</f>
        <v>0.78369999999999995</v>
      </c>
      <c r="AH7" s="407">
        <f>+J32</f>
        <v>1.0624</v>
      </c>
      <c r="AL7" s="597" t="s">
        <v>24</v>
      </c>
      <c r="AM7" s="598">
        <f>'Test Year Monthly - (Pres)'!P15</f>
        <v>0</v>
      </c>
      <c r="AN7" s="598">
        <f>'Test Year Monthly - (Pres)'!Q15</f>
        <v>0</v>
      </c>
      <c r="AO7" s="620">
        <f>'Test Year Monthly - (Prop)'!P15</f>
        <v>0</v>
      </c>
      <c r="AP7" s="598">
        <f>'Test Year Monthly - (Prop)'!Q15</f>
        <v>0</v>
      </c>
      <c r="AQ7" s="582"/>
      <c r="AR7" s="582"/>
      <c r="AS7" s="582"/>
      <c r="AT7" s="582"/>
    </row>
    <row r="8" spans="1:46">
      <c r="B8" s="121"/>
      <c r="C8" s="128" t="s">
        <v>12</v>
      </c>
      <c r="D8" s="128" t="s">
        <v>13</v>
      </c>
      <c r="E8" s="128" t="s">
        <v>14</v>
      </c>
      <c r="F8" s="128" t="s">
        <v>15</v>
      </c>
      <c r="G8" s="128" t="s">
        <v>80</v>
      </c>
      <c r="H8" s="128" t="s">
        <v>81</v>
      </c>
      <c r="I8" s="128" t="s">
        <v>82</v>
      </c>
      <c r="J8" s="128" t="s">
        <v>83</v>
      </c>
      <c r="K8" s="128" t="s">
        <v>84</v>
      </c>
      <c r="L8" s="128" t="s">
        <v>85</v>
      </c>
      <c r="M8" s="128" t="s">
        <v>86</v>
      </c>
      <c r="N8" s="128" t="s">
        <v>87</v>
      </c>
      <c r="O8" s="132" t="s">
        <v>88</v>
      </c>
      <c r="P8" s="128" t="s">
        <v>204</v>
      </c>
      <c r="Q8" s="132" t="s">
        <v>205</v>
      </c>
      <c r="R8" s="132"/>
      <c r="S8" s="132"/>
      <c r="AC8" s="408"/>
      <c r="AD8" s="124"/>
      <c r="AE8" s="124"/>
      <c r="AF8" s="126"/>
      <c r="AG8" s="123"/>
      <c r="AH8" s="133"/>
      <c r="AL8" s="597" t="s">
        <v>55</v>
      </c>
      <c r="AM8" s="598">
        <f>'Test Year Monthly - (Pres)'!P16</f>
        <v>0</v>
      </c>
      <c r="AN8" s="598">
        <f>'Test Year Monthly - (Pres)'!Q16</f>
        <v>0</v>
      </c>
      <c r="AO8" s="620">
        <f>'Test Year Monthly - (Prop)'!P16</f>
        <v>0</v>
      </c>
      <c r="AP8" s="598">
        <f>'Test Year Monthly - (Prop)'!Q16</f>
        <v>0</v>
      </c>
      <c r="AQ8" s="582"/>
      <c r="AR8" s="582"/>
      <c r="AS8" s="582"/>
      <c r="AT8" s="582"/>
    </row>
    <row r="9" spans="1:46">
      <c r="B9" s="121"/>
      <c r="C9" s="121"/>
      <c r="D9" s="121"/>
      <c r="E9" s="121"/>
      <c r="F9" s="371" t="s">
        <v>684</v>
      </c>
      <c r="G9" s="121"/>
      <c r="H9" s="121"/>
      <c r="I9" s="371" t="s">
        <v>684</v>
      </c>
      <c r="J9" s="121"/>
      <c r="K9" s="121"/>
      <c r="L9" s="124"/>
      <c r="M9" s="121"/>
      <c r="N9" s="121"/>
      <c r="O9" s="121"/>
      <c r="P9" s="121"/>
      <c r="Q9" s="121"/>
      <c r="R9" s="121"/>
      <c r="S9" s="121"/>
      <c r="AC9" s="121" t="s">
        <v>173</v>
      </c>
      <c r="AD9" s="124"/>
      <c r="AE9" s="125" t="s">
        <v>165</v>
      </c>
      <c r="AF9" s="136"/>
      <c r="AG9" s="133"/>
      <c r="AH9" s="133"/>
      <c r="AL9" s="599" t="s">
        <v>53</v>
      </c>
      <c r="AM9" s="600">
        <f>'Test Year Monthly - (Pres)'!P17</f>
        <v>9938592.8194675054</v>
      </c>
      <c r="AN9" s="600">
        <f>'Test Year Monthly - (Pres)'!Q17</f>
        <v>52550517.162381537</v>
      </c>
      <c r="AO9" s="621">
        <f>'Test Year Monthly - (Prop)'!P17</f>
        <v>9938592.8194675054</v>
      </c>
      <c r="AP9" s="600">
        <f>'Test Year Monthly - (Prop)'!Q17</f>
        <v>70948139</v>
      </c>
      <c r="AQ9" s="582"/>
      <c r="AR9" s="582"/>
      <c r="AS9" s="582"/>
      <c r="AT9" s="582"/>
    </row>
    <row r="10" spans="1:46">
      <c r="A10" s="121"/>
      <c r="B10" s="123"/>
      <c r="C10" s="121"/>
      <c r="D10" s="121"/>
      <c r="E10" s="121"/>
      <c r="F10" s="371" t="s">
        <v>685</v>
      </c>
      <c r="G10" s="121"/>
      <c r="H10" s="121"/>
      <c r="I10" s="371" t="s">
        <v>685</v>
      </c>
      <c r="J10" s="121"/>
      <c r="K10" s="123"/>
      <c r="L10" s="121"/>
      <c r="M10" s="121"/>
      <c r="N10" s="121"/>
      <c r="O10" s="121"/>
      <c r="P10" s="121"/>
      <c r="Q10" s="124"/>
      <c r="R10" s="124"/>
      <c r="S10" s="124"/>
      <c r="V10" s="138"/>
      <c r="AC10" s="121"/>
      <c r="AD10" s="128"/>
      <c r="AE10" s="121"/>
      <c r="AF10" s="121"/>
      <c r="AG10" s="128" t="s">
        <v>141</v>
      </c>
      <c r="AH10" s="128"/>
      <c r="AI10" s="128"/>
      <c r="AK10"/>
      <c r="AL10" s="597" t="s">
        <v>196</v>
      </c>
      <c r="AM10" s="601"/>
      <c r="AN10" s="601"/>
      <c r="AO10" s="622"/>
      <c r="AP10" s="601"/>
      <c r="AQ10" s="582"/>
      <c r="AR10" s="582"/>
      <c r="AS10" s="582"/>
      <c r="AT10" s="582"/>
    </row>
    <row r="11" spans="1:46">
      <c r="A11" s="128">
        <v>1</v>
      </c>
      <c r="B11" s="123" t="s">
        <v>148</v>
      </c>
      <c r="D11" s="124"/>
      <c r="F11" s="193"/>
      <c r="G11" s="124"/>
      <c r="H11" s="124"/>
      <c r="I11" s="124"/>
      <c r="J11" s="124"/>
      <c r="L11" s="123" t="s">
        <v>149</v>
      </c>
      <c r="M11" s="124"/>
      <c r="P11" s="124"/>
      <c r="Q11" s="139"/>
      <c r="R11"/>
      <c r="S11" s="139"/>
      <c r="V11"/>
      <c r="W11"/>
      <c r="X11"/>
      <c r="Y11"/>
      <c r="AC11" s="135" t="s">
        <v>144</v>
      </c>
      <c r="AD11" s="134"/>
      <c r="AE11" s="134" t="s">
        <v>145</v>
      </c>
      <c r="AF11" s="134"/>
      <c r="AG11" s="134" t="s">
        <v>5</v>
      </c>
      <c r="AH11" s="140" t="s">
        <v>339</v>
      </c>
      <c r="AI11" s="140" t="s">
        <v>322</v>
      </c>
      <c r="AJ11" s="140" t="s">
        <v>333</v>
      </c>
      <c r="AK11"/>
      <c r="AL11" s="597" t="s">
        <v>188</v>
      </c>
      <c r="AM11" s="602">
        <f>'Test Year Monthly - (Pres)'!P19</f>
        <v>50501238.238056242</v>
      </c>
      <c r="AN11" s="603"/>
      <c r="AO11" s="623">
        <f>'Test Year Monthly - (Prop)'!P19</f>
        <v>50501238.238056242</v>
      </c>
      <c r="AP11" s="603"/>
      <c r="AQ11" s="582"/>
      <c r="AR11" s="582"/>
      <c r="AS11" s="582"/>
      <c r="AT11" s="582"/>
    </row>
    <row r="12" spans="1:46">
      <c r="A12" s="128">
        <v>2</v>
      </c>
      <c r="B12" s="121" t="s">
        <v>656</v>
      </c>
      <c r="C12" s="126"/>
      <c r="D12" s="125" t="s">
        <v>6</v>
      </c>
      <c r="E12" s="500">
        <v>19.3</v>
      </c>
      <c r="F12" s="500">
        <v>0</v>
      </c>
      <c r="G12" s="500">
        <f>+E12+F12</f>
        <v>19.3</v>
      </c>
      <c r="H12" s="425">
        <f>G12+N61</f>
        <v>25</v>
      </c>
      <c r="I12" s="501">
        <f>F12</f>
        <v>0</v>
      </c>
      <c r="J12" s="501">
        <f>H12+I12</f>
        <v>25</v>
      </c>
      <c r="K12" s="127"/>
      <c r="L12" s="121" t="s">
        <v>151</v>
      </c>
      <c r="M12" s="125"/>
      <c r="N12" s="501">
        <v>3</v>
      </c>
      <c r="O12" s="501">
        <v>44</v>
      </c>
      <c r="P12" s="500">
        <f>N12</f>
        <v>3</v>
      </c>
      <c r="Q12" s="500">
        <f>O12</f>
        <v>44</v>
      </c>
      <c r="R12"/>
      <c r="S12"/>
      <c r="V12"/>
      <c r="W12"/>
      <c r="X12"/>
      <c r="Y12"/>
      <c r="AH12" s="142"/>
      <c r="AI12" s="142"/>
      <c r="AJ12" s="142"/>
      <c r="AK12"/>
      <c r="AL12" s="597"/>
      <c r="AM12" s="598"/>
      <c r="AN12" s="598"/>
      <c r="AO12" s="620"/>
      <c r="AP12" s="598"/>
      <c r="AQ12" s="582"/>
      <c r="AR12" s="582"/>
      <c r="AS12" s="582"/>
      <c r="AT12" s="582"/>
    </row>
    <row r="13" spans="1:46">
      <c r="A13" s="128">
        <v>3</v>
      </c>
      <c r="B13" s="121" t="s">
        <v>657</v>
      </c>
      <c r="C13" s="126"/>
      <c r="D13" s="125" t="s">
        <v>6</v>
      </c>
      <c r="E13" s="502">
        <v>66</v>
      </c>
      <c r="F13" s="502">
        <v>0</v>
      </c>
      <c r="G13" s="500">
        <f t="shared" ref="G13:G16" si="0">+E13+F13</f>
        <v>66</v>
      </c>
      <c r="H13" s="426">
        <f>G13+N62</f>
        <v>75</v>
      </c>
      <c r="I13" s="501">
        <f t="shared" ref="I13:I16" si="1">F13</f>
        <v>0</v>
      </c>
      <c r="J13" s="501">
        <f t="shared" ref="J13:J16" si="2">H13+I13</f>
        <v>75</v>
      </c>
      <c r="K13" s="143"/>
      <c r="L13" s="121" t="s">
        <v>190</v>
      </c>
      <c r="M13" s="125"/>
      <c r="N13" s="501">
        <v>3</v>
      </c>
      <c r="O13" s="501">
        <v>28</v>
      </c>
      <c r="P13" s="500">
        <f t="shared" ref="P13:Q19" si="3">N13</f>
        <v>3</v>
      </c>
      <c r="Q13" s="500">
        <f t="shared" si="3"/>
        <v>28</v>
      </c>
      <c r="R13"/>
      <c r="S13"/>
      <c r="V13"/>
      <c r="W13"/>
      <c r="X13"/>
      <c r="Y13"/>
      <c r="AC13" s="123" t="s">
        <v>148</v>
      </c>
      <c r="AD13" s="124"/>
      <c r="AE13" s="124"/>
      <c r="AH13" s="144"/>
      <c r="AI13" s="144"/>
      <c r="AJ13" s="144"/>
      <c r="AK13"/>
      <c r="AL13" s="594" t="s">
        <v>30</v>
      </c>
      <c r="AM13" s="595">
        <f>'Test Year Monthly - (Pres)'!P21</f>
        <v>22900358.899592608</v>
      </c>
      <c r="AN13" s="596"/>
      <c r="AO13" s="619">
        <f>'Test Year Monthly - (Prop)'!P21</f>
        <v>28904677.645826098</v>
      </c>
      <c r="AP13" s="596"/>
      <c r="AQ13" s="582"/>
      <c r="AR13" s="582"/>
      <c r="AS13" s="582"/>
      <c r="AT13" s="582"/>
    </row>
    <row r="14" spans="1:46">
      <c r="A14" s="128">
        <v>4</v>
      </c>
      <c r="B14" s="121" t="s">
        <v>471</v>
      </c>
      <c r="C14" s="126"/>
      <c r="D14" s="125" t="s">
        <v>466</v>
      </c>
      <c r="E14" s="502">
        <v>520</v>
      </c>
      <c r="F14" s="502">
        <v>0</v>
      </c>
      <c r="G14" s="500">
        <f t="shared" si="0"/>
        <v>520</v>
      </c>
      <c r="H14" s="427">
        <f>G14+N63</f>
        <v>685</v>
      </c>
      <c r="I14" s="501">
        <f t="shared" si="1"/>
        <v>0</v>
      </c>
      <c r="J14" s="501">
        <f t="shared" si="2"/>
        <v>685</v>
      </c>
      <c r="K14" s="143"/>
      <c r="L14" s="121" t="s">
        <v>191</v>
      </c>
      <c r="M14" s="125"/>
      <c r="N14" s="501">
        <v>3</v>
      </c>
      <c r="O14" s="501">
        <v>14</v>
      </c>
      <c r="P14" s="500">
        <f t="shared" si="3"/>
        <v>3</v>
      </c>
      <c r="Q14" s="500">
        <f t="shared" si="3"/>
        <v>14</v>
      </c>
      <c r="R14"/>
      <c r="S14"/>
      <c r="V14"/>
      <c r="W14"/>
      <c r="X14"/>
      <c r="Y14"/>
      <c r="AC14" s="121" t="s">
        <v>150</v>
      </c>
      <c r="AD14" s="124"/>
      <c r="AE14" s="125" t="s">
        <v>6</v>
      </c>
      <c r="AF14" s="126"/>
      <c r="AG14" s="503">
        <f>G12</f>
        <v>19.3</v>
      </c>
      <c r="AH14" s="414">
        <f>+$J$12</f>
        <v>25</v>
      </c>
      <c r="AI14" s="414"/>
      <c r="AJ14" s="414"/>
      <c r="AK14"/>
      <c r="AL14" s="597" t="s">
        <v>22</v>
      </c>
      <c r="AM14" s="598">
        <f>'Test Year Monthly - (Pres)'!P22</f>
        <v>220781</v>
      </c>
      <c r="AN14" s="598">
        <f>'Test Year Monthly - (Pres)'!Q22</f>
        <v>14571546</v>
      </c>
      <c r="AO14" s="620">
        <f>'Test Year Monthly - (Prop)'!P22</f>
        <v>220781</v>
      </c>
      <c r="AP14" s="598">
        <f>'Test Year Monthly - (Prop)'!Q22</f>
        <v>16558575</v>
      </c>
      <c r="AQ14" s="582"/>
      <c r="AR14" s="582"/>
      <c r="AS14" s="582"/>
      <c r="AT14" s="582"/>
    </row>
    <row r="15" spans="1:46">
      <c r="A15" s="128">
        <v>5</v>
      </c>
      <c r="B15" s="121" t="s">
        <v>468</v>
      </c>
      <c r="C15" s="126"/>
      <c r="D15" s="125" t="s">
        <v>467</v>
      </c>
      <c r="E15" s="502">
        <v>520</v>
      </c>
      <c r="F15" s="502">
        <v>0</v>
      </c>
      <c r="G15" s="500">
        <f t="shared" si="0"/>
        <v>520</v>
      </c>
      <c r="H15" s="500">
        <f>H14</f>
        <v>685</v>
      </c>
      <c r="I15" s="501">
        <f t="shared" si="1"/>
        <v>0</v>
      </c>
      <c r="J15" s="501">
        <f t="shared" si="2"/>
        <v>685</v>
      </c>
      <c r="K15" s="143"/>
      <c r="L15" s="121" t="s">
        <v>192</v>
      </c>
      <c r="M15" s="125"/>
      <c r="N15" s="501">
        <v>3</v>
      </c>
      <c r="O15" s="501">
        <v>47</v>
      </c>
      <c r="P15" s="500">
        <f t="shared" si="3"/>
        <v>3</v>
      </c>
      <c r="Q15" s="500">
        <f t="shared" si="3"/>
        <v>47</v>
      </c>
      <c r="R15"/>
      <c r="S15"/>
      <c r="V15"/>
      <c r="W15"/>
      <c r="X15"/>
      <c r="Y15"/>
      <c r="AC15" s="121" t="s">
        <v>152</v>
      </c>
      <c r="AD15" s="124"/>
      <c r="AE15" s="125" t="s">
        <v>153</v>
      </c>
      <c r="AF15" s="126"/>
      <c r="AG15" s="504">
        <f>H13</f>
        <v>75</v>
      </c>
      <c r="AH15" s="411">
        <f>+$J$13</f>
        <v>75</v>
      </c>
      <c r="AI15" s="411"/>
      <c r="AJ15" s="411"/>
      <c r="AK15"/>
      <c r="AL15" s="597" t="s">
        <v>23</v>
      </c>
      <c r="AM15" s="598">
        <f>'Test Year Monthly - (Pres)'!P23</f>
        <v>4859577.4000956351</v>
      </c>
      <c r="AN15" s="598">
        <f>'Test Year Monthly - (Pres)'!Q23</f>
        <v>7524083.6885680715</v>
      </c>
      <c r="AO15" s="620">
        <f>'Test Year Monthly - (Prop)'!P23</f>
        <v>4859577.4000956351</v>
      </c>
      <c r="AP15" s="598">
        <f>'Test Year Monthly - (Prop)'!Q23</f>
        <v>11153216</v>
      </c>
      <c r="AQ15" s="582"/>
      <c r="AR15" s="582"/>
      <c r="AS15" s="582"/>
      <c r="AT15" s="582"/>
    </row>
    <row r="16" spans="1:46">
      <c r="A16" s="128">
        <v>6</v>
      </c>
      <c r="B16" s="121" t="s">
        <v>470</v>
      </c>
      <c r="C16" s="126"/>
      <c r="D16" s="125" t="s">
        <v>469</v>
      </c>
      <c r="E16" s="502">
        <v>520</v>
      </c>
      <c r="F16" s="502">
        <v>0</v>
      </c>
      <c r="G16" s="500">
        <f t="shared" si="0"/>
        <v>520</v>
      </c>
      <c r="H16" s="500">
        <f>H15</f>
        <v>685</v>
      </c>
      <c r="I16" s="501">
        <f t="shared" si="1"/>
        <v>0</v>
      </c>
      <c r="J16" s="501">
        <f t="shared" si="2"/>
        <v>685</v>
      </c>
      <c r="K16" s="143"/>
      <c r="L16" s="121" t="s">
        <v>193</v>
      </c>
      <c r="M16" s="125"/>
      <c r="N16" s="501">
        <v>3</v>
      </c>
      <c r="O16" s="501">
        <v>60</v>
      </c>
      <c r="P16" s="500">
        <f t="shared" si="3"/>
        <v>3</v>
      </c>
      <c r="Q16" s="500">
        <f t="shared" si="3"/>
        <v>60</v>
      </c>
      <c r="R16"/>
      <c r="S16"/>
      <c r="V16"/>
      <c r="W16"/>
      <c r="X16"/>
      <c r="Y16"/>
      <c r="AC16" s="121" t="s">
        <v>154</v>
      </c>
      <c r="AD16" s="124"/>
      <c r="AE16" s="125" t="s">
        <v>155</v>
      </c>
      <c r="AF16" s="126"/>
      <c r="AG16" s="504">
        <f>H14</f>
        <v>685</v>
      </c>
      <c r="AH16" s="411">
        <f>+$J$14</f>
        <v>685</v>
      </c>
      <c r="AI16" s="411"/>
      <c r="AJ16" s="411"/>
      <c r="AK16"/>
      <c r="AL16" s="597" t="s">
        <v>24</v>
      </c>
      <c r="AM16" s="598">
        <f>'Test Year Monthly - (Pres)'!P24</f>
        <v>747750.61422090186</v>
      </c>
      <c r="AN16" s="598">
        <f>'Test Year Monthly - (Pres)'!Q24</f>
        <v>804729.21102453466</v>
      </c>
      <c r="AO16" s="620">
        <f>'Test Year Monthly - (Prop)'!P24</f>
        <v>747750.61422090186</v>
      </c>
      <c r="AP16" s="598">
        <f>'Test Year Monthly - (Prop)'!Q24</f>
        <v>1192887</v>
      </c>
      <c r="AQ16" s="582"/>
      <c r="AR16" s="582"/>
      <c r="AS16" s="582"/>
      <c r="AT16" s="582"/>
    </row>
    <row r="17" spans="1:46">
      <c r="A17" s="128">
        <v>7</v>
      </c>
      <c r="B17" s="123" t="s">
        <v>158</v>
      </c>
      <c r="C17" s="122" t="s">
        <v>494</v>
      </c>
      <c r="E17" s="345">
        <v>350</v>
      </c>
      <c r="F17" s="345">
        <v>350</v>
      </c>
      <c r="G17" s="502"/>
      <c r="H17" s="345"/>
      <c r="I17" s="346"/>
      <c r="J17" s="502"/>
      <c r="K17" s="145"/>
      <c r="L17" s="121" t="s">
        <v>166</v>
      </c>
      <c r="M17" s="125"/>
      <c r="N17" s="501">
        <v>0</v>
      </c>
      <c r="O17" s="505" t="s">
        <v>754</v>
      </c>
      <c r="P17" s="500">
        <f t="shared" si="3"/>
        <v>0</v>
      </c>
      <c r="Q17" s="506" t="str">
        <f t="shared" si="3"/>
        <v>N/A</v>
      </c>
      <c r="R17"/>
      <c r="S17"/>
      <c r="V17"/>
      <c r="W17"/>
      <c r="X17"/>
      <c r="Y17"/>
      <c r="AC17" s="121" t="s">
        <v>156</v>
      </c>
      <c r="AD17" s="124"/>
      <c r="AE17" s="125" t="s">
        <v>157</v>
      </c>
      <c r="AF17" s="126"/>
      <c r="AG17" s="504">
        <f>H15</f>
        <v>685</v>
      </c>
      <c r="AH17" s="411">
        <f>+$J$15</f>
        <v>685</v>
      </c>
      <c r="AI17" s="412"/>
      <c r="AJ17" s="411"/>
      <c r="AK17"/>
      <c r="AL17" s="597" t="s">
        <v>55</v>
      </c>
      <c r="AM17" s="598">
        <f>'Test Year Monthly - (Pres)'!P25</f>
        <v>0</v>
      </c>
      <c r="AN17" s="598">
        <f>'Test Year Monthly - (Pres)'!Q25</f>
        <v>0</v>
      </c>
      <c r="AO17" s="620">
        <f>'Test Year Monthly - (Prop)'!P25</f>
        <v>0</v>
      </c>
      <c r="AP17" s="598">
        <f>'Test Year Monthly - (Prop)'!Q25</f>
        <v>0</v>
      </c>
      <c r="AQ17" s="582"/>
      <c r="AR17" s="582"/>
      <c r="AS17" s="582"/>
      <c r="AT17" s="582"/>
    </row>
    <row r="18" spans="1:46">
      <c r="A18" s="128">
        <v>8</v>
      </c>
      <c r="B18" s="121" t="s">
        <v>654</v>
      </c>
      <c r="C18" s="126"/>
      <c r="D18" s="125" t="s">
        <v>6</v>
      </c>
      <c r="E18" s="127"/>
      <c r="F18" s="127"/>
      <c r="G18" s="127"/>
      <c r="H18" s="127"/>
      <c r="I18" s="127"/>
      <c r="J18" s="127"/>
      <c r="K18" s="145"/>
      <c r="L18" s="121" t="s">
        <v>194</v>
      </c>
      <c r="M18" s="125"/>
      <c r="N18" s="501">
        <v>20</v>
      </c>
      <c r="O18" s="505" t="s">
        <v>754</v>
      </c>
      <c r="P18" s="500">
        <f t="shared" si="3"/>
        <v>20</v>
      </c>
      <c r="Q18" s="506" t="str">
        <f t="shared" si="3"/>
        <v>N/A</v>
      </c>
      <c r="R18"/>
      <c r="S18"/>
      <c r="V18"/>
      <c r="W18"/>
      <c r="X18"/>
      <c r="Y18"/>
      <c r="AC18" s="121"/>
      <c r="AD18" s="124"/>
      <c r="AE18" s="125"/>
      <c r="AF18" s="126"/>
      <c r="AG18" s="143"/>
      <c r="AH18" s="412"/>
      <c r="AI18" s="412"/>
      <c r="AJ18" s="411"/>
      <c r="AK18"/>
      <c r="AL18" s="599" t="s">
        <v>53</v>
      </c>
      <c r="AM18" s="600">
        <f>'Test Year Monthly - (Pres)'!P26</f>
        <v>5607328.0143165365</v>
      </c>
      <c r="AN18" s="600">
        <f>'Test Year Monthly - (Pres)'!Q26</f>
        <v>22900358.899592604</v>
      </c>
      <c r="AO18" s="621">
        <f>'Test Year Monthly - (Prop)'!P26</f>
        <v>5607328.0143165365</v>
      </c>
      <c r="AP18" s="600">
        <f>'Test Year Monthly - (Prop)'!Q26</f>
        <v>28904678</v>
      </c>
      <c r="AQ18" s="582"/>
      <c r="AR18" s="582"/>
      <c r="AS18" s="582"/>
      <c r="AT18" s="582"/>
    </row>
    <row r="19" spans="1:46">
      <c r="A19" s="128">
        <v>9</v>
      </c>
      <c r="B19" s="128" t="s">
        <v>161</v>
      </c>
      <c r="C19" s="126">
        <f>+J19-G19</f>
        <v>0.74680000000000013</v>
      </c>
      <c r="E19" s="261">
        <v>1.5483</v>
      </c>
      <c r="F19" s="507">
        <v>0</v>
      </c>
      <c r="G19" s="261">
        <f>+E19+F19</f>
        <v>1.5483</v>
      </c>
      <c r="H19" s="428">
        <f>ROUND(E19*N59,4)</f>
        <v>2.2951000000000001</v>
      </c>
      <c r="I19" s="508">
        <f t="shared" ref="I19:I21" si="4">F19</f>
        <v>0</v>
      </c>
      <c r="J19" s="261">
        <f>H19+I19</f>
        <v>2.2951000000000001</v>
      </c>
      <c r="K19" s="145"/>
      <c r="L19" s="121" t="s">
        <v>168</v>
      </c>
      <c r="M19" s="103"/>
      <c r="N19" s="501">
        <v>4</v>
      </c>
      <c r="O19" s="505" t="s">
        <v>754</v>
      </c>
      <c r="P19" s="500">
        <f t="shared" si="3"/>
        <v>4</v>
      </c>
      <c r="Q19" s="506" t="str">
        <f t="shared" si="3"/>
        <v>N/A</v>
      </c>
      <c r="R19"/>
      <c r="S19"/>
      <c r="V19"/>
      <c r="W19"/>
      <c r="X19"/>
      <c r="Y19"/>
      <c r="AC19" s="121"/>
      <c r="AD19" s="124"/>
      <c r="AE19" s="125"/>
      <c r="AF19" s="126"/>
      <c r="AG19" s="143"/>
      <c r="AH19" s="412"/>
      <c r="AI19" s="412"/>
      <c r="AJ19" s="411"/>
      <c r="AK19"/>
      <c r="AL19" s="597" t="s">
        <v>196</v>
      </c>
      <c r="AM19" s="601"/>
      <c r="AN19" s="601"/>
      <c r="AO19" s="622"/>
      <c r="AP19" s="601"/>
      <c r="AQ19" s="582"/>
      <c r="AR19" s="582"/>
      <c r="AS19" s="582"/>
      <c r="AT19" s="582"/>
    </row>
    <row r="20" spans="1:46">
      <c r="A20" s="128">
        <v>10</v>
      </c>
      <c r="B20" s="128" t="s">
        <v>162</v>
      </c>
      <c r="C20" s="126">
        <f>+J20-G20</f>
        <v>0.51909999999999989</v>
      </c>
      <c r="D20" s="125"/>
      <c r="E20" s="261">
        <v>1.0762</v>
      </c>
      <c r="F20" s="507">
        <v>0</v>
      </c>
      <c r="G20" s="261">
        <f t="shared" ref="G20:G21" si="5">+E20+F20</f>
        <v>1.0762</v>
      </c>
      <c r="H20" s="509">
        <f>ROUND(E20/E19*H19,4)</f>
        <v>1.5952999999999999</v>
      </c>
      <c r="I20" s="508">
        <f t="shared" si="4"/>
        <v>0</v>
      </c>
      <c r="J20" s="261">
        <f t="shared" ref="J20:J21" si="6">H20+I20</f>
        <v>1.5952999999999999</v>
      </c>
      <c r="K20" s="145"/>
      <c r="L20" s="121" t="s">
        <v>658</v>
      </c>
      <c r="N20" s="510">
        <v>0</v>
      </c>
      <c r="O20" s="510">
        <v>0</v>
      </c>
      <c r="P20" s="511">
        <f t="shared" ref="P20:Q23" si="7">N20</f>
        <v>0</v>
      </c>
      <c r="Q20" s="511">
        <f t="shared" si="7"/>
        <v>0</v>
      </c>
      <c r="R20"/>
      <c r="S20"/>
      <c r="V20"/>
      <c r="W20"/>
      <c r="X20" s="630" t="s">
        <v>702</v>
      </c>
      <c r="Y20" s="121"/>
      <c r="Z20" s="121"/>
      <c r="AA20" s="121"/>
      <c r="AC20" s="121"/>
      <c r="AD20" s="124"/>
      <c r="AE20" s="125"/>
      <c r="AF20" s="126"/>
      <c r="AG20" s="143"/>
      <c r="AH20" s="412"/>
      <c r="AI20" s="412"/>
      <c r="AJ20" s="411"/>
      <c r="AK20"/>
      <c r="AL20" s="597" t="s">
        <v>188</v>
      </c>
      <c r="AM20" s="602">
        <f>'Test Year Monthly - (Pres)'!P28</f>
        <v>28493403.153488085</v>
      </c>
      <c r="AN20" s="603"/>
      <c r="AO20" s="623">
        <f>'Test Year Monthly - (Prop)'!P28</f>
        <v>28493403.153488085</v>
      </c>
      <c r="AP20" s="603"/>
      <c r="AQ20" s="582"/>
      <c r="AR20" s="582"/>
      <c r="AS20" s="582"/>
      <c r="AT20" s="582"/>
    </row>
    <row r="21" spans="1:46">
      <c r="A21" s="128">
        <v>11</v>
      </c>
      <c r="B21" s="128" t="s">
        <v>163</v>
      </c>
      <c r="C21" s="126">
        <f>+J21-G21</f>
        <v>0.42869999999999986</v>
      </c>
      <c r="D21" s="124"/>
      <c r="E21" s="261">
        <v>0.88880000000000003</v>
      </c>
      <c r="F21" s="507">
        <v>0</v>
      </c>
      <c r="G21" s="261">
        <f t="shared" si="5"/>
        <v>0.88880000000000003</v>
      </c>
      <c r="H21" s="509">
        <f>ROUND(E21/E20*H20,4)</f>
        <v>1.3174999999999999</v>
      </c>
      <c r="I21" s="508">
        <f t="shared" si="4"/>
        <v>0</v>
      </c>
      <c r="J21" s="261">
        <f t="shared" si="6"/>
        <v>1.3174999999999999</v>
      </c>
      <c r="K21" s="145"/>
      <c r="L21" s="121" t="s">
        <v>659</v>
      </c>
      <c r="M21" s="103"/>
      <c r="N21" s="510">
        <v>0.05</v>
      </c>
      <c r="O21" s="510">
        <v>0</v>
      </c>
      <c r="P21" s="277">
        <f t="shared" si="7"/>
        <v>0.05</v>
      </c>
      <c r="Q21" s="277">
        <f t="shared" si="7"/>
        <v>0</v>
      </c>
      <c r="R21"/>
      <c r="S21"/>
      <c r="V21"/>
      <c r="W21"/>
      <c r="X21" s="128" t="s">
        <v>701</v>
      </c>
      <c r="Y21" s="128" t="s">
        <v>141</v>
      </c>
      <c r="Z21" s="128" t="s">
        <v>584</v>
      </c>
      <c r="AA21" s="132" t="s">
        <v>183</v>
      </c>
      <c r="AC21" s="121"/>
      <c r="AD21" s="124"/>
      <c r="AE21" s="125"/>
      <c r="AF21" s="126"/>
      <c r="AG21" s="143"/>
      <c r="AH21" s="412"/>
      <c r="AI21" s="412"/>
      <c r="AJ21" s="411"/>
      <c r="AK21"/>
      <c r="AL21" s="597"/>
      <c r="AM21" s="598"/>
      <c r="AN21" s="598"/>
      <c r="AO21" s="620"/>
      <c r="AP21" s="598"/>
      <c r="AQ21" s="582"/>
      <c r="AR21" s="582"/>
      <c r="AS21" s="582"/>
      <c r="AT21" s="582"/>
    </row>
    <row r="22" spans="1:46">
      <c r="A22" s="128">
        <v>12</v>
      </c>
      <c r="B22" s="121" t="s">
        <v>655</v>
      </c>
      <c r="C22" s="126"/>
      <c r="D22" s="125" t="s">
        <v>6</v>
      </c>
      <c r="E22" s="127"/>
      <c r="F22" s="127"/>
      <c r="G22" s="127"/>
      <c r="H22" s="347"/>
      <c r="I22" s="368"/>
      <c r="J22" s="127"/>
      <c r="K22" s="127"/>
      <c r="L22" s="121" t="s">
        <v>169</v>
      </c>
      <c r="M22" s="260"/>
      <c r="N22" s="501">
        <v>75</v>
      </c>
      <c r="O22" s="505" t="s">
        <v>754</v>
      </c>
      <c r="P22" s="500">
        <f t="shared" si="7"/>
        <v>75</v>
      </c>
      <c r="Q22" s="506" t="str">
        <f t="shared" si="7"/>
        <v>N/A</v>
      </c>
      <c r="R22"/>
      <c r="S22"/>
      <c r="V22"/>
      <c r="W22" s="121" t="s">
        <v>655</v>
      </c>
      <c r="X22" s="121"/>
      <c r="Y22" s="121"/>
      <c r="Z22" s="121"/>
      <c r="AA22" s="121"/>
      <c r="AC22" s="128" t="s">
        <v>313</v>
      </c>
      <c r="AD22" s="124"/>
      <c r="AE22" s="125" t="s">
        <v>312</v>
      </c>
      <c r="AF22" s="126"/>
      <c r="AG22" s="410" t="s">
        <v>311</v>
      </c>
      <c r="AH22" s="413"/>
      <c r="AI22" s="418" t="s">
        <v>311</v>
      </c>
      <c r="AJ22" s="418" t="s">
        <v>311</v>
      </c>
      <c r="AK22"/>
      <c r="AL22" s="594" t="s">
        <v>54</v>
      </c>
      <c r="AM22" s="595">
        <f>'Test Year Monthly - (Pres)'!P30</f>
        <v>961468.21903747995</v>
      </c>
      <c r="AN22" s="596"/>
      <c r="AO22" s="619">
        <f>'Test Year Monthly - (Prop)'!P30</f>
        <v>1367588.7468689603</v>
      </c>
      <c r="AP22" s="596"/>
      <c r="AQ22" s="582"/>
      <c r="AR22" s="582"/>
      <c r="AS22" s="582"/>
      <c r="AT22" s="582"/>
    </row>
    <row r="23" spans="1:46">
      <c r="A23" s="128">
        <v>13</v>
      </c>
      <c r="B23" s="128" t="s">
        <v>161</v>
      </c>
      <c r="C23" s="126">
        <f>+J23-G23</f>
        <v>0.74680000000000013</v>
      </c>
      <c r="E23" s="261">
        <v>1.5483</v>
      </c>
      <c r="F23" s="507">
        <v>0</v>
      </c>
      <c r="G23" s="261">
        <f>+E23+F23</f>
        <v>1.5483</v>
      </c>
      <c r="H23" s="261">
        <f>H19</f>
        <v>2.2951000000000001</v>
      </c>
      <c r="I23" s="508">
        <f t="shared" ref="I23:I25" si="8">F23</f>
        <v>0</v>
      </c>
      <c r="J23" s="261">
        <f t="shared" ref="J23:J25" si="9">H23+I23</f>
        <v>2.2951000000000001</v>
      </c>
      <c r="K23" s="261"/>
      <c r="L23" s="121" t="s">
        <v>170</v>
      </c>
      <c r="M23" s="141"/>
      <c r="N23" s="501">
        <v>175</v>
      </c>
      <c r="O23" s="505" t="s">
        <v>754</v>
      </c>
      <c r="P23" s="500">
        <f t="shared" si="7"/>
        <v>175</v>
      </c>
      <c r="Q23" s="506" t="str">
        <f t="shared" si="7"/>
        <v>N/A</v>
      </c>
      <c r="R23"/>
      <c r="S23"/>
      <c r="V23"/>
      <c r="W23" s="128" t="s">
        <v>161</v>
      </c>
      <c r="X23" s="121">
        <v>3.2273999999999998</v>
      </c>
      <c r="Y23" s="632">
        <f>+X23+G23</f>
        <v>4.7756999999999996</v>
      </c>
      <c r="Z23" s="632">
        <f>+X23+J23</f>
        <v>5.5225</v>
      </c>
      <c r="AA23" s="278">
        <f>+(Z23-Y23)/Y23</f>
        <v>0.1563749816780787</v>
      </c>
      <c r="AH23" s="142"/>
      <c r="AI23" s="142"/>
      <c r="AJ23" s="142"/>
      <c r="AK23"/>
      <c r="AL23" s="597" t="s">
        <v>22</v>
      </c>
      <c r="AM23" s="598">
        <f>'Test Year Monthly - (Pres)'!P31</f>
        <v>2524</v>
      </c>
      <c r="AN23" s="598">
        <f>'Test Year Monthly - (Pres)'!Q31</f>
        <v>166584</v>
      </c>
      <c r="AO23" s="620">
        <f>'Test Year Monthly - (Prop)'!P31</f>
        <v>2524</v>
      </c>
      <c r="AP23" s="598">
        <f>'Test Year Monthly - (Prop)'!Q31</f>
        <v>189300</v>
      </c>
      <c r="AQ23" s="582"/>
      <c r="AR23" s="582"/>
      <c r="AS23" s="582"/>
      <c r="AT23" s="582"/>
    </row>
    <row r="24" spans="1:46">
      <c r="A24" s="128">
        <v>14</v>
      </c>
      <c r="B24" s="128" t="s">
        <v>162</v>
      </c>
      <c r="C24" s="126">
        <f>+J24-G24</f>
        <v>0.51909999999999989</v>
      </c>
      <c r="D24" s="125"/>
      <c r="E24" s="261">
        <v>1.0762</v>
      </c>
      <c r="F24" s="507">
        <v>0</v>
      </c>
      <c r="G24" s="261">
        <f t="shared" ref="G24:G29" si="10">+E24+F24</f>
        <v>1.0762</v>
      </c>
      <c r="H24" s="509">
        <f>ROUND(E24/E23*H23,4)</f>
        <v>1.5952999999999999</v>
      </c>
      <c r="I24" s="508">
        <f t="shared" si="8"/>
        <v>0</v>
      </c>
      <c r="J24" s="261">
        <f t="shared" si="9"/>
        <v>1.5952999999999999</v>
      </c>
      <c r="K24" s="277"/>
      <c r="L24" s="123"/>
      <c r="N24" s="344"/>
      <c r="O24" s="344"/>
      <c r="P24" s="344"/>
      <c r="Q24" s="344"/>
      <c r="R24"/>
      <c r="S24"/>
      <c r="V24"/>
      <c r="W24" s="128" t="s">
        <v>162</v>
      </c>
      <c r="X24" s="121">
        <f>+X23</f>
        <v>3.2273999999999998</v>
      </c>
      <c r="Y24" s="632">
        <f>+X24+G24</f>
        <v>4.3035999999999994</v>
      </c>
      <c r="Z24" s="632">
        <f>+X24+J24</f>
        <v>4.8226999999999993</v>
      </c>
      <c r="AA24" s="278">
        <f>+(Z24-Y24)/Y24</f>
        <v>0.1206199460916442</v>
      </c>
      <c r="AC24" s="121" t="s">
        <v>159</v>
      </c>
      <c r="AD24" s="124"/>
      <c r="AE24" s="125" t="s">
        <v>309</v>
      </c>
      <c r="AF24" s="126"/>
      <c r="AG24" s="127"/>
      <c r="AH24" s="414"/>
      <c r="AI24" s="414"/>
      <c r="AJ24" s="414"/>
      <c r="AK24"/>
      <c r="AL24" s="597" t="s">
        <v>23</v>
      </c>
      <c r="AM24" s="598">
        <f>'Test Year Monthly - (Pres)'!P32</f>
        <v>271548.57160000002</v>
      </c>
      <c r="AN24" s="598">
        <f>'Test Year Monthly - (Pres)'!Q32</f>
        <v>420438.65340828005</v>
      </c>
      <c r="AO24" s="620">
        <f>'Test Year Monthly - (Prop)'!P32</f>
        <v>271548.57160000002</v>
      </c>
      <c r="AP24" s="598">
        <f>'Test Year Monthly - (Prop)'!Q32</f>
        <v>623231</v>
      </c>
      <c r="AQ24" s="582"/>
      <c r="AR24" s="582"/>
      <c r="AS24" s="582"/>
      <c r="AT24" s="582"/>
    </row>
    <row r="25" spans="1:46">
      <c r="A25" s="128">
        <v>15</v>
      </c>
      <c r="B25" s="128" t="s">
        <v>163</v>
      </c>
      <c r="C25" s="126">
        <f>+J25-G25</f>
        <v>0.42869999999999986</v>
      </c>
      <c r="D25" s="124"/>
      <c r="E25" s="261">
        <v>0.88880000000000003</v>
      </c>
      <c r="F25" s="507">
        <v>0</v>
      </c>
      <c r="G25" s="261">
        <f t="shared" si="10"/>
        <v>0.88880000000000003</v>
      </c>
      <c r="H25" s="509">
        <f>ROUND(E25/E24*H24,4)</f>
        <v>1.3174999999999999</v>
      </c>
      <c r="I25" s="508">
        <f t="shared" si="8"/>
        <v>0</v>
      </c>
      <c r="J25" s="261">
        <f t="shared" si="9"/>
        <v>1.3174999999999999</v>
      </c>
      <c r="K25" s="261"/>
      <c r="L25"/>
      <c r="N25" s="342"/>
      <c r="O25" s="343"/>
      <c r="P25" s="342"/>
      <c r="Q25" s="343"/>
      <c r="R25"/>
      <c r="S25"/>
      <c r="V25"/>
      <c r="W25" s="128" t="s">
        <v>163</v>
      </c>
      <c r="X25" s="121">
        <f>+X24</f>
        <v>3.2273999999999998</v>
      </c>
      <c r="Y25" s="632">
        <f>+X25+G25</f>
        <v>4.1162000000000001</v>
      </c>
      <c r="Z25" s="632">
        <f>+X25+J25</f>
        <v>4.5449000000000002</v>
      </c>
      <c r="AA25" s="278">
        <f>+(Z25-Y25)/Y25</f>
        <v>0.10414945823818086</v>
      </c>
      <c r="AE25" s="125" t="s">
        <v>310</v>
      </c>
      <c r="AF25" s="126"/>
      <c r="AG25" s="407"/>
      <c r="AH25" s="414"/>
      <c r="AI25" s="414"/>
      <c r="AJ25" s="414"/>
      <c r="AK25"/>
      <c r="AL25" s="597" t="s">
        <v>24</v>
      </c>
      <c r="AM25" s="598">
        <f>'Test Year Monthly - (Pres)'!P33</f>
        <v>347933.06599999999</v>
      </c>
      <c r="AN25" s="598">
        <f>'Test Year Monthly - (Pres)'!Q33</f>
        <v>374445.56562920002</v>
      </c>
      <c r="AO25" s="620">
        <f>'Test Year Monthly - (Prop)'!P33</f>
        <v>347933.06599999999</v>
      </c>
      <c r="AP25" s="598">
        <f>'Test Year Monthly - (Prop)'!Q33</f>
        <v>555058</v>
      </c>
      <c r="AQ25" s="582"/>
      <c r="AR25" s="582"/>
      <c r="AS25" s="582"/>
      <c r="AT25" s="582"/>
    </row>
    <row r="26" spans="1:46">
      <c r="A26" s="128">
        <v>16</v>
      </c>
      <c r="B26" s="121" t="s">
        <v>468</v>
      </c>
      <c r="C26" s="126"/>
      <c r="D26" s="125" t="s">
        <v>467</v>
      </c>
      <c r="E26" s="127"/>
      <c r="F26" s="127"/>
      <c r="G26" s="127"/>
      <c r="H26" s="347"/>
      <c r="I26" s="368"/>
      <c r="J26" s="127"/>
      <c r="K26" s="127"/>
      <c r="L26"/>
      <c r="N26" s="342"/>
      <c r="O26" s="343"/>
      <c r="P26" s="342"/>
      <c r="Q26" s="343"/>
      <c r="R26"/>
      <c r="S26"/>
      <c r="T26" s="121" t="s">
        <v>575</v>
      </c>
      <c r="U26" s="121" t="s">
        <v>594</v>
      </c>
      <c r="V26"/>
      <c r="W26" s="121" t="s">
        <v>468</v>
      </c>
      <c r="X26" s="121"/>
      <c r="Y26" s="121"/>
      <c r="Z26" s="121"/>
      <c r="AA26" s="121"/>
      <c r="AC26" s="128" t="s">
        <v>161</v>
      </c>
      <c r="AD26" s="124"/>
      <c r="AF26" s="126"/>
      <c r="AG26" s="407">
        <f>G27</f>
        <v>1.5483</v>
      </c>
      <c r="AH26" s="413">
        <f>+$J$23</f>
        <v>2.2951000000000001</v>
      </c>
      <c r="AI26" s="413"/>
      <c r="AJ26" s="413"/>
      <c r="AK26"/>
      <c r="AL26" s="597" t="s">
        <v>55</v>
      </c>
      <c r="AM26" s="598">
        <f>'Test Year Monthly - (Pres)'!P34</f>
        <v>0</v>
      </c>
      <c r="AN26" s="598">
        <f>'Test Year Monthly - (Pres)'!Q34</f>
        <v>0</v>
      </c>
      <c r="AO26" s="620">
        <f>'Test Year Monthly - (Prop)'!P34</f>
        <v>0</v>
      </c>
      <c r="AP26" s="598">
        <f>'Test Year Monthly - (Prop)'!Q34</f>
        <v>0</v>
      </c>
      <c r="AQ26" s="582"/>
      <c r="AR26" s="582"/>
      <c r="AS26" s="582"/>
      <c r="AT26" s="582"/>
    </row>
    <row r="27" spans="1:46">
      <c r="A27" s="128">
        <v>17</v>
      </c>
      <c r="B27" s="128" t="s">
        <v>161</v>
      </c>
      <c r="C27" s="126"/>
      <c r="E27" s="507">
        <f>E23</f>
        <v>1.5483</v>
      </c>
      <c r="F27" s="507">
        <v>0</v>
      </c>
      <c r="G27" s="261">
        <f t="shared" si="10"/>
        <v>1.5483</v>
      </c>
      <c r="H27" s="347">
        <f>H23</f>
        <v>2.2951000000000001</v>
      </c>
      <c r="I27" s="508">
        <f t="shared" ref="I27:I29" si="11">F27</f>
        <v>0</v>
      </c>
      <c r="J27" s="261">
        <f t="shared" ref="J27:J29" si="12">H27+I27</f>
        <v>2.2951000000000001</v>
      </c>
      <c r="K27" s="261"/>
      <c r="M27" s="124"/>
      <c r="R27"/>
      <c r="S27"/>
      <c r="T27" s="633">
        <f>E27*0.75</f>
        <v>1.161225</v>
      </c>
      <c r="U27" s="633">
        <f>J27*0.75</f>
        <v>1.7213250000000002</v>
      </c>
      <c r="V27"/>
      <c r="W27" s="128" t="s">
        <v>161</v>
      </c>
      <c r="X27" s="121"/>
      <c r="Y27" s="632">
        <f>+X27+G27</f>
        <v>1.5483</v>
      </c>
      <c r="Z27" s="632">
        <f>+X27+J27</f>
        <v>2.2951000000000001</v>
      </c>
      <c r="AA27" s="278">
        <f>+(Z27-Y27)/Y27</f>
        <v>0.48233546470322297</v>
      </c>
      <c r="AC27" s="128" t="s">
        <v>162</v>
      </c>
      <c r="AD27" s="124"/>
      <c r="AE27" s="125"/>
      <c r="AF27" s="126"/>
      <c r="AG27" s="407">
        <f t="shared" ref="AG27:AG28" si="13">G28</f>
        <v>1.0762</v>
      </c>
      <c r="AH27" s="413">
        <f>+$J$24</f>
        <v>1.5952999999999999</v>
      </c>
      <c r="AI27" s="413"/>
      <c r="AJ27" s="413"/>
      <c r="AK27"/>
      <c r="AL27" s="599" t="s">
        <v>53</v>
      </c>
      <c r="AM27" s="600">
        <f>'Test Year Monthly - (Pres)'!P35</f>
        <v>619481.63760000002</v>
      </c>
      <c r="AN27" s="600">
        <f>'Test Year Monthly - (Pres)'!Q35</f>
        <v>961468.21903748019</v>
      </c>
      <c r="AO27" s="621">
        <f>'Test Year Monthly - (Prop)'!P35</f>
        <v>619481.63760000002</v>
      </c>
      <c r="AP27" s="600">
        <f>'Test Year Monthly - (Prop)'!Q35</f>
        <v>1367589</v>
      </c>
      <c r="AQ27" s="582"/>
      <c r="AR27" s="582"/>
      <c r="AS27" s="582"/>
      <c r="AT27" s="582"/>
    </row>
    <row r="28" spans="1:46">
      <c r="A28" s="128">
        <v>18</v>
      </c>
      <c r="B28" s="128" t="s">
        <v>162</v>
      </c>
      <c r="C28" s="126"/>
      <c r="D28" s="125"/>
      <c r="E28" s="507">
        <f t="shared" ref="E28:E29" si="14">E24</f>
        <v>1.0762</v>
      </c>
      <c r="F28" s="507">
        <v>0</v>
      </c>
      <c r="G28" s="261">
        <f t="shared" si="10"/>
        <v>1.0762</v>
      </c>
      <c r="H28" s="509">
        <f>ROUND(E28/E27*H27,4)</f>
        <v>1.5952999999999999</v>
      </c>
      <c r="I28" s="508">
        <f t="shared" si="11"/>
        <v>0</v>
      </c>
      <c r="J28" s="261">
        <f t="shared" si="12"/>
        <v>1.5952999999999999</v>
      </c>
      <c r="K28" s="261"/>
      <c r="L28" s="433"/>
      <c r="M28"/>
      <c r="N28"/>
      <c r="R28"/>
      <c r="S28"/>
      <c r="T28" s="633">
        <f>E28*0.75</f>
        <v>0.80715000000000003</v>
      </c>
      <c r="U28" s="633">
        <f>J28*0.75</f>
        <v>1.196475</v>
      </c>
      <c r="V28"/>
      <c r="W28" s="128" t="s">
        <v>162</v>
      </c>
      <c r="X28" s="121"/>
      <c r="Y28" s="632">
        <f>+X28+G28</f>
        <v>1.0762</v>
      </c>
      <c r="Z28" s="632">
        <f>+X28+J28</f>
        <v>1.5952999999999999</v>
      </c>
      <c r="AA28" s="278">
        <f>+(Z28-Y28)/Y28</f>
        <v>0.48234528897974344</v>
      </c>
      <c r="AC28" s="128" t="s">
        <v>163</v>
      </c>
      <c r="AD28" s="124"/>
      <c r="AE28" s="124"/>
      <c r="AF28" s="126"/>
      <c r="AG28" s="407">
        <f t="shared" si="13"/>
        <v>0.88880000000000003</v>
      </c>
      <c r="AH28" s="413">
        <f>+$J$25</f>
        <v>1.3174999999999999</v>
      </c>
      <c r="AI28" s="413"/>
      <c r="AJ28" s="413"/>
      <c r="AK28"/>
      <c r="AL28" s="597" t="s">
        <v>196</v>
      </c>
      <c r="AM28" s="601"/>
      <c r="AN28" s="601"/>
      <c r="AO28" s="622"/>
      <c r="AP28" s="601"/>
      <c r="AQ28" s="582"/>
      <c r="AR28" s="582"/>
      <c r="AS28" s="582"/>
      <c r="AT28" s="582"/>
    </row>
    <row r="29" spans="1:46">
      <c r="A29" s="128">
        <v>19</v>
      </c>
      <c r="B29" s="128" t="s">
        <v>163</v>
      </c>
      <c r="C29" s="126"/>
      <c r="D29" s="124"/>
      <c r="E29" s="507">
        <f t="shared" si="14"/>
        <v>0.88880000000000003</v>
      </c>
      <c r="F29" s="507">
        <v>0</v>
      </c>
      <c r="G29" s="261">
        <f t="shared" si="10"/>
        <v>0.88880000000000003</v>
      </c>
      <c r="H29" s="509">
        <f>ROUND(E29/E28*H28,4)</f>
        <v>1.3174999999999999</v>
      </c>
      <c r="I29" s="508">
        <f t="shared" si="11"/>
        <v>0</v>
      </c>
      <c r="J29" s="261">
        <f t="shared" si="12"/>
        <v>1.3174999999999999</v>
      </c>
      <c r="K29" s="261"/>
      <c r="L29"/>
      <c r="M29"/>
      <c r="N29"/>
      <c r="O29" s="262"/>
      <c r="R29"/>
      <c r="S29"/>
      <c r="T29" s="633">
        <f>E29*0.75</f>
        <v>0.66660000000000008</v>
      </c>
      <c r="U29" s="633">
        <f>J29*0.75</f>
        <v>0.98812499999999992</v>
      </c>
      <c r="V29"/>
      <c r="W29" s="128" t="s">
        <v>163</v>
      </c>
      <c r="X29" s="121"/>
      <c r="Y29" s="632">
        <f>+X29+G29</f>
        <v>0.88880000000000003</v>
      </c>
      <c r="Z29" s="632">
        <f>+X29+J29</f>
        <v>1.3174999999999999</v>
      </c>
      <c r="AA29" s="278">
        <f>+(Z29-Y29)/Y29</f>
        <v>0.48233573357335718</v>
      </c>
      <c r="AC29" s="408"/>
      <c r="AD29" s="124"/>
      <c r="AE29" s="124"/>
      <c r="AF29" s="126"/>
      <c r="AG29" s="123"/>
      <c r="AH29" s="415"/>
      <c r="AI29" s="415"/>
      <c r="AJ29" s="415"/>
      <c r="AK29"/>
      <c r="AL29" s="597" t="s">
        <v>188</v>
      </c>
      <c r="AM29" s="602">
        <f>'Test Year Monthly - (Pres)'!P37</f>
        <v>3149855.5427205926</v>
      </c>
      <c r="AN29" s="603"/>
      <c r="AO29" s="623">
        <f>'Test Year Monthly - (Prop)'!P37</f>
        <v>3149855.5427205926</v>
      </c>
      <c r="AP29" s="603"/>
      <c r="AQ29" s="582"/>
      <c r="AR29" s="582"/>
      <c r="AS29" s="582"/>
      <c r="AT29" s="582"/>
    </row>
    <row r="30" spans="1:46">
      <c r="A30" s="128">
        <v>20</v>
      </c>
      <c r="B30" s="121" t="s">
        <v>471</v>
      </c>
      <c r="C30" s="136"/>
      <c r="D30" s="125" t="s">
        <v>466</v>
      </c>
      <c r="E30" s="306"/>
      <c r="F30" s="306"/>
      <c r="G30" s="133"/>
      <c r="H30" s="347"/>
      <c r="I30" s="368"/>
      <c r="J30" s="133"/>
      <c r="K30" s="133"/>
      <c r="L30"/>
      <c r="M30"/>
      <c r="N30"/>
      <c r="O30" s="262"/>
      <c r="R30"/>
      <c r="S30"/>
      <c r="V30"/>
      <c r="W30" s="121" t="s">
        <v>471</v>
      </c>
      <c r="X30" s="121"/>
      <c r="Y30" s="121"/>
      <c r="Z30" s="121"/>
      <c r="AA30" s="121"/>
      <c r="AC30" s="408"/>
      <c r="AD30" s="124"/>
      <c r="AE30" s="124"/>
      <c r="AF30" s="126"/>
      <c r="AG30" s="123"/>
      <c r="AH30" s="415"/>
      <c r="AI30" s="415"/>
      <c r="AJ30" s="415"/>
      <c r="AK30"/>
      <c r="AL30" s="597"/>
      <c r="AM30" s="597"/>
      <c r="AN30" s="597"/>
      <c r="AO30" s="624"/>
      <c r="AP30" s="597"/>
      <c r="AQ30" s="582"/>
      <c r="AR30" s="582"/>
      <c r="AS30" s="582"/>
      <c r="AT30" s="582"/>
    </row>
    <row r="31" spans="1:46">
      <c r="A31" s="128">
        <v>21</v>
      </c>
      <c r="B31" s="128" t="s">
        <v>167</v>
      </c>
      <c r="C31" s="126">
        <f>+J31-G31</f>
        <v>0.33989999999999987</v>
      </c>
      <c r="D31" s="124"/>
      <c r="E31" s="507">
        <v>0.95569999999999999</v>
      </c>
      <c r="F31" s="507">
        <v>0</v>
      </c>
      <c r="G31" s="261">
        <f>+E31+F31</f>
        <v>0.95569999999999999</v>
      </c>
      <c r="H31" s="431">
        <f>H24-N60</f>
        <v>1.2955999999999999</v>
      </c>
      <c r="I31" s="508">
        <f t="shared" ref="I31:I32" si="15">F31</f>
        <v>0</v>
      </c>
      <c r="J31" s="261">
        <f t="shared" ref="J31:J32" si="16">H31+I31</f>
        <v>1.2955999999999999</v>
      </c>
      <c r="K31" s="261"/>
      <c r="L31" s="577"/>
      <c r="M31"/>
      <c r="N31"/>
      <c r="O31" s="262"/>
      <c r="R31"/>
      <c r="S31"/>
      <c r="V31"/>
      <c r="W31" s="128" t="s">
        <v>167</v>
      </c>
      <c r="X31" s="121">
        <v>2.0657000000000001</v>
      </c>
      <c r="Y31" s="632">
        <f>+X31+G31</f>
        <v>3.0213999999999999</v>
      </c>
      <c r="Z31" s="632">
        <f>+X31+J31</f>
        <v>3.3613</v>
      </c>
      <c r="AA31" s="278">
        <f>+(Z31-Y31)/Y31</f>
        <v>0.11249751770702326</v>
      </c>
      <c r="AC31" s="121" t="s">
        <v>164</v>
      </c>
      <c r="AD31" s="124"/>
      <c r="AE31" s="125" t="s">
        <v>165</v>
      </c>
      <c r="AF31" s="136"/>
      <c r="AG31" s="133"/>
      <c r="AH31" s="415"/>
      <c r="AI31" s="415"/>
      <c r="AJ31" s="415"/>
      <c r="AK31"/>
      <c r="AL31" s="594" t="s">
        <v>56</v>
      </c>
      <c r="AM31" s="595">
        <f>'Test Year Monthly - (Pres)'!P39</f>
        <v>2545224.8014074555</v>
      </c>
      <c r="AN31" s="596"/>
      <c r="AO31" s="619">
        <f>'Test Year Monthly - (Prop)'!P39</f>
        <v>3361452.8141935677</v>
      </c>
      <c r="AP31" s="596"/>
      <c r="AQ31" s="582"/>
      <c r="AR31" s="582"/>
      <c r="AS31" s="582"/>
      <c r="AT31" s="582"/>
    </row>
    <row r="32" spans="1:46">
      <c r="A32" s="128">
        <v>22</v>
      </c>
      <c r="B32" s="128" t="s">
        <v>163</v>
      </c>
      <c r="C32" s="126">
        <f>+J32-G32</f>
        <v>0.27870000000000006</v>
      </c>
      <c r="D32" s="124"/>
      <c r="E32" s="507">
        <v>0.78369999999999995</v>
      </c>
      <c r="F32" s="507">
        <v>0</v>
      </c>
      <c r="G32" s="261">
        <f>+E32+F32</f>
        <v>0.78369999999999995</v>
      </c>
      <c r="H32" s="509">
        <f>ROUND(E32/E31*H31,4)</f>
        <v>1.0624</v>
      </c>
      <c r="I32" s="508">
        <f t="shared" si="15"/>
        <v>0</v>
      </c>
      <c r="J32" s="261">
        <f t="shared" si="16"/>
        <v>1.0624</v>
      </c>
      <c r="K32" s="261"/>
      <c r="L32" s="433"/>
      <c r="M32"/>
      <c r="N32"/>
      <c r="O32" s="262"/>
      <c r="R32"/>
      <c r="S32"/>
      <c r="V32"/>
      <c r="W32" s="128" t="s">
        <v>163</v>
      </c>
      <c r="X32" s="121">
        <f>+X31</f>
        <v>2.0657000000000001</v>
      </c>
      <c r="Y32" s="632">
        <f>+X32+G32</f>
        <v>2.8494000000000002</v>
      </c>
      <c r="Z32" s="632">
        <f>+X32+J32</f>
        <v>3.1280999999999999</v>
      </c>
      <c r="AA32" s="278">
        <f>+(Z32-Y32)/Y32</f>
        <v>9.7810065276900296E-2</v>
      </c>
      <c r="AC32" s="128" t="s">
        <v>167</v>
      </c>
      <c r="AD32" s="124"/>
      <c r="AE32" s="124"/>
      <c r="AF32" s="136"/>
      <c r="AG32" s="407">
        <f>G31</f>
        <v>0.95569999999999999</v>
      </c>
      <c r="AH32" s="413">
        <f>+$J$31</f>
        <v>1.2955999999999999</v>
      </c>
      <c r="AI32" s="413"/>
      <c r="AJ32" s="413"/>
      <c r="AK32"/>
      <c r="AL32" s="597" t="s">
        <v>22</v>
      </c>
      <c r="AM32" s="598">
        <f>'Test Year Monthly - (Pres)'!P40</f>
        <v>18018</v>
      </c>
      <c r="AN32" s="598">
        <f>'Test Year Monthly - (Pres)'!Q40</f>
        <v>1189188</v>
      </c>
      <c r="AO32" s="620">
        <f>'Test Year Monthly - (Prop)'!P40</f>
        <v>18018</v>
      </c>
      <c r="AP32" s="598">
        <f>'Test Year Monthly - (Prop)'!Q40</f>
        <v>1351350</v>
      </c>
      <c r="AQ32" s="582"/>
      <c r="AR32" s="582"/>
      <c r="AS32" s="582"/>
      <c r="AT32" s="582"/>
    </row>
    <row r="33" spans="1:46">
      <c r="A33" s="128">
        <v>23</v>
      </c>
      <c r="B33" s="121" t="s">
        <v>470</v>
      </c>
      <c r="C33" s="136"/>
      <c r="D33" s="125" t="s">
        <v>469</v>
      </c>
      <c r="E33" s="306"/>
      <c r="F33" s="306"/>
      <c r="G33" s="133"/>
      <c r="H33" s="347"/>
      <c r="I33" s="368"/>
      <c r="J33" s="133"/>
      <c r="K33" s="133"/>
      <c r="M33" s="160"/>
      <c r="O33" s="262"/>
      <c r="R33"/>
      <c r="S33"/>
      <c r="V33"/>
      <c r="W33" s="121" t="s">
        <v>470</v>
      </c>
      <c r="X33" s="121"/>
      <c r="Y33" s="121"/>
      <c r="Z33" s="121"/>
      <c r="AA33" s="121"/>
      <c r="AC33" s="128" t="s">
        <v>163</v>
      </c>
      <c r="AD33" s="124"/>
      <c r="AE33" s="124"/>
      <c r="AF33" s="136"/>
      <c r="AG33" s="407">
        <f>G32</f>
        <v>0.78369999999999995</v>
      </c>
      <c r="AH33" s="413">
        <f>+$J$32</f>
        <v>1.0624</v>
      </c>
      <c r="AI33" s="413"/>
      <c r="AJ33" s="413"/>
      <c r="AK33"/>
      <c r="AL33" s="597" t="s">
        <v>23</v>
      </c>
      <c r="AM33" s="598">
        <f>'Test Year Monthly - (Pres)'!P41</f>
        <v>785623.10297185974</v>
      </c>
      <c r="AN33" s="598">
        <f>'Test Year Monthly - (Pres)'!Q41</f>
        <v>1216380.2503313303</v>
      </c>
      <c r="AO33" s="620">
        <f>'Test Year Monthly - (Prop)'!P41</f>
        <v>785623.10297185974</v>
      </c>
      <c r="AP33" s="598">
        <f>'Test Year Monthly - (Prop)'!Q41</f>
        <v>1803084</v>
      </c>
      <c r="AQ33" s="582"/>
      <c r="AR33" s="582"/>
      <c r="AS33" s="582"/>
      <c r="AT33" s="582"/>
    </row>
    <row r="34" spans="1:46">
      <c r="A34" s="128">
        <v>24</v>
      </c>
      <c r="B34" s="128" t="s">
        <v>167</v>
      </c>
      <c r="C34" s="136"/>
      <c r="D34" s="124"/>
      <c r="E34" s="507">
        <f>E31</f>
        <v>0.95569999999999999</v>
      </c>
      <c r="F34" s="507">
        <v>0</v>
      </c>
      <c r="G34" s="261">
        <f>+E34+F34</f>
        <v>0.95569999999999999</v>
      </c>
      <c r="H34" s="347">
        <f>H31</f>
        <v>1.2955999999999999</v>
      </c>
      <c r="I34" s="508">
        <f>F34</f>
        <v>0</v>
      </c>
      <c r="J34" s="261">
        <f t="shared" ref="J34:J35" si="17">H34+I34</f>
        <v>1.2955999999999999</v>
      </c>
      <c r="K34" s="261"/>
      <c r="O34" s="262"/>
      <c r="R34"/>
      <c r="S34"/>
      <c r="V34" s="138"/>
      <c r="W34" s="128" t="s">
        <v>167</v>
      </c>
      <c r="X34" s="121"/>
      <c r="Y34" s="632">
        <f>+X34+G34</f>
        <v>0.95569999999999999</v>
      </c>
      <c r="Z34" s="632">
        <f>+X34+J34</f>
        <v>1.2955999999999999</v>
      </c>
      <c r="AA34" s="278">
        <f>+(Z34-Y34)/Y34</f>
        <v>0.355655540441561</v>
      </c>
      <c r="AC34" s="138"/>
      <c r="AD34" s="138"/>
      <c r="AE34" s="138"/>
      <c r="AF34" s="138"/>
      <c r="AG34" s="138"/>
      <c r="AH34" s="416"/>
      <c r="AI34" s="416"/>
      <c r="AJ34" s="416"/>
      <c r="AK34"/>
      <c r="AL34" s="597" t="s">
        <v>24</v>
      </c>
      <c r="AM34" s="598">
        <f>'Test Year Monthly - (Pres)'!P42</f>
        <v>129768.21322814038</v>
      </c>
      <c r="AN34" s="598">
        <f>'Test Year Monthly - (Pres)'!Q42</f>
        <v>139656.55107612468</v>
      </c>
      <c r="AO34" s="620">
        <f>'Test Year Monthly - (Prop)'!P42</f>
        <v>129768.21322814038</v>
      </c>
      <c r="AP34" s="598">
        <f>'Test Year Monthly - (Prop)'!Q42</f>
        <v>207019</v>
      </c>
      <c r="AQ34" s="582"/>
      <c r="AR34" s="582"/>
      <c r="AS34" s="582"/>
      <c r="AT34" s="582"/>
    </row>
    <row r="35" spans="1:46">
      <c r="A35" s="128">
        <v>25</v>
      </c>
      <c r="B35" s="128" t="s">
        <v>163</v>
      </c>
      <c r="C35" s="136"/>
      <c r="D35" s="124"/>
      <c r="E35" s="507">
        <f>E32</f>
        <v>0.78369999999999995</v>
      </c>
      <c r="F35" s="507">
        <v>0</v>
      </c>
      <c r="G35" s="261">
        <f>+E35+F35</f>
        <v>0.78369999999999995</v>
      </c>
      <c r="H35" s="509">
        <f>ROUND(E35/E34*H34,4)</f>
        <v>1.0624</v>
      </c>
      <c r="I35" s="508">
        <f>F35</f>
        <v>0</v>
      </c>
      <c r="J35" s="261">
        <f t="shared" si="17"/>
        <v>1.0624</v>
      </c>
      <c r="K35" s="261"/>
      <c r="O35" s="262"/>
      <c r="R35"/>
      <c r="S35"/>
      <c r="W35" s="128" t="s">
        <v>163</v>
      </c>
      <c r="X35" s="121"/>
      <c r="Y35" s="632">
        <f>+X35+G35</f>
        <v>0.78369999999999995</v>
      </c>
      <c r="Z35" s="632">
        <f>+X35+J35</f>
        <v>1.0624</v>
      </c>
      <c r="AA35" s="278">
        <f>+(Z35-Y35)/Y35</f>
        <v>0.35562077325507219</v>
      </c>
      <c r="AG35" s="138"/>
      <c r="AH35" s="416"/>
      <c r="AI35" s="416"/>
      <c r="AJ35" s="416"/>
      <c r="AK35"/>
      <c r="AL35" s="597" t="s">
        <v>55</v>
      </c>
      <c r="AM35" s="598">
        <f>'Test Year Monthly - (Pres)'!P43</f>
        <v>0</v>
      </c>
      <c r="AN35" s="598">
        <f>'Test Year Monthly - (Pres)'!Q43</f>
        <v>0</v>
      </c>
      <c r="AO35" s="620">
        <f>'Test Year Monthly - (Prop)'!P43</f>
        <v>0</v>
      </c>
      <c r="AP35" s="598">
        <f>'Test Year Monthly - (Prop)'!Q43</f>
        <v>0</v>
      </c>
      <c r="AQ35" s="582"/>
      <c r="AR35" s="582"/>
      <c r="AS35" s="582"/>
      <c r="AT35" s="582"/>
    </row>
    <row r="36" spans="1:46">
      <c r="A36" s="128">
        <v>26</v>
      </c>
      <c r="B36" s="123" t="s">
        <v>174</v>
      </c>
      <c r="D36" s="124"/>
      <c r="E36" s="133"/>
      <c r="F36" s="133"/>
      <c r="G36" s="133"/>
      <c r="H36" s="133"/>
      <c r="I36" s="133"/>
      <c r="J36" s="133"/>
      <c r="K36" s="133"/>
      <c r="O36" s="262"/>
      <c r="R36"/>
      <c r="S36"/>
      <c r="W36" s="177"/>
      <c r="X36" s="409"/>
      <c r="AG36" s="138"/>
      <c r="AH36" s="416"/>
      <c r="AI36" s="416"/>
      <c r="AJ36" s="416"/>
      <c r="AK36"/>
      <c r="AL36" s="599" t="s">
        <v>53</v>
      </c>
      <c r="AM36" s="600">
        <f>'Test Year Monthly - (Pres)'!P44</f>
        <v>915391.31620000012</v>
      </c>
      <c r="AN36" s="600">
        <f>'Test Year Monthly - (Pres)'!Q44</f>
        <v>2545224.801407455</v>
      </c>
      <c r="AO36" s="621">
        <f>'Test Year Monthly - (Prop)'!P44</f>
        <v>915391.31620000012</v>
      </c>
      <c r="AP36" s="600">
        <f>'Test Year Monthly - (Prop)'!Q44</f>
        <v>3361453</v>
      </c>
      <c r="AQ36" s="582"/>
      <c r="AR36" s="582"/>
      <c r="AS36" s="582"/>
      <c r="AT36" s="582"/>
    </row>
    <row r="37" spans="1:46">
      <c r="A37" s="128">
        <v>27</v>
      </c>
      <c r="B37" s="121" t="s">
        <v>661</v>
      </c>
      <c r="C37"/>
      <c r="D37" s="125" t="s">
        <v>176</v>
      </c>
      <c r="E37" s="369">
        <v>50</v>
      </c>
      <c r="F37" s="369"/>
      <c r="G37" s="369">
        <f>E37</f>
        <v>50</v>
      </c>
      <c r="H37" s="369">
        <v>50</v>
      </c>
      <c r="I37" s="369"/>
      <c r="J37" s="369">
        <f>H37</f>
        <v>50</v>
      </c>
      <c r="K37"/>
      <c r="L37"/>
      <c r="M37"/>
      <c r="O37" s="146"/>
      <c r="R37"/>
      <c r="S37"/>
      <c r="V37" s="138"/>
      <c r="W37" s="146"/>
      <c r="AC37" s="124" t="s">
        <v>323</v>
      </c>
      <c r="AD37" s="124"/>
      <c r="AE37" s="124"/>
      <c r="AF37" s="124"/>
      <c r="AG37" s="124"/>
      <c r="AH37" s="415">
        <f>+$N$53</f>
        <v>33001164.081659839</v>
      </c>
      <c r="AI37" s="415"/>
      <c r="AJ37" s="415"/>
      <c r="AK37"/>
      <c r="AL37" s="597" t="s">
        <v>196</v>
      </c>
      <c r="AM37" s="601"/>
      <c r="AN37" s="601"/>
      <c r="AO37" s="622"/>
      <c r="AP37" s="601"/>
      <c r="AQ37" s="582"/>
      <c r="AR37" s="582"/>
      <c r="AS37" s="582"/>
      <c r="AT37" s="582"/>
    </row>
    <row r="38" spans="1:46">
      <c r="A38" s="128">
        <v>28</v>
      </c>
      <c r="B38" s="121" t="s">
        <v>177</v>
      </c>
      <c r="C38" s="126"/>
      <c r="D38" s="125" t="s">
        <v>157</v>
      </c>
      <c r="E38" s="370">
        <v>0</v>
      </c>
      <c r="F38" s="370"/>
      <c r="G38" s="369">
        <f>E38</f>
        <v>0</v>
      </c>
      <c r="H38" s="370">
        <v>0</v>
      </c>
      <c r="I38" s="370"/>
      <c r="J38" s="370">
        <f>H38</f>
        <v>0</v>
      </c>
      <c r="R38"/>
      <c r="S38"/>
      <c r="W38" s="177"/>
      <c r="AC38" s="121" t="s">
        <v>332</v>
      </c>
      <c r="AD38" s="121"/>
      <c r="AE38" s="121"/>
      <c r="AF38" s="121"/>
      <c r="AG38" s="121"/>
      <c r="AH38" s="419">
        <f>+$W$53</f>
        <v>0.17570444864728171</v>
      </c>
      <c r="AI38" s="419"/>
      <c r="AJ38" s="419"/>
      <c r="AK38"/>
      <c r="AL38" s="597" t="s">
        <v>188</v>
      </c>
      <c r="AM38" s="602">
        <f>'Test Year Monthly - (Pres)'!P46</f>
        <v>4653284.2295814613</v>
      </c>
      <c r="AN38" s="603"/>
      <c r="AO38" s="623">
        <f>'Test Year Monthly - (Prop)'!P46</f>
        <v>4653284.2295814613</v>
      </c>
      <c r="AP38" s="603"/>
      <c r="AQ38" s="582"/>
      <c r="AR38" s="582"/>
      <c r="AS38" s="582"/>
      <c r="AT38" s="582"/>
    </row>
    <row r="39" spans="1:46">
      <c r="A39" s="128">
        <v>29</v>
      </c>
      <c r="E39"/>
      <c r="F39"/>
      <c r="G39"/>
      <c r="H39"/>
      <c r="I39"/>
      <c r="J39"/>
      <c r="T39" s="138"/>
      <c r="U39" s="138"/>
      <c r="V39" s="138"/>
      <c r="AC39" s="121" t="s">
        <v>324</v>
      </c>
      <c r="AD39" s="121"/>
      <c r="AE39" s="121"/>
      <c r="AF39" s="121"/>
      <c r="AG39" s="121"/>
      <c r="AH39" s="420">
        <f>+$N$43</f>
        <v>18397621.837618463</v>
      </c>
      <c r="AI39" s="420"/>
      <c r="AJ39" s="420"/>
      <c r="AK39"/>
      <c r="AL39" s="597"/>
      <c r="AM39" s="597"/>
      <c r="AN39" s="597"/>
      <c r="AO39" s="624"/>
      <c r="AP39" s="597"/>
      <c r="AQ39" s="582"/>
      <c r="AR39" s="582"/>
      <c r="AS39" s="582"/>
      <c r="AT39" s="582"/>
    </row>
    <row r="40" spans="1:46">
      <c r="A40" s="128">
        <v>30</v>
      </c>
      <c r="B40" s="123" t="s">
        <v>178</v>
      </c>
      <c r="C40" s="121"/>
      <c r="D40" s="121"/>
      <c r="E40" s="121"/>
      <c r="F40" s="121"/>
      <c r="G40" s="124"/>
      <c r="H40" s="124"/>
      <c r="I40" s="136"/>
      <c r="J40" s="124"/>
      <c r="K40" s="121"/>
      <c r="L40" s="124"/>
      <c r="M40" s="136"/>
      <c r="N40" s="124"/>
      <c r="O40" s="124"/>
      <c r="P40" s="124"/>
      <c r="Q40" s="124"/>
      <c r="R40" s="124"/>
      <c r="S40" s="124"/>
      <c r="AC40" s="121" t="s">
        <v>325</v>
      </c>
      <c r="AD40" s="121"/>
      <c r="AE40" s="121"/>
      <c r="AF40" s="121"/>
      <c r="AG40" s="121"/>
      <c r="AH40" s="419">
        <f>+$W$43</f>
        <v>0.17852798107251172</v>
      </c>
      <c r="AI40" s="419"/>
      <c r="AJ40" s="421"/>
      <c r="AK40"/>
      <c r="AL40" s="594" t="s">
        <v>57</v>
      </c>
      <c r="AM40" s="595">
        <f>'Test Year Monthly - (Pres)'!P48</f>
        <v>23148.751556789997</v>
      </c>
      <c r="AN40" s="596"/>
      <c r="AO40" s="619">
        <f>'Test Year Monthly - (Prop)'!P48</f>
        <v>30743.625109320004</v>
      </c>
      <c r="AP40" s="596"/>
      <c r="AQ40" s="582"/>
      <c r="AR40" s="582"/>
      <c r="AS40" s="582"/>
      <c r="AT40" s="582"/>
    </row>
    <row r="41" spans="1:46" ht="16.5" thickBot="1">
      <c r="A41" s="128">
        <v>31</v>
      </c>
      <c r="C41" s="135"/>
      <c r="D41" s="137" t="s">
        <v>179</v>
      </c>
      <c r="E41" s="147"/>
      <c r="F41" s="148"/>
      <c r="G41" s="149" t="s">
        <v>493</v>
      </c>
      <c r="H41" s="150"/>
      <c r="I41" s="135"/>
      <c r="J41" s="137" t="s">
        <v>180</v>
      </c>
      <c r="K41" s="147"/>
      <c r="L41" s="148"/>
      <c r="M41" s="151" t="s">
        <v>181</v>
      </c>
      <c r="N41" s="150"/>
      <c r="O41" s="152"/>
      <c r="P41" s="429" t="s">
        <v>707</v>
      </c>
      <c r="Q41" s="429" t="s">
        <v>709</v>
      </c>
      <c r="R41" s="19"/>
      <c r="S41" s="19"/>
      <c r="Y41" s="157">
        <f>N56</f>
        <v>33001303.719418034</v>
      </c>
      <c r="AC41" s="121" t="s">
        <v>326</v>
      </c>
      <c r="AD41" s="121"/>
      <c r="AE41" s="121"/>
      <c r="AF41" s="121"/>
      <c r="AG41" s="121"/>
      <c r="AH41" s="422">
        <f>+$N$44+$N$46</f>
        <v>6820547.2989999373</v>
      </c>
      <c r="AI41" s="422"/>
      <c r="AJ41" s="422"/>
      <c r="AK41"/>
      <c r="AL41" s="597" t="s">
        <v>58</v>
      </c>
      <c r="AM41" s="598">
        <f>'Test Year Monthly - (Pres)'!P49</f>
        <v>32</v>
      </c>
      <c r="AN41" s="598">
        <f>'Test Year Monthly - (Pres)'!Q49</f>
        <v>16640</v>
      </c>
      <c r="AO41" s="620">
        <f>'Test Year Monthly - (Prop)'!P49</f>
        <v>32</v>
      </c>
      <c r="AP41" s="598">
        <f>'Test Year Monthly - (Prop)'!Q49</f>
        <v>21920</v>
      </c>
      <c r="AQ41" s="582"/>
      <c r="AR41" s="582"/>
      <c r="AS41" s="582"/>
      <c r="AT41" s="582"/>
    </row>
    <row r="42" spans="1:46" ht="16.5" thickTop="1">
      <c r="A42" s="128">
        <v>32</v>
      </c>
      <c r="B42" s="153" t="s">
        <v>182</v>
      </c>
      <c r="C42" s="154" t="s">
        <v>141</v>
      </c>
      <c r="D42" s="154" t="s">
        <v>142</v>
      </c>
      <c r="E42" s="154" t="s">
        <v>183</v>
      </c>
      <c r="F42" s="154" t="s">
        <v>141</v>
      </c>
      <c r="G42" s="154" t="s">
        <v>142</v>
      </c>
      <c r="H42" s="154" t="s">
        <v>183</v>
      </c>
      <c r="I42" s="154" t="s">
        <v>141</v>
      </c>
      <c r="J42" s="154" t="s">
        <v>142</v>
      </c>
      <c r="K42" s="154" t="s">
        <v>183</v>
      </c>
      <c r="L42" s="154" t="s">
        <v>141</v>
      </c>
      <c r="M42" s="154" t="s">
        <v>142</v>
      </c>
      <c r="N42" s="154" t="s">
        <v>50</v>
      </c>
      <c r="O42" s="154" t="s">
        <v>183</v>
      </c>
      <c r="P42" s="154" t="s">
        <v>708</v>
      </c>
      <c r="Q42" s="154" t="s">
        <v>708</v>
      </c>
      <c r="R42" s="154"/>
      <c r="S42" s="154"/>
      <c r="T42" s="138"/>
      <c r="U42" s="138"/>
      <c r="V42" s="124" t="s">
        <v>265</v>
      </c>
      <c r="W42" s="121" t="s">
        <v>266</v>
      </c>
      <c r="X42" s="121"/>
      <c r="Y42" s="121"/>
      <c r="Z42" s="121" t="s">
        <v>455</v>
      </c>
      <c r="AA42" s="121" t="s">
        <v>456</v>
      </c>
      <c r="AB42" s="121" t="s">
        <v>710</v>
      </c>
      <c r="AC42" s="121" t="s">
        <v>327</v>
      </c>
      <c r="AD42" s="121"/>
      <c r="AE42" s="121"/>
      <c r="AF42" s="121"/>
      <c r="AG42" s="121"/>
      <c r="AH42" s="419">
        <f>+$W$44</f>
        <v>0.11682972525354321</v>
      </c>
      <c r="AI42" s="419"/>
      <c r="AJ42" s="419"/>
      <c r="AK42"/>
      <c r="AL42" s="597" t="s">
        <v>59</v>
      </c>
      <c r="AM42" s="598">
        <f>'Test Year Monthly - (Pres)'!P50</f>
        <v>6811.4103999999998</v>
      </c>
      <c r="AN42" s="598">
        <f>'Test Year Monthly - (Pres)'!Q50</f>
        <v>6509.6649192799996</v>
      </c>
      <c r="AO42" s="620">
        <f>'Test Year Monthly - (Prop)'!P50</f>
        <v>6811.7503000000006</v>
      </c>
      <c r="AP42" s="598">
        <f>'Test Year Monthly - (Prop)'!Q50</f>
        <v>8825</v>
      </c>
      <c r="AQ42" s="582"/>
      <c r="AR42" s="582"/>
      <c r="AS42" s="582"/>
      <c r="AT42" s="582"/>
    </row>
    <row r="43" spans="1:46">
      <c r="A43" s="128">
        <v>33</v>
      </c>
      <c r="B43" s="121" t="s">
        <v>68</v>
      </c>
      <c r="C43" s="28">
        <f>+'Test Year Monthly - (Pres)'!Q13</f>
        <v>37162593.899999999</v>
      </c>
      <c r="D43" s="28">
        <f>+'Test Year Monthly - (Prop)'!Q13</f>
        <v>48138075</v>
      </c>
      <c r="E43" s="83">
        <f t="shared" ref="E43:E50" si="18">+(D43-C43)/C43</f>
        <v>0.29533678756476689</v>
      </c>
      <c r="F43" s="28">
        <f>+'Test Year Monthly - (Pres)'!S17</f>
        <v>0</v>
      </c>
      <c r="G43" s="156"/>
      <c r="H43" s="83"/>
      <c r="I43" s="19">
        <f>+'Test Year Monthly - (Pres)'!Q14+'Test Year Monthly - (Pres)'!Q15+'Test Year Monthly - (Pres)'!Q16</f>
        <v>15387923.262381539</v>
      </c>
      <c r="J43" s="512">
        <f>+'Test Year Monthly - (Prop)'!Q14+'Test Year Monthly - (Prop)'!Q15+'Test Year Monthly - (Prop)'!Q16</f>
        <v>22810064</v>
      </c>
      <c r="K43" s="83">
        <f t="shared" ref="K43:K50" si="19">+(J43-I43)/I43</f>
        <v>0.48233544001114032</v>
      </c>
      <c r="L43" s="19">
        <f t="shared" ref="L43:M49" si="20">+C43+F43+I43</f>
        <v>52550517.162381537</v>
      </c>
      <c r="M43" s="19">
        <f t="shared" si="20"/>
        <v>70948139</v>
      </c>
      <c r="N43" s="29">
        <f t="shared" ref="N43:N49" si="21">+M43-L43</f>
        <v>18397621.837618463</v>
      </c>
      <c r="O43" s="278">
        <f t="shared" ref="O43:O50" si="22">+(M43-L43)/L43</f>
        <v>0.35009402059297834</v>
      </c>
      <c r="P43" s="278">
        <f>C43/L43</f>
        <v>0.7071784619201229</v>
      </c>
      <c r="Q43" s="278">
        <f t="shared" ref="Q43:Q49" si="23">D43/M43</f>
        <v>0.67849665514129975</v>
      </c>
      <c r="R43" s="83">
        <f>Q43-P43</f>
        <v>-2.8681806778823149E-2</v>
      </c>
      <c r="S43" s="293"/>
      <c r="T43" s="157">
        <f>+'Test Year Monthly - (Pres)'!Q17</f>
        <v>52550517.162381537</v>
      </c>
      <c r="U43" s="157"/>
      <c r="V43" s="29">
        <f>+'Test Year Monthly - (Prop)'!P19</f>
        <v>50501238.238056242</v>
      </c>
      <c r="W43" s="278">
        <f t="shared" ref="W43:W49" si="24">+N43/(V43+L43)</f>
        <v>0.17852798107251172</v>
      </c>
      <c r="X43" s="278">
        <f t="shared" ref="X43:X49" si="25">+M43/$M$50</f>
        <v>0.53507597756252656</v>
      </c>
      <c r="Y43" s="29">
        <f t="shared" ref="Y43:Y49" si="26">+$Y$41*X43</f>
        <v>17658204.848505449</v>
      </c>
      <c r="Z43" s="162">
        <f>+Y43/L67</f>
        <v>110.04722258942915</v>
      </c>
      <c r="AA43" s="162">
        <f t="shared" ref="AA43:AA48" si="27">+Z43/12</f>
        <v>9.1706018824524289</v>
      </c>
      <c r="AB43" s="168">
        <f>$C$55*AA43</f>
        <v>4.9801168487251815</v>
      </c>
      <c r="AC43" s="121" t="s">
        <v>328</v>
      </c>
      <c r="AD43" s="121"/>
      <c r="AE43" s="121"/>
      <c r="AF43" s="121"/>
      <c r="AG43" s="121"/>
      <c r="AH43" s="422">
        <f>+$N$45+$N$47</f>
        <v>484491.31639936997</v>
      </c>
      <c r="AI43" s="422"/>
      <c r="AJ43" s="422"/>
      <c r="AK43"/>
      <c r="AL43" s="597" t="s">
        <v>55</v>
      </c>
      <c r="AM43" s="598">
        <f>'Test Year Monthly - (Pres)'!P51</f>
        <v>0.78369999999999995</v>
      </c>
      <c r="AN43" s="598">
        <f>'Test Year Monthly - (Pres)'!Q51</f>
        <v>0.6141856899999999</v>
      </c>
      <c r="AO43" s="620">
        <f>'Test Year Monthly - (Prop)'!P51</f>
        <v>1.0624</v>
      </c>
      <c r="AP43" s="598">
        <f>'Test Year Monthly - (Prop)'!Q51</f>
        <v>1</v>
      </c>
      <c r="AQ43" s="582"/>
      <c r="AR43" s="582"/>
      <c r="AS43" s="582"/>
      <c r="AT43" s="582"/>
    </row>
    <row r="44" spans="1:46">
      <c r="A44" s="128">
        <v>34</v>
      </c>
      <c r="B44" s="121" t="s">
        <v>71</v>
      </c>
      <c r="C44" s="28">
        <f>+'Test Year Monthly - (Pres)'!Q22</f>
        <v>14571546</v>
      </c>
      <c r="D44" s="28">
        <f>+'Test Year Monthly - (Prop)'!Q22</f>
        <v>16558575</v>
      </c>
      <c r="E44" s="83">
        <f t="shared" si="18"/>
        <v>0.13636363636363635</v>
      </c>
      <c r="F44" s="28">
        <f>+'Test Year Monthly - (Pres)'!S26</f>
        <v>0</v>
      </c>
      <c r="G44" s="28"/>
      <c r="H44" s="83"/>
      <c r="I44" s="512">
        <f>+'Test Year Monthly - (Pres)'!Q23+'Test Year Monthly - (Pres)'!Q24+'Test Year Monthly - (Pres)'!Q25</f>
        <v>8328812.8995926064</v>
      </c>
      <c r="J44" s="512">
        <f>+'Test Year Monthly - (Prop)'!Q23+'Test Year Monthly - (Prop)'!Q24+'Test Year Monthly - (Prop)'!Q25</f>
        <v>12346103</v>
      </c>
      <c r="K44" s="83">
        <f t="shared" si="19"/>
        <v>0.48233645644794043</v>
      </c>
      <c r="L44" s="19">
        <f t="shared" ref="L44:M46" si="28">+C44+F44+I44</f>
        <v>22900358.899592608</v>
      </c>
      <c r="M44" s="19">
        <f t="shared" si="28"/>
        <v>28904678</v>
      </c>
      <c r="N44" s="29">
        <f t="shared" si="21"/>
        <v>6004319.1004073918</v>
      </c>
      <c r="O44" s="278">
        <f t="shared" si="22"/>
        <v>0.26219323141325124</v>
      </c>
      <c r="P44" s="278">
        <f t="shared" ref="P44:P49" si="29">C44/L44</f>
        <v>0.63630207997566468</v>
      </c>
      <c r="Q44" s="278">
        <f t="shared" si="23"/>
        <v>0.57286834331799164</v>
      </c>
      <c r="R44" s="83">
        <f t="shared" ref="R44:R49" si="30">Q44-P44</f>
        <v>-6.3433736657673045E-2</v>
      </c>
      <c r="S44" s="293"/>
      <c r="T44" s="157">
        <f>+'Test Year Monthly - (Pres)'!Q26</f>
        <v>22900358.899592604</v>
      </c>
      <c r="U44" s="157"/>
      <c r="V44" s="29">
        <f>+'Test Year Monthly - (Prop)'!P28</f>
        <v>28493403.153488085</v>
      </c>
      <c r="W44" s="278">
        <f t="shared" si="24"/>
        <v>0.11682972525354321</v>
      </c>
      <c r="X44" s="278">
        <f t="shared" si="25"/>
        <v>0.21799301651844674</v>
      </c>
      <c r="Y44" s="29">
        <f t="shared" si="26"/>
        <v>7194053.7468373738</v>
      </c>
      <c r="Z44" s="162">
        <f>+Y44/L68</f>
        <v>391.01482900271526</v>
      </c>
      <c r="AA44" s="162">
        <f t="shared" si="27"/>
        <v>32.584569083559607</v>
      </c>
      <c r="AB44" s="168">
        <f t="shared" ref="AB44:AB47" si="31">$C$55*AA44</f>
        <v>17.695126621077218</v>
      </c>
      <c r="AC44" s="124" t="s">
        <v>330</v>
      </c>
      <c r="AD44" s="121"/>
      <c r="AE44" s="121"/>
      <c r="AF44" s="124"/>
      <c r="AG44" s="121"/>
      <c r="AH44" s="419">
        <f>+$AB$51</f>
        <v>9.3518592357372504E-2</v>
      </c>
      <c r="AI44" s="419"/>
      <c r="AJ44" s="419"/>
      <c r="AK44"/>
      <c r="AL44" s="599" t="s">
        <v>53</v>
      </c>
      <c r="AM44" s="600">
        <f>'Test Year Monthly - (Pres)'!P52</f>
        <v>6812.1940999999997</v>
      </c>
      <c r="AN44" s="600">
        <f>'Test Year Monthly - (Pres)'!Q52</f>
        <v>23150.279104969999</v>
      </c>
      <c r="AO44" s="621">
        <f>'Test Year Monthly - (Prop)'!P52</f>
        <v>6812.8127000000004</v>
      </c>
      <c r="AP44" s="600">
        <f>'Test Year Monthly - (Prop)'!Q52</f>
        <v>30746</v>
      </c>
      <c r="AQ44" s="582"/>
      <c r="AR44" s="582"/>
      <c r="AS44" s="582"/>
      <c r="AT44" s="582"/>
    </row>
    <row r="45" spans="1:46">
      <c r="A45" s="128">
        <v>35</v>
      </c>
      <c r="B45" s="121" t="s">
        <v>72</v>
      </c>
      <c r="C45" s="28">
        <f>+'Test Year Monthly - (Pres)'!Q31</f>
        <v>166584</v>
      </c>
      <c r="D45" s="28">
        <f>+'Test Year Monthly - (Prop)'!Q31</f>
        <v>189300</v>
      </c>
      <c r="E45" s="83">
        <f t="shared" si="18"/>
        <v>0.13636363636363635</v>
      </c>
      <c r="F45" s="155"/>
      <c r="G45" s="28"/>
      <c r="H45" s="83"/>
      <c r="I45" s="512">
        <f>+'Test Year Monthly - (Pres)'!Q32+'Test Year Monthly - (Pres)'!Q33+'Test Year Monthly - (Pres)'!Q34</f>
        <v>794884.21903748007</v>
      </c>
      <c r="J45" s="19">
        <f>+'Test Year Monthly - (Prop)'!Q32+'Test Year Monthly - (Prop)'!Q33+'Test Year Monthly - (Prop)'!Q34</f>
        <v>1178289</v>
      </c>
      <c r="K45" s="83">
        <f t="shared" si="19"/>
        <v>0.48234041106864872</v>
      </c>
      <c r="L45" s="19">
        <f t="shared" si="28"/>
        <v>961468.21903748007</v>
      </c>
      <c r="M45" s="19">
        <f t="shared" si="28"/>
        <v>1367589</v>
      </c>
      <c r="N45" s="29">
        <f t="shared" si="21"/>
        <v>406120.78096251993</v>
      </c>
      <c r="O45" s="278">
        <f t="shared" si="22"/>
        <v>0.42239646919279866</v>
      </c>
      <c r="P45" s="278">
        <f t="shared" si="29"/>
        <v>0.1732600170255926</v>
      </c>
      <c r="Q45" s="278">
        <f t="shared" si="23"/>
        <v>0.13841877932624494</v>
      </c>
      <c r="R45" s="83">
        <f t="shared" si="30"/>
        <v>-3.484123769934766E-2</v>
      </c>
      <c r="S45" s="293"/>
      <c r="T45" s="157">
        <f>+'Test Year Monthly - (Pres)'!Q35</f>
        <v>961468.21903748019</v>
      </c>
      <c r="U45" s="157"/>
      <c r="V45" s="29">
        <f>+'Test Year Monthly - (Prop)'!P37</f>
        <v>3149855.5427205926</v>
      </c>
      <c r="W45" s="278">
        <f t="shared" si="24"/>
        <v>9.8781026378923678E-2</v>
      </c>
      <c r="X45" s="278">
        <f t="shared" si="25"/>
        <v>1.0314069282053447E-2</v>
      </c>
      <c r="Y45" s="29">
        <f t="shared" si="26"/>
        <v>340377.73296016571</v>
      </c>
      <c r="Z45" s="162">
        <f>+Y45/L69</f>
        <v>1618.2776527424676</v>
      </c>
      <c r="AA45" s="162">
        <f t="shared" si="27"/>
        <v>134.8564710618723</v>
      </c>
      <c r="AB45" s="168">
        <f t="shared" si="31"/>
        <v>73.234122722079022</v>
      </c>
      <c r="AC45" s="124" t="s">
        <v>329</v>
      </c>
      <c r="AD45" s="121"/>
      <c r="AE45" s="121"/>
      <c r="AF45" s="124"/>
      <c r="AG45" s="121"/>
      <c r="AH45" s="422">
        <f>+$N$48+$N$49</f>
        <v>7137107.3471918181</v>
      </c>
      <c r="AI45" s="422"/>
      <c r="AJ45" s="422"/>
      <c r="AK45"/>
      <c r="AL45" s="597" t="s">
        <v>196</v>
      </c>
      <c r="AM45" s="601"/>
      <c r="AN45" s="601"/>
      <c r="AO45" s="622"/>
      <c r="AP45" s="601"/>
      <c r="AQ45" s="582"/>
      <c r="AR45" s="582"/>
      <c r="AS45" s="582"/>
      <c r="AT45" s="582"/>
    </row>
    <row r="46" spans="1:46">
      <c r="A46" s="128">
        <v>36</v>
      </c>
      <c r="B46" s="121" t="s">
        <v>263</v>
      </c>
      <c r="C46" s="28">
        <f>+'Test Year Monthly - (Pres)'!Q40</f>
        <v>1189188</v>
      </c>
      <c r="D46" s="29">
        <f>+'Test Year Monthly - (Prop)'!Q40</f>
        <v>1351350</v>
      </c>
      <c r="E46" s="83">
        <f t="shared" si="18"/>
        <v>0.13636363636363635</v>
      </c>
      <c r="F46" s="28">
        <f>+'Test Year Monthly - (Pres)'!S44</f>
        <v>0</v>
      </c>
      <c r="G46" s="28"/>
      <c r="H46" s="83"/>
      <c r="I46" s="29">
        <f>+'Test Year Monthly - (Pres)'!Q41+'Test Year Monthly - (Pres)'!Q42+'Test Year Monthly - (Pres)'!Q43</f>
        <v>1356036.801407455</v>
      </c>
      <c r="J46" s="28">
        <f>+'Test Year Monthly - (Prop)'!Q41+'Test Year Monthly - (Prop)'!Q42+'Test Year Monthly - (Prop)'!Q43</f>
        <v>2010103</v>
      </c>
      <c r="K46" s="83">
        <f t="shared" si="19"/>
        <v>0.48233661351497092</v>
      </c>
      <c r="L46" s="19">
        <f t="shared" si="28"/>
        <v>2545224.801407455</v>
      </c>
      <c r="M46" s="19">
        <f t="shared" si="28"/>
        <v>3361453</v>
      </c>
      <c r="N46" s="29">
        <f t="shared" si="21"/>
        <v>816228.198592545</v>
      </c>
      <c r="O46" s="278">
        <f t="shared" si="22"/>
        <v>0.32069002240634625</v>
      </c>
      <c r="P46" s="278">
        <f t="shared" si="29"/>
        <v>0.46722316997005703</v>
      </c>
      <c r="Q46" s="278">
        <f t="shared" si="23"/>
        <v>0.40201365302445102</v>
      </c>
      <c r="R46" s="83">
        <f t="shared" si="30"/>
        <v>-6.5209516945606005E-2</v>
      </c>
      <c r="S46" s="293"/>
      <c r="T46" s="157">
        <f>+'Test Year Monthly - (Pres)'!Q44</f>
        <v>2545224.801407455</v>
      </c>
      <c r="U46" s="157"/>
      <c r="V46" s="29">
        <f>+'Test Year Monthly - (Prop)'!P46</f>
        <v>4653284.2295814613</v>
      </c>
      <c r="W46" s="278">
        <f t="shared" si="24"/>
        <v>0.11338850796446291</v>
      </c>
      <c r="X46" s="278">
        <f t="shared" si="25"/>
        <v>2.5351373205229351E-2</v>
      </c>
      <c r="Y46" s="29">
        <f t="shared" si="26"/>
        <v>836628.3668500901</v>
      </c>
      <c r="Z46" s="162">
        <f>+Y46/L70</f>
        <v>557.19504951720955</v>
      </c>
      <c r="AA46" s="162">
        <f t="shared" si="27"/>
        <v>46.432920793100799</v>
      </c>
      <c r="AB46" s="168">
        <f t="shared" si="31"/>
        <v>25.215506478338568</v>
      </c>
      <c r="AC46" s="121" t="s">
        <v>331</v>
      </c>
      <c r="AD46" s="121"/>
      <c r="AE46" s="121"/>
      <c r="AF46" s="121"/>
      <c r="AG46" s="121"/>
      <c r="AH46" s="419">
        <f>+$AB$52</f>
        <v>0.34695125717122277</v>
      </c>
      <c r="AI46" s="419"/>
      <c r="AJ46" s="419"/>
      <c r="AK46"/>
      <c r="AL46" s="597" t="s">
        <v>188</v>
      </c>
      <c r="AM46" s="602">
        <f>'Test Year Monthly - (Pres)'!P54</f>
        <v>26911.2856942574</v>
      </c>
      <c r="AN46" s="603"/>
      <c r="AO46" s="623">
        <f>'Test Year Monthly - (Prop)'!P54</f>
        <v>26911.2856942574</v>
      </c>
      <c r="AP46" s="603"/>
      <c r="AQ46" s="582"/>
      <c r="AR46" s="582"/>
      <c r="AS46" s="582"/>
      <c r="AT46" s="582"/>
    </row>
    <row r="47" spans="1:46">
      <c r="A47" s="128">
        <v>37</v>
      </c>
      <c r="B47" s="121" t="s">
        <v>264</v>
      </c>
      <c r="C47" s="28">
        <f>+'Test Year Monthly - (Pres)'!Q49+'Test Year Monthly - (Pres)'!Q57</f>
        <v>54600</v>
      </c>
      <c r="D47" s="28">
        <f>+'Test Year Monthly - (Prop)'!Q49+'Test Year Monthly - (Prop)'!Q57</f>
        <v>71925</v>
      </c>
      <c r="E47" s="83">
        <f t="shared" si="18"/>
        <v>0.31730769230769229</v>
      </c>
      <c r="F47" s="28"/>
      <c r="G47" s="28"/>
      <c r="H47" s="83"/>
      <c r="I47" s="19">
        <f>+'Test Year Monthly - (Pres)'!Q50+'Test Year Monthly - (Pres)'!Q51+'Test Year Monthly - (Pres)'!Q58+'Test Year Monthly - (Pres)'!Q59</f>
        <v>171654.46456314999</v>
      </c>
      <c r="J47" s="28">
        <f>+'Test Year Monthly - (Prop)'!Q50+'Test Year Monthly - (Prop)'!Q51+'Test Year Monthly - (Prop)'!Q58+'Test Year Monthly - (Prop)'!Q59</f>
        <v>232700</v>
      </c>
      <c r="K47" s="83">
        <f t="shared" si="19"/>
        <v>0.35563033907802588</v>
      </c>
      <c r="L47" s="512">
        <f t="shared" si="20"/>
        <v>226254.46456314999</v>
      </c>
      <c r="M47" s="512">
        <f t="shared" si="20"/>
        <v>304625</v>
      </c>
      <c r="N47" s="29">
        <f t="shared" si="21"/>
        <v>78370.535436850012</v>
      </c>
      <c r="O47" s="278">
        <f t="shared" si="22"/>
        <v>0.34638227178485564</v>
      </c>
      <c r="P47" s="278">
        <f t="shared" si="29"/>
        <v>0.24132120488946449</v>
      </c>
      <c r="Q47" s="278">
        <f t="shared" si="23"/>
        <v>0.23610997127615921</v>
      </c>
      <c r="R47" s="83">
        <f t="shared" si="30"/>
        <v>-5.2112336133052772E-3</v>
      </c>
      <c r="S47" s="293"/>
      <c r="T47" s="157">
        <f>+'Test Year Monthly - (Pres)'!Q52+'Test Year Monthly - (Pres)'!Q60</f>
        <v>226254.46456314999</v>
      </c>
      <c r="U47" s="157"/>
      <c r="V47" s="29">
        <f>+'Test Year Monthly - (Pres)'!P54+'Test Year Monthly - (Pres)'!P62</f>
        <v>843116.9080530405</v>
      </c>
      <c r="W47" s="278">
        <f t="shared" si="24"/>
        <v>7.3286547072153652E-2</v>
      </c>
      <c r="X47" s="278">
        <f t="shared" si="25"/>
        <v>2.2974178317064055E-3</v>
      </c>
      <c r="Y47" s="29">
        <f t="shared" si="26"/>
        <v>75817.783634549909</v>
      </c>
      <c r="Z47" s="162">
        <f>+Y47/L71</f>
        <v>8664.8895582342757</v>
      </c>
      <c r="AA47" s="162">
        <f t="shared" si="27"/>
        <v>722.07412985285634</v>
      </c>
      <c r="AB47" s="168">
        <f t="shared" si="31"/>
        <v>392.12404880312261</v>
      </c>
      <c r="AC47" s="121" t="s">
        <v>334</v>
      </c>
      <c r="AG47" s="417">
        <f>+$I$50/$L$53</f>
        <v>0.4500965755965417</v>
      </c>
      <c r="AH47" s="513">
        <f>+$J$50/$M$53</f>
        <v>0.48348888295967529</v>
      </c>
      <c r="AI47" s="417"/>
      <c r="AJ47" s="419"/>
      <c r="AK47"/>
      <c r="AL47" s="597"/>
      <c r="AM47" s="597"/>
      <c r="AN47" s="597"/>
      <c r="AO47" s="624"/>
      <c r="AP47" s="597"/>
      <c r="AQ47" s="582"/>
      <c r="AR47" s="582"/>
      <c r="AS47" s="582"/>
      <c r="AT47" s="582"/>
    </row>
    <row r="48" spans="1:46">
      <c r="A48" s="128">
        <v>38</v>
      </c>
      <c r="B48" s="121" t="s">
        <v>52</v>
      </c>
      <c r="C48" s="28">
        <f>+'Test Year Monthly - (Pres)'!Q65+'Test Year Monthly - (Pres)'!Q81</f>
        <v>1178920</v>
      </c>
      <c r="D48" s="28">
        <f>+'Test Year Monthly - (Prop)'!Q65+'Test Year Monthly - (Prop)'!Q81</f>
        <v>1553000</v>
      </c>
      <c r="E48" s="83">
        <f>+(D48-C48)/C48</f>
        <v>0.31730736606385507</v>
      </c>
      <c r="F48" s="28">
        <f>+'Test Year Monthly - (Pres)'!Q66+'Test Year Monthly - (Pres)'!Q67+'Test Year Monthly - (Pres)'!Q68+'Test Year Monthly - (Pres)'!Q82+'Test Year Monthly - (Pres)'!Q83+'Test Year Monthly - (Pres)'!Q84</f>
        <v>243925</v>
      </c>
      <c r="G48" s="19">
        <f>+'Test Year Monthly - (Prop)'!Q66+'Test Year Monthly - (Prop)'!Q67+'Test Year Monthly - (Prop)'!Q68+'Test Year Monthly - (Prop)'!Q82+'Test Year Monthly - (Prop)'!Q83+'Test Year Monthly - (Prop)'!Q84</f>
        <v>243925</v>
      </c>
      <c r="H48" s="83">
        <f>+(G48-F48)/F48</f>
        <v>0</v>
      </c>
      <c r="I48" s="19">
        <f>'Test Year Monthly - (Pres)'!Q69+'Test Year Monthly - (Pres)'!Q70+'Test Year Monthly - (Pres)'!Q71+'Test Year Monthly - (Pres)'!Q85+'Test Year Monthly - (Pres)'!Q86+'Test Year Monthly - (Pres)'!Q76+'Test Year Monthly - (Pres)'!Q77</f>
        <v>16029837.652808184</v>
      </c>
      <c r="J48" s="19">
        <f>+'Test Year Monthly - (Prop)'!Q69+'Test Year Monthly - (Prop)'!Q70+'Test Year Monthly - (Prop)'!Q71+'Test Year Monthly - (Prop)'!Q85+'Test Year Monthly - (Prop)'!Q86+'Test Year Monthly - (Prop)'!Q76+'Test Year Monthly - (Prop)'!Q77</f>
        <v>22792865</v>
      </c>
      <c r="K48" s="83">
        <f t="shared" si="19"/>
        <v>0.42190242307332643</v>
      </c>
      <c r="L48" s="512">
        <f t="shared" si="20"/>
        <v>17452682.652808182</v>
      </c>
      <c r="M48" s="512">
        <f t="shared" si="20"/>
        <v>24589790</v>
      </c>
      <c r="N48" s="29">
        <f t="shared" si="21"/>
        <v>7137107.3471918181</v>
      </c>
      <c r="O48" s="278">
        <f t="shared" si="22"/>
        <v>0.40894041845443396</v>
      </c>
      <c r="P48" s="278">
        <f t="shared" si="29"/>
        <v>6.754950075312971E-2</v>
      </c>
      <c r="Q48" s="278">
        <f t="shared" si="23"/>
        <v>6.3156293730039989E-2</v>
      </c>
      <c r="R48" s="83">
        <f t="shared" si="30"/>
        <v>-4.3932070230897208E-3</v>
      </c>
      <c r="S48" s="293"/>
      <c r="T48" s="157">
        <f>+'Test Year Monthly - (Pres)'!Q72+'Test Year Monthly - (Pres)'!Q87+'Test Year Monthly - (Pres)'!Q78</f>
        <v>17452682.652808182</v>
      </c>
      <c r="U48" s="157"/>
      <c r="V48" s="29">
        <v>0</v>
      </c>
      <c r="W48" s="278">
        <f t="shared" si="24"/>
        <v>0.40894041845443396</v>
      </c>
      <c r="X48" s="278">
        <f t="shared" si="25"/>
        <v>0.18545103659882101</v>
      </c>
      <c r="Y48" s="29">
        <f t="shared" si="26"/>
        <v>6120125.9838786013</v>
      </c>
      <c r="Z48" s="162">
        <f>(+Y48+Y49)/L72</f>
        <v>34177.669839512782</v>
      </c>
      <c r="AA48" s="162">
        <f t="shared" si="27"/>
        <v>2848.1391532927319</v>
      </c>
      <c r="AB48" s="276"/>
      <c r="AK48"/>
      <c r="AL48" s="594" t="s">
        <v>60</v>
      </c>
      <c r="AM48" s="595">
        <f>'Test Year Monthly - (Pres)'!P56</f>
        <v>203102.65790999998</v>
      </c>
      <c r="AN48" s="596"/>
      <c r="AO48" s="619">
        <f>'Test Year Monthly - (Prop)'!P56</f>
        <v>273876.54752039997</v>
      </c>
      <c r="AP48" s="596"/>
      <c r="AQ48" s="582"/>
      <c r="AR48" s="582"/>
      <c r="AS48" s="582"/>
      <c r="AT48" s="582"/>
    </row>
    <row r="49" spans="1:46">
      <c r="A49" s="128">
        <v>39</v>
      </c>
      <c r="B49" s="121" t="s">
        <v>41</v>
      </c>
      <c r="C49" s="317">
        <f>'Test Year Monthly - (Pres)'!Q90</f>
        <v>80159.999999999971</v>
      </c>
      <c r="D49" s="317">
        <f>'Test Year Monthly - (Prop)'!Q90</f>
        <v>80160</v>
      </c>
      <c r="E49" s="83">
        <f t="shared" si="18"/>
        <v>3.6307173723470202E-16</v>
      </c>
      <c r="F49" s="317">
        <f>+'Test Year Monthly - (Pres)'!Q91+'Test Year Monthly - (Pres)'!Q92+'Test Year Monthly - (Pres)'!Q93</f>
        <v>16050</v>
      </c>
      <c r="G49" s="514">
        <f>+'Test Year Monthly - (Prop)'!Q91+'Test Year Monthly - (Prop)'!Q92+'Test Year Monthly - (Prop)'!Q93</f>
        <v>16050</v>
      </c>
      <c r="H49" s="83">
        <f>+(G49-F49)/F49</f>
        <v>0</v>
      </c>
      <c r="I49" s="514">
        <f>+'Test Year Monthly - (Pres)'!P95</f>
        <v>3022029.63</v>
      </c>
      <c r="J49" s="514">
        <f>+'Test Year Monthly - (Prop)'!P95</f>
        <v>3022029.63</v>
      </c>
      <c r="K49" s="83">
        <f t="shared" si="19"/>
        <v>0</v>
      </c>
      <c r="L49" s="514">
        <f t="shared" si="20"/>
        <v>3118239.63</v>
      </c>
      <c r="M49" s="514">
        <f t="shared" si="20"/>
        <v>3118239.63</v>
      </c>
      <c r="N49" s="317">
        <f t="shared" si="21"/>
        <v>0</v>
      </c>
      <c r="O49" s="515">
        <f t="shared" si="22"/>
        <v>0</v>
      </c>
      <c r="P49" s="278">
        <f t="shared" si="29"/>
        <v>2.5706812019447002E-2</v>
      </c>
      <c r="Q49" s="278">
        <f t="shared" si="23"/>
        <v>2.5706812019447012E-2</v>
      </c>
      <c r="R49" s="83">
        <f t="shared" si="30"/>
        <v>0</v>
      </c>
      <c r="S49" s="293"/>
      <c r="T49" s="157">
        <f>+'Test Year Monthly - (Pres)'!Q96</f>
        <v>3118239.63</v>
      </c>
      <c r="U49" s="157"/>
      <c r="V49" s="29">
        <v>0</v>
      </c>
      <c r="W49" s="278">
        <f t="shared" si="24"/>
        <v>0</v>
      </c>
      <c r="X49" s="278">
        <f t="shared" si="25"/>
        <v>2.3517109001216525E-2</v>
      </c>
      <c r="Y49" s="29">
        <f t="shared" si="26"/>
        <v>776095.25675180624</v>
      </c>
      <c r="Z49" s="162"/>
      <c r="AA49" s="278"/>
      <c r="AB49" s="131">
        <f>+W43</f>
        <v>0.17852798107251172</v>
      </c>
      <c r="AC49" s="121" t="s">
        <v>318</v>
      </c>
      <c r="AK49"/>
      <c r="AL49" s="597" t="s">
        <v>58</v>
      </c>
      <c r="AM49" s="598">
        <f>'Test Year Monthly - (Pres)'!P57</f>
        <v>73</v>
      </c>
      <c r="AN49" s="598">
        <f>'Test Year Monthly - (Pres)'!Q57</f>
        <v>37960</v>
      </c>
      <c r="AO49" s="620">
        <f>'Test Year Monthly - (Prop)'!P57</f>
        <v>73</v>
      </c>
      <c r="AP49" s="598">
        <f>'Test Year Monthly - (Prop)'!Q57</f>
        <v>50005</v>
      </c>
      <c r="AQ49" s="582"/>
      <c r="AR49" s="582"/>
      <c r="AS49" s="582"/>
      <c r="AT49" s="582"/>
    </row>
    <row r="50" spans="1:46">
      <c r="A50" s="128">
        <v>40</v>
      </c>
      <c r="B50" s="123" t="s">
        <v>184</v>
      </c>
      <c r="C50" s="19">
        <f>SUM(C43:C49)</f>
        <v>54403591.899999999</v>
      </c>
      <c r="D50" s="19">
        <f>SUM(D43:D49)</f>
        <v>67942385</v>
      </c>
      <c r="E50" s="83">
        <f t="shared" si="18"/>
        <v>0.24885844164271076</v>
      </c>
      <c r="F50" s="19">
        <f>SUM(F43:F49)</f>
        <v>259975</v>
      </c>
      <c r="G50" s="19">
        <f>SUM(G43:G49)</f>
        <v>259975</v>
      </c>
      <c r="H50" s="83">
        <f>+(G50-F50)/F50</f>
        <v>0</v>
      </c>
      <c r="I50" s="19">
        <f>SUM(I43:I49)</f>
        <v>45091178.929790422</v>
      </c>
      <c r="J50" s="19">
        <f>SUM(J43:J49)</f>
        <v>64392153.630000003</v>
      </c>
      <c r="K50" s="83">
        <f t="shared" si="19"/>
        <v>0.42804324833161528</v>
      </c>
      <c r="L50" s="19">
        <f>SUM(L43:L49)</f>
        <v>99754745.829790384</v>
      </c>
      <c r="M50" s="19">
        <f>SUM(M43:M49)</f>
        <v>132594513.63</v>
      </c>
      <c r="N50" s="19">
        <f>SUM(N43:N49)</f>
        <v>32839767.800209586</v>
      </c>
      <c r="O50" s="278">
        <f t="shared" si="22"/>
        <v>0.32920506715784209</v>
      </c>
      <c r="P50" s="278"/>
      <c r="Q50" s="278"/>
      <c r="R50" s="83"/>
      <c r="S50" s="83"/>
      <c r="Z50" s="162"/>
      <c r="AB50" s="41">
        <f>+(N44+N46)/(L44+V44+L46+V46)</f>
        <v>0.11640694536679848</v>
      </c>
      <c r="AC50" s="121" t="s">
        <v>319</v>
      </c>
      <c r="AK50"/>
      <c r="AL50" s="597" t="s">
        <v>59</v>
      </c>
      <c r="AM50" s="598">
        <f>'Test Year Monthly - (Pres)'!P58</f>
        <v>21968.242700000003</v>
      </c>
      <c r="AN50" s="598">
        <f>'Test Year Monthly - (Pres)'!Q58</f>
        <v>20995.049548390001</v>
      </c>
      <c r="AO50" s="620">
        <f>'Test Year Monthly - (Prop)'!P58</f>
        <v>21968.582600000002</v>
      </c>
      <c r="AP50" s="598">
        <f>'Test Year Monthly - (Prop)'!Q58</f>
        <v>28462</v>
      </c>
      <c r="AQ50" s="582"/>
      <c r="AR50" s="582"/>
      <c r="AS50" s="582"/>
      <c r="AT50" s="582"/>
    </row>
    <row r="51" spans="1:46">
      <c r="A51" s="128">
        <v>41</v>
      </c>
      <c r="C51" s="28"/>
      <c r="D51" s="28">
        <f>D50-C50</f>
        <v>13538793.100000001</v>
      </c>
      <c r="G51" s="19"/>
      <c r="H51" s="28"/>
      <c r="I51" s="19"/>
      <c r="J51" s="19">
        <f>J50-I50</f>
        <v>19300974.70020958</v>
      </c>
      <c r="K51" s="28"/>
      <c r="L51" s="19"/>
      <c r="M51" s="19"/>
      <c r="N51" s="19"/>
      <c r="O51" s="28"/>
      <c r="P51" s="28"/>
      <c r="Q51" s="28"/>
      <c r="R51" s="28"/>
      <c r="S51" s="28"/>
      <c r="AB51" s="41">
        <f>+(N45+N47)/(L45+V45+L47+V47)</f>
        <v>9.3518592357372504E-2</v>
      </c>
      <c r="AC51" s="121" t="s">
        <v>320</v>
      </c>
      <c r="AK51"/>
      <c r="AL51" s="597" t="s">
        <v>55</v>
      </c>
      <c r="AM51" s="598">
        <f>'Test Year Monthly - (Pres)'!P59</f>
        <v>183934.07670000001</v>
      </c>
      <c r="AN51" s="598">
        <f>'Test Year Monthly - (Pres)'!Q59</f>
        <v>144149.13590979</v>
      </c>
      <c r="AO51" s="620">
        <f>'Test Year Monthly - (Prop)'!P59</f>
        <v>183934.3554</v>
      </c>
      <c r="AP51" s="598">
        <f>'Test Year Monthly - (Prop)'!Q59</f>
        <v>195412</v>
      </c>
      <c r="AQ51" s="582"/>
      <c r="AR51" s="582"/>
      <c r="AS51" s="582"/>
      <c r="AT51" s="582"/>
    </row>
    <row r="52" spans="1:46" ht="16.5" thickBot="1">
      <c r="A52" s="128">
        <v>42</v>
      </c>
      <c r="B52" s="121" t="s">
        <v>185</v>
      </c>
      <c r="C52" s="28"/>
      <c r="D52" s="28"/>
      <c r="G52" s="19"/>
      <c r="H52" s="28"/>
      <c r="I52" s="28"/>
      <c r="J52" s="28"/>
      <c r="K52" s="28"/>
      <c r="L52" s="317">
        <f>+'Test Year Monthly - (Pres)'!P99+'Test Year Monthly - (Pres)'!P100</f>
        <v>426373.89996584691</v>
      </c>
      <c r="M52" s="317">
        <f>+'Test Year Monthly - (Prop)'!P99+'Test Year Monthly - (Prop)'!P100</f>
        <v>587770.1814160737</v>
      </c>
      <c r="N52" s="28">
        <f>+M52-L52</f>
        <v>161396.28145022679</v>
      </c>
      <c r="O52" s="515">
        <f>+(M52-L52)/L52</f>
        <v>0.37853227287869834</v>
      </c>
      <c r="P52" s="41"/>
      <c r="Q52" s="41"/>
      <c r="R52" s="159"/>
      <c r="S52" s="159"/>
      <c r="W52" s="138"/>
      <c r="X52" s="138"/>
      <c r="Y52" s="138"/>
      <c r="Z52" s="138"/>
      <c r="AA52" s="138"/>
      <c r="AB52" s="41">
        <f>+(N48+N49)/(L48+V48+L49+V49)</f>
        <v>0.34695125717122277</v>
      </c>
      <c r="AC52" s="121" t="s">
        <v>321</v>
      </c>
      <c r="AK52"/>
      <c r="AL52" s="599" t="s">
        <v>53</v>
      </c>
      <c r="AM52" s="600">
        <f>'Test Year Monthly - (Pres)'!P60</f>
        <v>205902.31940000001</v>
      </c>
      <c r="AN52" s="600">
        <f>'Test Year Monthly - (Pres)'!Q60</f>
        <v>203104.18545818</v>
      </c>
      <c r="AO52" s="621">
        <f>'Test Year Monthly - (Prop)'!P60</f>
        <v>205902.93799999999</v>
      </c>
      <c r="AP52" s="600">
        <f>'Test Year Monthly - (Prop)'!Q60</f>
        <v>273879</v>
      </c>
      <c r="AQ52" s="582"/>
      <c r="AR52" s="582"/>
      <c r="AS52" s="582"/>
      <c r="AT52" s="582"/>
    </row>
    <row r="53" spans="1:46" ht="16.5" thickBot="1">
      <c r="A53" s="128">
        <v>43</v>
      </c>
      <c r="B53" s="123" t="s">
        <v>70</v>
      </c>
      <c r="C53" s="28"/>
      <c r="D53" s="28"/>
      <c r="G53" s="24"/>
      <c r="H53" s="28"/>
      <c r="I53" s="28">
        <f>SUM('Test Year Monthly - (Pres)'!Q69:Q71,'Test Year Monthly - (Pres)'!Q75:Q77)</f>
        <v>8382990.0083004031</v>
      </c>
      <c r="J53" s="24">
        <f>SUM('Test Year Monthly - (Prop)'!Q69:Q71,'Test Year Monthly - (Prop)'!Q75:Q77)</f>
        <v>12426466</v>
      </c>
      <c r="K53" s="28"/>
      <c r="L53" s="157">
        <f>+L50+L52</f>
        <v>100181119.72975624</v>
      </c>
      <c r="M53" s="157">
        <f>+M52+M50</f>
        <v>133182283.81141607</v>
      </c>
      <c r="N53" s="516">
        <f>+M53-L53</f>
        <v>33001164.081659839</v>
      </c>
      <c r="O53" s="278">
        <f>+(M53-L53)/L53</f>
        <v>0.32941500524931433</v>
      </c>
      <c r="P53" s="278"/>
      <c r="Q53" s="278"/>
      <c r="R53" s="83"/>
      <c r="S53" s="83"/>
      <c r="V53" s="157">
        <f>SUM(V43:V49)</f>
        <v>87640898.071899414</v>
      </c>
      <c r="W53" s="278">
        <f>+N53/(V53+L53)</f>
        <v>0.17570444864728171</v>
      </c>
      <c r="X53" s="278"/>
      <c r="Y53" s="278"/>
      <c r="Z53" s="278"/>
      <c r="AA53" s="278"/>
      <c r="AC53" s="121"/>
      <c r="AK53"/>
      <c r="AL53" s="597" t="s">
        <v>196</v>
      </c>
      <c r="AM53" s="601"/>
      <c r="AN53" s="601"/>
      <c r="AO53" s="622"/>
      <c r="AP53" s="601"/>
      <c r="AQ53" s="582"/>
      <c r="AR53" s="582"/>
      <c r="AS53" s="582"/>
      <c r="AT53" s="582"/>
    </row>
    <row r="54" spans="1:46">
      <c r="A54" s="128">
        <v>44</v>
      </c>
      <c r="C54" s="121"/>
      <c r="D54" s="121"/>
      <c r="E54" s="121"/>
      <c r="F54" s="121"/>
      <c r="G54" s="121"/>
      <c r="H54" s="121"/>
      <c r="I54" s="430">
        <f>I53/I48</f>
        <v>0.522961628799268</v>
      </c>
      <c r="J54" s="430">
        <f>J53/J48</f>
        <v>0.54519104991847234</v>
      </c>
      <c r="AB54" s="41">
        <f>+(N45+N47+N48+N49)/(L45+L47+L48+L49+V45+V47+V48+V49)</f>
        <v>0.29596582382067277</v>
      </c>
      <c r="AC54" s="121" t="s">
        <v>335</v>
      </c>
      <c r="AK54"/>
      <c r="AL54" s="597" t="s">
        <v>188</v>
      </c>
      <c r="AM54" s="602">
        <f>'Test Year Monthly - (Pres)'!P62</f>
        <v>816205.62235878315</v>
      </c>
      <c r="AN54" s="603"/>
      <c r="AO54" s="623">
        <f>'Test Year Monthly - (Prop)'!P62</f>
        <v>816205.62235878315</v>
      </c>
      <c r="AP54" s="603"/>
      <c r="AQ54" s="582"/>
      <c r="AR54" s="582"/>
      <c r="AS54" s="582"/>
      <c r="AT54" s="582"/>
    </row>
    <row r="55" spans="1:46" ht="16.5" thickBot="1">
      <c r="A55" s="128">
        <v>45</v>
      </c>
      <c r="B55" s="122" t="s">
        <v>495</v>
      </c>
      <c r="C55" s="430">
        <f>C50/L53</f>
        <v>0.54305234406199998</v>
      </c>
      <c r="D55" s="430">
        <f>D50/M53</f>
        <v>0.51014581711337303</v>
      </c>
      <c r="E55" s="121"/>
      <c r="F55" s="121"/>
      <c r="G55" s="121"/>
      <c r="H55" s="121"/>
      <c r="I55" s="121"/>
      <c r="J55" s="121"/>
      <c r="AK55"/>
      <c r="AL55" s="597"/>
      <c r="AM55" s="597"/>
      <c r="AN55" s="597"/>
      <c r="AO55" s="624"/>
      <c r="AP55" s="597"/>
      <c r="AQ55" s="582"/>
      <c r="AR55" s="582"/>
      <c r="AS55" s="582"/>
      <c r="AT55" s="582"/>
    </row>
    <row r="56" spans="1:46" ht="16.5" thickBot="1">
      <c r="A56" s="295"/>
      <c r="E56" s="276"/>
      <c r="F56" s="276"/>
      <c r="L56" s="209" t="s">
        <v>578</v>
      </c>
      <c r="M56" s="62"/>
      <c r="N56" s="516">
        <f>Dashboard!D5</f>
        <v>33001303.719418034</v>
      </c>
      <c r="O56" s="278">
        <f>N56/L53</f>
        <v>0.32941639910235343</v>
      </c>
      <c r="P56" s="278">
        <f>(N56-N52)/SUM(L43:L48)</f>
        <v>0.33982920874719125</v>
      </c>
      <c r="AK56"/>
      <c r="AL56" s="594" t="s">
        <v>62</v>
      </c>
      <c r="AM56" s="595">
        <f>'Test Year Monthly - (Pres)'!P64</f>
        <v>9273095.0083004031</v>
      </c>
      <c r="AN56" s="596"/>
      <c r="AO56" s="619">
        <f>'Test Year Monthly - (Prop)'!P64</f>
        <v>13550070.367403192</v>
      </c>
      <c r="AP56" s="596"/>
      <c r="AQ56" s="582"/>
      <c r="AR56" s="582"/>
      <c r="AS56" s="582"/>
      <c r="AT56" s="582"/>
    </row>
    <row r="57" spans="1:46" ht="13.5" customHeight="1">
      <c r="A57" s="295"/>
      <c r="B57" s="121"/>
      <c r="C57" s="430"/>
      <c r="D57" s="430"/>
      <c r="E57" s="121"/>
      <c r="F57" s="121"/>
      <c r="G57" s="121"/>
      <c r="H57" s="121"/>
      <c r="I57" s="168"/>
      <c r="J57" s="121"/>
      <c r="L57" s="688" t="s">
        <v>740</v>
      </c>
      <c r="M57" s="688"/>
      <c r="N57" s="305">
        <f>N53-N56</f>
        <v>-139.63775819540024</v>
      </c>
      <c r="O57" s="121"/>
      <c r="P57" s="121"/>
      <c r="Q57" s="121"/>
      <c r="R57" s="121"/>
      <c r="AK57"/>
      <c r="AL57" s="597" t="s">
        <v>61</v>
      </c>
      <c r="AM57" s="598">
        <f>'Test Year Monthly - (Pres)'!P65</f>
        <v>1415.153846153846</v>
      </c>
      <c r="AN57" s="598">
        <f>'Test Year Monthly - (Pres)'!Q65</f>
        <v>735879.99999999988</v>
      </c>
      <c r="AO57" s="620">
        <f>'Test Year Monthly - (Prop)'!P65</f>
        <v>1415.153846153846</v>
      </c>
      <c r="AP57" s="598">
        <f>'Test Year Monthly - (Prop)'!Q65</f>
        <v>969380</v>
      </c>
      <c r="AQ57" s="582"/>
      <c r="AR57" s="582"/>
      <c r="AS57" s="582"/>
      <c r="AT57" s="582"/>
    </row>
    <row r="58" spans="1:46" ht="16.5" thickBot="1">
      <c r="A58" s="295"/>
      <c r="B58" s="122" t="s">
        <v>704</v>
      </c>
      <c r="C58" s="161">
        <f>C43/(C43+L43)</f>
        <v>0.41423815827944244</v>
      </c>
      <c r="D58" s="161">
        <f>D43/(D43+M43)</f>
        <v>0.40422877999967316</v>
      </c>
      <c r="E58" s="121"/>
      <c r="F58" s="121"/>
      <c r="G58" s="121"/>
      <c r="H58" s="121"/>
      <c r="I58" s="168"/>
      <c r="J58" s="128"/>
      <c r="N58" s="615" t="s">
        <v>129</v>
      </c>
      <c r="O58" s="609" t="s">
        <v>738</v>
      </c>
      <c r="P58" s="609" t="s">
        <v>739</v>
      </c>
      <c r="Q58" s="121"/>
      <c r="R58" s="121"/>
      <c r="AL58" s="597" t="s">
        <v>1</v>
      </c>
      <c r="AM58" s="602">
        <f>'Test Year Monthly - (Pres)'!P66</f>
        <v>70600</v>
      </c>
      <c r="AN58" s="602">
        <f>'Test Year Monthly - (Pres)'!Q66</f>
        <v>70600</v>
      </c>
      <c r="AO58" s="623">
        <f>'Test Year Monthly - (Prop)'!P66</f>
        <v>70600</v>
      </c>
      <c r="AP58" s="602">
        <f>'Test Year Monthly - (Prop)'!Q66</f>
        <v>70600</v>
      </c>
      <c r="AQ58" s="582"/>
      <c r="AR58" s="582"/>
      <c r="AS58" s="582"/>
      <c r="AT58" s="582"/>
    </row>
    <row r="59" spans="1:46">
      <c r="A59" s="295"/>
      <c r="B59" s="153"/>
      <c r="C59" s="154"/>
      <c r="D59" s="259"/>
      <c r="E59" s="154"/>
      <c r="F59" s="154"/>
      <c r="G59" s="154"/>
      <c r="H59" s="154"/>
      <c r="I59" s="154"/>
      <c r="J59" s="259"/>
      <c r="K59" s="688" t="s">
        <v>737</v>
      </c>
      <c r="L59" s="688"/>
      <c r="M59" s="688"/>
      <c r="N59" s="612">
        <v>1.4823500000000001</v>
      </c>
      <c r="O59" s="611">
        <f>H19</f>
        <v>2.2951000000000001</v>
      </c>
      <c r="P59" s="611">
        <f>G19</f>
        <v>1.5483</v>
      </c>
      <c r="Q59" s="154"/>
      <c r="R59" s="154"/>
      <c r="T59" s="129"/>
      <c r="AL59" s="597" t="s">
        <v>48</v>
      </c>
      <c r="AM59" s="602">
        <f>'Test Year Monthly - (Pres)'!P67</f>
        <v>83625</v>
      </c>
      <c r="AN59" s="602">
        <f>'Test Year Monthly - (Pres)'!Q67</f>
        <v>83625</v>
      </c>
      <c r="AO59" s="623">
        <f>'Test Year Monthly - (Prop)'!P67</f>
        <v>83625</v>
      </c>
      <c r="AP59" s="602">
        <f>'Test Year Monthly - (Prop)'!Q67</f>
        <v>83625</v>
      </c>
      <c r="AQ59" s="582"/>
      <c r="AR59" s="582"/>
      <c r="AS59" s="582"/>
      <c r="AT59" s="582"/>
    </row>
    <row r="60" spans="1:46">
      <c r="K60" s="688" t="s">
        <v>741</v>
      </c>
      <c r="L60" s="688"/>
      <c r="M60" s="688"/>
      <c r="N60" s="616">
        <v>0.29970000000000002</v>
      </c>
      <c r="O60" s="611">
        <f>H31</f>
        <v>1.2955999999999999</v>
      </c>
      <c r="P60" s="611">
        <f>G19</f>
        <v>1.5483</v>
      </c>
      <c r="AL60" s="597" t="s">
        <v>2</v>
      </c>
      <c r="AM60" s="602">
        <f>'Test Year Monthly - (Pres)'!P68</f>
        <v>0</v>
      </c>
      <c r="AN60" s="602">
        <f>'Test Year Monthly - (Pres)'!Q68</f>
        <v>0</v>
      </c>
      <c r="AO60" s="623">
        <f>'Test Year Monthly - (Prop)'!P68</f>
        <v>0</v>
      </c>
      <c r="AP60" s="602">
        <f>'Test Year Monthly - (Prop)'!Q68</f>
        <v>0</v>
      </c>
      <c r="AQ60" s="582"/>
      <c r="AR60" s="582"/>
      <c r="AS60" s="582"/>
      <c r="AT60" s="582"/>
    </row>
    <row r="61" spans="1:46">
      <c r="K61" s="688" t="s">
        <v>734</v>
      </c>
      <c r="L61" s="688"/>
      <c r="M61" s="688"/>
      <c r="N61" s="613">
        <v>5.7</v>
      </c>
      <c r="O61" s="607">
        <f>J12</f>
        <v>25</v>
      </c>
      <c r="P61" s="607">
        <f>G12</f>
        <v>19.3</v>
      </c>
      <c r="AL61" s="597" t="s">
        <v>31</v>
      </c>
      <c r="AM61" s="598">
        <f>'Test Year Monthly - (Pres)'!P69</f>
        <v>406485.35499999998</v>
      </c>
      <c r="AN61" s="598">
        <f>'Test Year Monthly - (Pres)'!Q69</f>
        <v>629361.27514649997</v>
      </c>
      <c r="AO61" s="620">
        <f>'Test Year Monthly - (Prop)'!P69</f>
        <v>406485.35499999998</v>
      </c>
      <c r="AP61" s="598">
        <f>'Test Year Monthly - (Prop)'!Q69</f>
        <v>932925</v>
      </c>
      <c r="AQ61" s="582"/>
      <c r="AR61" s="582"/>
      <c r="AS61" s="582"/>
      <c r="AT61" s="582"/>
    </row>
    <row r="62" spans="1:46">
      <c r="A62" s="121"/>
      <c r="B62" s="123"/>
      <c r="C62" s="28"/>
      <c r="D62" s="28"/>
      <c r="E62" s="28"/>
      <c r="F62" s="28"/>
      <c r="G62" s="24"/>
      <c r="H62" s="28"/>
      <c r="I62" s="28"/>
      <c r="J62" s="24"/>
      <c r="K62" s="688" t="s">
        <v>735</v>
      </c>
      <c r="L62" s="688"/>
      <c r="M62" s="688"/>
      <c r="N62" s="613">
        <v>9</v>
      </c>
      <c r="O62" s="607">
        <f>J13</f>
        <v>75</v>
      </c>
      <c r="P62" s="607">
        <f>G13</f>
        <v>66</v>
      </c>
      <c r="Q62" s="163"/>
      <c r="R62" s="163"/>
      <c r="AL62" s="597" t="s">
        <v>32</v>
      </c>
      <c r="AM62" s="598">
        <f>'Test Year Monthly - (Pres)'!P70</f>
        <v>5786779.6067023808</v>
      </c>
      <c r="AN62" s="598">
        <f>'Test Year Monthly - (Pres)'!Q70</f>
        <v>6227732.212733102</v>
      </c>
      <c r="AO62" s="620">
        <f>'Test Year Monthly - (Prop)'!P70</f>
        <v>5786779.6067023808</v>
      </c>
      <c r="AP62" s="598">
        <f>'Test Year Monthly - (Prop)'!Q70</f>
        <v>9231650</v>
      </c>
      <c r="AQ62" s="582"/>
      <c r="AR62" s="582"/>
      <c r="AS62" s="582"/>
      <c r="AT62" s="582"/>
    </row>
    <row r="63" spans="1:46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688" t="s">
        <v>736</v>
      </c>
      <c r="L63" s="688"/>
      <c r="M63" s="688"/>
      <c r="N63" s="614">
        <v>165</v>
      </c>
      <c r="O63" s="608">
        <f>J14</f>
        <v>685</v>
      </c>
      <c r="P63" s="608">
        <f>G14</f>
        <v>520</v>
      </c>
      <c r="AL63" s="597" t="s">
        <v>33</v>
      </c>
      <c r="AM63" s="598">
        <f>'Test Year Monthly - (Pres)'!P71</f>
        <v>1716805.2660000003</v>
      </c>
      <c r="AN63" s="598">
        <f>'Test Year Monthly - (Pres)'!Q71</f>
        <v>1525896.5204208004</v>
      </c>
      <c r="AO63" s="620">
        <f>'Test Year Monthly - (Prop)'!P71</f>
        <v>1716805.2660000003</v>
      </c>
      <c r="AP63" s="598">
        <f>'Test Year Monthly - (Prop)'!Q71</f>
        <v>2261891</v>
      </c>
      <c r="AQ63" s="582"/>
      <c r="AR63" s="582"/>
      <c r="AS63" s="582"/>
      <c r="AT63" s="582"/>
    </row>
    <row r="64" spans="1:46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578"/>
      <c r="L64" s="578"/>
      <c r="M64" s="578"/>
      <c r="N64" s="610"/>
      <c r="AL64" s="599" t="s">
        <v>53</v>
      </c>
      <c r="AM64" s="600">
        <f>'Test Year Monthly - (Pres)'!P72</f>
        <v>7910070.2277023811</v>
      </c>
      <c r="AN64" s="600">
        <f>'Test Year Monthly - (Pres)'!Q72</f>
        <v>9273095.0083004031</v>
      </c>
      <c r="AO64" s="621">
        <f>'Test Year Monthly - (Prop)'!P72</f>
        <v>7910070.2277023811</v>
      </c>
      <c r="AP64" s="600">
        <f>'Test Year Monthly - (Prop)'!Q72</f>
        <v>13550071</v>
      </c>
      <c r="AQ64" s="582"/>
      <c r="AR64" s="582"/>
      <c r="AS64" s="582"/>
      <c r="AT64" s="582"/>
    </row>
    <row r="65" spans="1:46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578"/>
      <c r="L65" s="578"/>
      <c r="M65" s="578"/>
      <c r="N65" s="610"/>
      <c r="AL65" s="597"/>
      <c r="AM65" s="601"/>
      <c r="AN65" s="601"/>
      <c r="AO65" s="622"/>
      <c r="AP65" s="601"/>
      <c r="AQ65" s="582"/>
      <c r="AR65" s="582"/>
      <c r="AS65" s="582"/>
      <c r="AT65" s="582"/>
    </row>
    <row r="66" spans="1:46">
      <c r="A66" s="121"/>
      <c r="B66" s="121"/>
      <c r="C66" s="128" t="s">
        <v>340</v>
      </c>
      <c r="D66" s="128" t="s">
        <v>341</v>
      </c>
      <c r="E66" s="128" t="s">
        <v>342</v>
      </c>
      <c r="F66" s="128" t="s">
        <v>343</v>
      </c>
      <c r="G66" s="128" t="s">
        <v>69</v>
      </c>
      <c r="H66" s="128" t="s">
        <v>344</v>
      </c>
      <c r="I66" s="128" t="s">
        <v>20</v>
      </c>
      <c r="J66" s="121"/>
      <c r="K66" s="121"/>
      <c r="L66" s="121"/>
      <c r="O66" s="121"/>
      <c r="P66" s="121"/>
      <c r="Q66" s="121"/>
      <c r="R66" s="121"/>
      <c r="S66" s="130" t="s">
        <v>499</v>
      </c>
      <c r="U66" s="130" t="s">
        <v>501</v>
      </c>
      <c r="AL66" s="594" t="s">
        <v>574</v>
      </c>
      <c r="AM66" s="604">
        <f>'Test Year Monthly - (Pres)'!P74</f>
        <v>0</v>
      </c>
      <c r="AN66" s="605"/>
      <c r="AO66" s="625">
        <f>'Test Year Monthly - (Prop)'!P74</f>
        <v>0</v>
      </c>
      <c r="AP66" s="626"/>
      <c r="AQ66" s="582"/>
      <c r="AR66" s="582"/>
      <c r="AS66" s="582"/>
      <c r="AT66" s="582"/>
    </row>
    <row r="67" spans="1:46">
      <c r="A67" s="121" t="s">
        <v>746</v>
      </c>
      <c r="B67" s="121" t="s">
        <v>68</v>
      </c>
      <c r="C67" s="157">
        <f>+L43+V43</f>
        <v>103051755.40043777</v>
      </c>
      <c r="D67" s="157">
        <f>+M43+V43</f>
        <v>121449377.23805624</v>
      </c>
      <c r="E67" s="157">
        <f>+D67-C67</f>
        <v>18397621.83761847</v>
      </c>
      <c r="F67" s="83">
        <f t="shared" ref="F67:F76" si="32">+E67/C67</f>
        <v>0.1785279810725118</v>
      </c>
      <c r="G67" s="22">
        <f>+'Test Year Monthly - (Pres)'!P13/12</f>
        <v>160460.25</v>
      </c>
      <c r="H67" s="164">
        <f t="shared" ref="H67:H75" si="33">+E67/(G67*12)</f>
        <v>9.5546102734781506</v>
      </c>
      <c r="I67" s="124">
        <f>+'Test Year Monthly - (Prop)'!P17</f>
        <v>9938592.8194675054</v>
      </c>
      <c r="J67" s="124"/>
      <c r="K67" s="121"/>
      <c r="L67" s="124">
        <f>+G67</f>
        <v>160460.25</v>
      </c>
      <c r="M67" s="153" t="s">
        <v>182</v>
      </c>
      <c r="N67" s="121"/>
      <c r="O67" s="165" t="s">
        <v>703</v>
      </c>
      <c r="P67" s="165"/>
      <c r="Q67" s="165"/>
      <c r="R67" s="165"/>
      <c r="S67" s="166" t="s">
        <v>500</v>
      </c>
      <c r="U67" s="166" t="s">
        <v>381</v>
      </c>
      <c r="AL67" s="597" t="s">
        <v>31</v>
      </c>
      <c r="AM67" s="598">
        <f>'Test Year Monthly - (Pres)'!P75</f>
        <v>0</v>
      </c>
      <c r="AN67" s="598">
        <f>'Test Year Monthly - (Pres)'!Q75</f>
        <v>0</v>
      </c>
      <c r="AO67" s="620">
        <f>'Test Year Monthly - (Prop)'!P75</f>
        <v>0</v>
      </c>
      <c r="AP67" s="598">
        <f>'Test Year Monthly - (Prop)'!Q75</f>
        <v>0</v>
      </c>
      <c r="AQ67" s="582"/>
      <c r="AR67" s="582"/>
      <c r="AS67" s="582"/>
      <c r="AT67" s="582"/>
    </row>
    <row r="68" spans="1:46">
      <c r="A68" s="121" t="s">
        <v>746</v>
      </c>
      <c r="B68" s="121" t="s">
        <v>345</v>
      </c>
      <c r="C68" s="157">
        <f>+L44+V44</f>
        <v>51393762.053080693</v>
      </c>
      <c r="D68" s="157">
        <f>+M44+V44</f>
        <v>57398081.153488085</v>
      </c>
      <c r="E68" s="157">
        <f>+D68-C68</f>
        <v>6004319.1004073918</v>
      </c>
      <c r="F68" s="83">
        <f t="shared" si="32"/>
        <v>0.11682972525354321</v>
      </c>
      <c r="G68" s="22">
        <f>+'Test Year Monthly - (Pres)'!P22/12</f>
        <v>18398.416666666668</v>
      </c>
      <c r="H68" s="164">
        <f t="shared" si="33"/>
        <v>27.195814406164441</v>
      </c>
      <c r="I68" s="124">
        <f>+'Test Year Monthly - (Prop)'!P26</f>
        <v>5607328.0143165365</v>
      </c>
      <c r="J68" s="124"/>
      <c r="K68" s="121"/>
      <c r="L68" s="19">
        <f>+G68</f>
        <v>18398.416666666668</v>
      </c>
      <c r="M68" s="121" t="s">
        <v>68</v>
      </c>
      <c r="N68" s="124"/>
      <c r="O68" s="157">
        <v>52769728</v>
      </c>
      <c r="P68" s="157"/>
      <c r="Q68" s="157"/>
      <c r="R68" s="157"/>
      <c r="S68" s="157">
        <f>+'Test Year Monthly - (Pres)'!Y13</f>
        <v>0</v>
      </c>
      <c r="T68" s="157">
        <f t="shared" ref="T68:T73" si="34">+O68+S68</f>
        <v>52769728</v>
      </c>
      <c r="U68" s="157">
        <f t="shared" ref="U68:U75" si="35">+L43</f>
        <v>52550517.162381537</v>
      </c>
      <c r="AL68" s="597" t="s">
        <v>32</v>
      </c>
      <c r="AM68" s="598">
        <f>'Test Year Monthly - (Pres)'!P76</f>
        <v>0</v>
      </c>
      <c r="AN68" s="598">
        <f>'Test Year Monthly - (Pres)'!Q76</f>
        <v>0</v>
      </c>
      <c r="AO68" s="620">
        <f>'Test Year Monthly - (Prop)'!P76</f>
        <v>0</v>
      </c>
      <c r="AP68" s="598">
        <f>'Test Year Monthly - (Prop)'!Q76</f>
        <v>0</v>
      </c>
      <c r="AQ68" s="582"/>
      <c r="AR68" s="582"/>
      <c r="AS68" s="582"/>
      <c r="AT68" s="582"/>
    </row>
    <row r="69" spans="1:46">
      <c r="A69" s="121" t="s">
        <v>747</v>
      </c>
      <c r="B69" s="121" t="s">
        <v>346</v>
      </c>
      <c r="C69" s="157">
        <f>+'Test Year Monthly - (Pres)'!P54+'Test Year Monthly - (Pres)'!Q52</f>
        <v>50061.564799227403</v>
      </c>
      <c r="D69" s="157">
        <f>+'Test Year Monthly - (Prop)'!Q52+'Test Year Monthly - (Prop)'!P54</f>
        <v>57657.2856942574</v>
      </c>
      <c r="E69" s="157">
        <f>+D69-C69</f>
        <v>7595.7208950299973</v>
      </c>
      <c r="F69" s="83">
        <f t="shared" si="32"/>
        <v>0.15172759632050539</v>
      </c>
      <c r="G69" s="22">
        <f>+'Test Year Monthly - (Pres)'!P49/12</f>
        <v>2.6666666666666665</v>
      </c>
      <c r="H69" s="164">
        <f t="shared" si="33"/>
        <v>237.36627796968742</v>
      </c>
      <c r="I69" s="124">
        <f>+'Test Year Monthly - (Prop)'!P52</f>
        <v>6812.8127000000004</v>
      </c>
      <c r="J69" s="131"/>
      <c r="K69" s="121"/>
      <c r="L69" s="124">
        <f>+G71</f>
        <v>210.33333333333334</v>
      </c>
      <c r="M69" s="121" t="s">
        <v>71</v>
      </c>
      <c r="N69" s="121"/>
      <c r="O69" s="157">
        <v>21956407</v>
      </c>
      <c r="P69" s="157"/>
      <c r="Q69" s="157"/>
      <c r="R69" s="157"/>
      <c r="S69" s="157">
        <f>+'Test Year Monthly - (Pres)'!Y22</f>
        <v>0</v>
      </c>
      <c r="T69" s="157">
        <f t="shared" si="34"/>
        <v>21956407</v>
      </c>
      <c r="U69" s="157">
        <f t="shared" si="35"/>
        <v>22900358.899592608</v>
      </c>
      <c r="AL69" s="597" t="s">
        <v>572</v>
      </c>
      <c r="AM69" s="598">
        <f>'Test Year Monthly - (Pres)'!P77</f>
        <v>0</v>
      </c>
      <c r="AN69" s="598">
        <f>'Test Year Monthly - (Pres)'!Q77</f>
        <v>0</v>
      </c>
      <c r="AO69" s="620">
        <f>'Test Year Monthly - (Prop)'!P77</f>
        <v>0</v>
      </c>
      <c r="AP69" s="598">
        <f>'Test Year Monthly - (Prop)'!Q77</f>
        <v>0</v>
      </c>
      <c r="AQ69" s="582"/>
      <c r="AR69" s="582"/>
      <c r="AS69" s="582"/>
      <c r="AT69" s="582"/>
    </row>
    <row r="70" spans="1:46">
      <c r="A70" s="121"/>
      <c r="B70" s="121" t="s">
        <v>347</v>
      </c>
      <c r="C70" s="157">
        <f>+C68+C69</f>
        <v>51443823.61787992</v>
      </c>
      <c r="D70" s="157">
        <f>+D68+D69</f>
        <v>57455738.439182341</v>
      </c>
      <c r="E70" s="157">
        <f>+E68+E69</f>
        <v>6011914.8213024214</v>
      </c>
      <c r="F70" s="83">
        <f t="shared" si="32"/>
        <v>0.11686368544372561</v>
      </c>
      <c r="G70" s="157">
        <f>+G68+G69</f>
        <v>18401.083333333336</v>
      </c>
      <c r="H70" s="164">
        <f t="shared" si="33"/>
        <v>27.226272100385486</v>
      </c>
      <c r="I70" s="517">
        <f>+I68+I69</f>
        <v>5614140.8270165361</v>
      </c>
      <c r="J70" s="128"/>
      <c r="K70" s="128"/>
      <c r="L70" s="518">
        <f>+G74</f>
        <v>1501.5</v>
      </c>
      <c r="M70" s="121" t="s">
        <v>72</v>
      </c>
      <c r="N70" s="128"/>
      <c r="O70" s="157">
        <v>996420</v>
      </c>
      <c r="P70" s="157"/>
      <c r="Q70" s="157"/>
      <c r="R70" s="157"/>
      <c r="S70" s="157">
        <f>+'Test Year Monthly - (Pres)'!Y31</f>
        <v>0</v>
      </c>
      <c r="T70" s="157">
        <f t="shared" si="34"/>
        <v>996420</v>
      </c>
      <c r="U70" s="157">
        <f t="shared" si="35"/>
        <v>961468.21903748007</v>
      </c>
      <c r="AL70" s="599" t="s">
        <v>53</v>
      </c>
      <c r="AM70" s="600">
        <f>'Test Year Monthly - (Pres)'!P78</f>
        <v>0</v>
      </c>
      <c r="AN70" s="600">
        <f>'Test Year Monthly - (Pres)'!Q78</f>
        <v>0</v>
      </c>
      <c r="AO70" s="621">
        <f>'Test Year Monthly - (Prop)'!P78</f>
        <v>0</v>
      </c>
      <c r="AP70" s="600">
        <f>'Test Year Monthly - (Prop)'!Q78</f>
        <v>0</v>
      </c>
      <c r="AQ70" s="582"/>
      <c r="AR70" s="582"/>
      <c r="AS70" s="582"/>
      <c r="AT70" s="582"/>
    </row>
    <row r="71" spans="1:46">
      <c r="A71" s="121" t="s">
        <v>746</v>
      </c>
      <c r="B71" s="121" t="s">
        <v>348</v>
      </c>
      <c r="C71" s="157">
        <f>+L45+V45</f>
        <v>4111323.7617580728</v>
      </c>
      <c r="D71" s="157">
        <f>+M45+V45</f>
        <v>4517444.5427205926</v>
      </c>
      <c r="E71" s="157">
        <f t="shared" ref="E71:E76" si="36">+D71-C71</f>
        <v>406120.78096251981</v>
      </c>
      <c r="F71" s="83">
        <f t="shared" si="32"/>
        <v>9.878102637892365E-2</v>
      </c>
      <c r="G71" s="22">
        <f>+'Test Year Monthly - (Pres)'!P31/12</f>
        <v>210.33333333333334</v>
      </c>
      <c r="H71" s="164">
        <f t="shared" si="33"/>
        <v>160.90363746534067</v>
      </c>
      <c r="I71" s="517">
        <f>+'Test Year Monthly - (Prop)'!P35</f>
        <v>619481.63760000002</v>
      </c>
      <c r="J71" s="124"/>
      <c r="K71" s="121"/>
      <c r="L71" s="157">
        <f>+G69+G72</f>
        <v>8.75</v>
      </c>
      <c r="M71" s="121" t="s">
        <v>263</v>
      </c>
      <c r="N71" s="121"/>
      <c r="O71" s="157">
        <v>2546606</v>
      </c>
      <c r="P71" s="157"/>
      <c r="Q71" s="157"/>
      <c r="R71" s="157"/>
      <c r="S71" s="157">
        <f>+'Test Year Monthly - (Pres)'!Y40</f>
        <v>0</v>
      </c>
      <c r="T71" s="157">
        <f t="shared" si="34"/>
        <v>2546606</v>
      </c>
      <c r="U71" s="157">
        <f t="shared" si="35"/>
        <v>2545224.801407455</v>
      </c>
      <c r="AL71" s="597"/>
      <c r="AM71" s="601"/>
      <c r="AN71" s="601"/>
      <c r="AO71" s="622"/>
      <c r="AP71" s="601"/>
      <c r="AQ71" s="582"/>
      <c r="AR71" s="582"/>
      <c r="AS71" s="582"/>
      <c r="AT71" s="582"/>
    </row>
    <row r="72" spans="1:46">
      <c r="A72" s="121" t="s">
        <v>747</v>
      </c>
      <c r="B72" s="121" t="s">
        <v>349</v>
      </c>
      <c r="C72" s="157">
        <f>+'Test Year Monthly - (Pres)'!Q60+'Test Year Monthly - (Pres)'!P62</f>
        <v>1019309.8078169632</v>
      </c>
      <c r="D72" s="157">
        <f>+'Test Year Monthly - (Prop)'!Q60+'Test Year Monthly - (Prop)'!P62</f>
        <v>1090084.6223587831</v>
      </c>
      <c r="E72" s="157">
        <f t="shared" si="36"/>
        <v>70774.814541819971</v>
      </c>
      <c r="F72" s="83">
        <f t="shared" si="32"/>
        <v>6.9434056259496876E-2</v>
      </c>
      <c r="G72" s="22">
        <f>+'Test Year Monthly - (Pres)'!P57/12</f>
        <v>6.083333333333333</v>
      </c>
      <c r="H72" s="164">
        <f t="shared" si="33"/>
        <v>969.51800742219143</v>
      </c>
      <c r="I72" s="517">
        <f>+'Test Year Monthly - (Prop)'!P60</f>
        <v>205902.93799999999</v>
      </c>
      <c r="J72" s="128"/>
      <c r="K72" s="128"/>
      <c r="L72" s="157">
        <f>+G75</f>
        <v>201.77564102564099</v>
      </c>
      <c r="M72" s="121" t="s">
        <v>264</v>
      </c>
      <c r="N72" s="128"/>
      <c r="O72" s="157">
        <v>296405</v>
      </c>
      <c r="P72" s="157"/>
      <c r="Q72" s="157"/>
      <c r="R72" s="157"/>
      <c r="S72" s="157">
        <f>+'Test Year Monthly - (Pres)'!Y49+'Test Year Monthly - (Pres)'!Y50+'Test Year Monthly - (Pres)'!Y51+'Test Year Monthly - (Pres)'!Y57+'Test Year Monthly - (Pres)'!Y58+'Test Year Monthly - (Pres)'!Y59</f>
        <v>0</v>
      </c>
      <c r="T72" s="157">
        <f t="shared" si="34"/>
        <v>296405</v>
      </c>
      <c r="U72" s="157">
        <f t="shared" si="35"/>
        <v>226254.46456314999</v>
      </c>
      <c r="AL72" s="594" t="s">
        <v>63</v>
      </c>
      <c r="AM72" s="602">
        <f>'Test Year Monthly - (Pres)'!P80</f>
        <v>8179586.1169595998</v>
      </c>
      <c r="AN72" s="603"/>
      <c r="AO72" s="623">
        <f>'Test Year Monthly - (Prop)'!P80</f>
        <v>11039716.472810401</v>
      </c>
      <c r="AP72" s="603"/>
      <c r="AQ72" s="582"/>
      <c r="AR72" s="582"/>
      <c r="AS72" s="582"/>
      <c r="AT72" s="582"/>
    </row>
    <row r="73" spans="1:46">
      <c r="A73" s="121"/>
      <c r="B73" s="121" t="s">
        <v>350</v>
      </c>
      <c r="C73" s="157">
        <f>+C71+C72</f>
        <v>5130633.5695750359</v>
      </c>
      <c r="D73" s="157">
        <f>+D71+D72</f>
        <v>5607529.1650793757</v>
      </c>
      <c r="E73" s="157">
        <f t="shared" si="36"/>
        <v>476895.59550433978</v>
      </c>
      <c r="F73" s="83">
        <f t="shared" si="32"/>
        <v>9.2950624720572361E-2</v>
      </c>
      <c r="G73" s="157">
        <f>+G71+G72</f>
        <v>216.41666666666669</v>
      </c>
      <c r="H73" s="164">
        <f t="shared" si="33"/>
        <v>183.6332674256218</v>
      </c>
      <c r="I73" s="517">
        <f>+I71+I72</f>
        <v>825384.57559999998</v>
      </c>
      <c r="J73" s="128"/>
      <c r="K73" s="128"/>
      <c r="L73" s="128"/>
      <c r="M73" s="121" t="s">
        <v>52</v>
      </c>
      <c r="N73" s="128"/>
      <c r="O73" s="157">
        <v>16633136.542355999</v>
      </c>
      <c r="P73" s="157"/>
      <c r="Q73" s="157"/>
      <c r="R73" s="157"/>
      <c r="S73" s="157">
        <f>+'Test Year Monthly - (Pres)'!Y65+'Test Year Monthly - (Pres)'!Y69+'Test Year Monthly - (Pres)'!Y70+'Test Year Monthly - (Pres)'!Y71+'Test Year Monthly - (Pres)'!Y81+'Test Year Monthly - (Pres)'!Y85+'Test Year Monthly - (Pres)'!Y86</f>
        <v>0</v>
      </c>
      <c r="T73" s="157">
        <f t="shared" si="34"/>
        <v>16633136.542355999</v>
      </c>
      <c r="U73" s="157">
        <f t="shared" si="35"/>
        <v>17452682.652808182</v>
      </c>
      <c r="AL73" s="597" t="s">
        <v>61</v>
      </c>
      <c r="AM73" s="598">
        <f>'Test Year Monthly - (Pres)'!P81</f>
        <v>852</v>
      </c>
      <c r="AN73" s="598">
        <f>'Test Year Monthly - (Pres)'!Q81</f>
        <v>443040</v>
      </c>
      <c r="AO73" s="620">
        <f>'Test Year Monthly - (Prop)'!P81</f>
        <v>852</v>
      </c>
      <c r="AP73" s="598">
        <f>'Test Year Monthly - (Prop)'!Q81</f>
        <v>583620</v>
      </c>
      <c r="AQ73" s="582"/>
      <c r="AR73" s="582"/>
      <c r="AS73" s="582"/>
      <c r="AT73" s="582"/>
    </row>
    <row r="74" spans="1:46">
      <c r="A74" s="121" t="s">
        <v>746</v>
      </c>
      <c r="B74" s="121" t="s">
        <v>336</v>
      </c>
      <c r="C74" s="157">
        <f>+L46+V46</f>
        <v>7198509.0309889168</v>
      </c>
      <c r="D74" s="157">
        <f>+M46+V46</f>
        <v>8014737.2295814613</v>
      </c>
      <c r="E74" s="157">
        <f t="shared" si="36"/>
        <v>816228.19859254453</v>
      </c>
      <c r="F74" s="83">
        <f t="shared" si="32"/>
        <v>0.11338850796446284</v>
      </c>
      <c r="G74" s="22">
        <f>+'Test Year Monthly - (Pres)'!P40/12</f>
        <v>1501.5</v>
      </c>
      <c r="H74" s="164">
        <f t="shared" si="33"/>
        <v>45.300710322596544</v>
      </c>
      <c r="I74" s="517">
        <f>+'Test Year Monthly - (Prop)'!P44</f>
        <v>915391.31620000012</v>
      </c>
      <c r="J74" s="124"/>
      <c r="K74" s="121"/>
      <c r="L74" s="121"/>
      <c r="M74" s="121" t="s">
        <v>41</v>
      </c>
      <c r="N74" s="121"/>
      <c r="O74" s="157">
        <v>2597907.1220399998</v>
      </c>
      <c r="P74" s="157"/>
      <c r="Q74" s="157"/>
      <c r="R74" s="157"/>
      <c r="S74" s="157"/>
      <c r="T74" s="157">
        <f>+O74</f>
        <v>2597907.1220399998</v>
      </c>
      <c r="U74" s="157">
        <f t="shared" si="35"/>
        <v>3118239.63</v>
      </c>
      <c r="AL74" s="597" t="s">
        <v>1</v>
      </c>
      <c r="AM74" s="602">
        <f>'Test Year Monthly - (Pres)'!P82</f>
        <v>42000</v>
      </c>
      <c r="AN74" s="602">
        <f>'Test Year Monthly - (Pres)'!Q82</f>
        <v>42000</v>
      </c>
      <c r="AO74" s="623">
        <f>'Test Year Monthly - (Prop)'!P82</f>
        <v>42000</v>
      </c>
      <c r="AP74" s="602">
        <f>'Test Year Monthly - (Prop)'!Q82</f>
        <v>42000</v>
      </c>
      <c r="AQ74" s="582"/>
      <c r="AR74" s="582"/>
      <c r="AS74" s="582"/>
      <c r="AT74" s="582"/>
    </row>
    <row r="75" spans="1:46">
      <c r="A75" s="121" t="s">
        <v>748</v>
      </c>
      <c r="B75" s="121" t="s">
        <v>351</v>
      </c>
      <c r="C75" s="157">
        <f>+L49+L48+V49+V48</f>
        <v>20570922.282808181</v>
      </c>
      <c r="D75" s="157">
        <f>+M49+M48+V49+V48</f>
        <v>27708029.629999999</v>
      </c>
      <c r="E75" s="157">
        <f t="shared" si="36"/>
        <v>7137107.3471918181</v>
      </c>
      <c r="F75" s="83">
        <f t="shared" si="32"/>
        <v>0.34695125717122277</v>
      </c>
      <c r="G75" s="22">
        <f>(+'Test Year Monthly - (Pres)'!P65+'Test Year Monthly - (Pres)'!P81+'Test Year Monthly - (Pres)'!P90)/12</f>
        <v>201.77564102564099</v>
      </c>
      <c r="H75" s="164">
        <f t="shared" si="33"/>
        <v>2947.6251076498284</v>
      </c>
      <c r="I75" s="517">
        <f>+'Test Year Monthly - (Prop)'!P72+'Test Year Monthly - (Prop)'!P78+'Test Year Monthly - (Prop)'!P87+'Test Year Monthly - (Prop)'!P94</f>
        <v>32029738.201702379</v>
      </c>
      <c r="J75" s="121"/>
      <c r="K75" s="121"/>
      <c r="L75" s="121"/>
      <c r="M75" s="123" t="s">
        <v>184</v>
      </c>
      <c r="N75" s="121"/>
      <c r="O75" s="424">
        <v>97796609.664396003</v>
      </c>
      <c r="P75" s="157"/>
      <c r="Q75" s="157"/>
      <c r="R75" s="157"/>
      <c r="S75" s="157"/>
      <c r="T75" s="157">
        <f>SUM(T68:T74)</f>
        <v>97796609.664396003</v>
      </c>
      <c r="U75" s="157">
        <f t="shared" si="35"/>
        <v>99754745.829790384</v>
      </c>
      <c r="AL75" s="597" t="s">
        <v>48</v>
      </c>
      <c r="AM75" s="602">
        <f>'Test Year Monthly - (Pres)'!P83</f>
        <v>47700</v>
      </c>
      <c r="AN75" s="602">
        <f>'Test Year Monthly - (Pres)'!Q83</f>
        <v>47700</v>
      </c>
      <c r="AO75" s="623">
        <f>'Test Year Monthly - (Prop)'!P83</f>
        <v>47700</v>
      </c>
      <c r="AP75" s="602">
        <f>'Test Year Monthly - (Prop)'!Q83</f>
        <v>47700</v>
      </c>
      <c r="AQ75" s="582"/>
      <c r="AR75" s="582"/>
      <c r="AS75" s="582"/>
      <c r="AT75" s="582"/>
    </row>
    <row r="76" spans="1:46">
      <c r="A76" s="121"/>
      <c r="B76" s="121" t="s">
        <v>338</v>
      </c>
      <c r="C76" s="518">
        <f>+L52</f>
        <v>426373.89996584691</v>
      </c>
      <c r="D76" s="518">
        <f>+M52</f>
        <v>587770.1814160737</v>
      </c>
      <c r="E76" s="157">
        <f t="shared" si="36"/>
        <v>161396.28145022679</v>
      </c>
      <c r="F76" s="83">
        <f t="shared" si="32"/>
        <v>0.37853227287869834</v>
      </c>
      <c r="G76" s="22"/>
      <c r="H76" s="164"/>
      <c r="I76" s="121"/>
      <c r="J76" s="121"/>
      <c r="K76" s="121"/>
      <c r="L76" s="121"/>
      <c r="N76" s="121"/>
      <c r="O76" s="121"/>
      <c r="P76" s="121"/>
      <c r="Q76" s="121"/>
      <c r="R76" s="121"/>
      <c r="S76" s="157"/>
      <c r="T76" s="157"/>
      <c r="U76" s="157"/>
      <c r="AL76" s="597" t="s">
        <v>2</v>
      </c>
      <c r="AM76" s="602">
        <f>'Test Year Monthly - (Pres)'!P84</f>
        <v>0</v>
      </c>
      <c r="AN76" s="602">
        <f>'Test Year Monthly - (Pres)'!Q84</f>
        <v>0</v>
      </c>
      <c r="AO76" s="623">
        <f>'Test Year Monthly - (Prop)'!P84</f>
        <v>0</v>
      </c>
      <c r="AP76" s="602">
        <f>'Test Year Monthly - (Prop)'!Q84</f>
        <v>0</v>
      </c>
      <c r="AQ76" s="582"/>
      <c r="AR76" s="582"/>
      <c r="AS76" s="582"/>
      <c r="AT76" s="582"/>
    </row>
    <row r="77" spans="1:46">
      <c r="A77" s="121"/>
      <c r="B77" s="121"/>
      <c r="C77" s="121"/>
      <c r="D77" s="121"/>
      <c r="E77" s="157"/>
      <c r="F77" s="121"/>
      <c r="G77" s="121"/>
      <c r="H77" s="128"/>
      <c r="I77" s="128"/>
      <c r="J77" s="128"/>
      <c r="K77" s="128"/>
      <c r="L77" s="24"/>
      <c r="M77" s="121" t="s">
        <v>185</v>
      </c>
      <c r="N77" s="124"/>
      <c r="O77" s="19">
        <v>431310.03756150091</v>
      </c>
      <c r="P77" s="19"/>
      <c r="Q77" s="19"/>
      <c r="R77" s="19"/>
      <c r="S77" s="157"/>
      <c r="T77" s="157"/>
      <c r="U77" s="157">
        <f>+L52</f>
        <v>426373.89996584691</v>
      </c>
      <c r="AL77" s="597" t="s">
        <v>39</v>
      </c>
      <c r="AM77" s="598">
        <f>'Test Year Monthly - (Pres)'!P85</f>
        <v>5207415.8417000007</v>
      </c>
      <c r="AN77" s="598">
        <f>'Test Year Monthly - (Pres)'!Q85</f>
        <v>4976727.3199126907</v>
      </c>
      <c r="AO77" s="620">
        <f>'Test Year Monthly - (Prop)'!P85</f>
        <v>5207416.1816000007</v>
      </c>
      <c r="AP77" s="598">
        <f>'Test Year Monthly - (Prop)'!Q85</f>
        <v>6746728</v>
      </c>
      <c r="AQ77" s="582"/>
      <c r="AR77" s="582"/>
      <c r="AS77" s="582"/>
      <c r="AT77" s="582"/>
    </row>
    <row r="78" spans="1:46">
      <c r="A78" s="121"/>
      <c r="B78" s="121" t="s">
        <v>18</v>
      </c>
      <c r="C78" s="157">
        <f>SUM(C67:C77)-C70-C73</f>
        <v>187822017.80165565</v>
      </c>
      <c r="D78" s="157">
        <f>SUM(D67:D77)-D70-D73</f>
        <v>220823181.88331553</v>
      </c>
      <c r="E78" s="157">
        <f>+D78-C78</f>
        <v>33001164.081659883</v>
      </c>
      <c r="F78" s="83">
        <f>+E78/C78</f>
        <v>0.17570444864728196</v>
      </c>
      <c r="G78" s="157">
        <f>SUM(G67:G77)-G70-G73</f>
        <v>180781.02564102566</v>
      </c>
      <c r="H78" s="164">
        <f>+E78/(G78*12)</f>
        <v>15.212310014579844</v>
      </c>
      <c r="I78" s="124">
        <f>+I67+I68+I69+I71+I72+I74+I75</f>
        <v>49323247.73998642</v>
      </c>
      <c r="J78" s="124"/>
      <c r="K78" s="121"/>
      <c r="L78" s="121"/>
      <c r="M78" s="123" t="s">
        <v>70</v>
      </c>
      <c r="N78" s="121"/>
      <c r="O78" s="424">
        <v>98227919.701957509</v>
      </c>
      <c r="P78" s="157"/>
      <c r="Q78" s="157"/>
      <c r="R78" s="157"/>
      <c r="S78" s="157"/>
      <c r="T78" s="157"/>
      <c r="U78" s="157">
        <f>+U75+U77</f>
        <v>100181119.72975624</v>
      </c>
      <c r="AL78" s="597" t="s">
        <v>40</v>
      </c>
      <c r="AM78" s="598">
        <f>'Test Year Monthly - (Pres)'!P86</f>
        <v>3407069.4457</v>
      </c>
      <c r="AN78" s="598">
        <f>'Test Year Monthly - (Pres)'!Q86</f>
        <v>2670120.32459509</v>
      </c>
      <c r="AO78" s="620">
        <f>'Test Year Monthly - (Prop)'!P86</f>
        <v>3407069.7243999997</v>
      </c>
      <c r="AP78" s="598">
        <f>'Test Year Monthly - (Prop)'!Q86</f>
        <v>3619671</v>
      </c>
      <c r="AQ78" s="582"/>
      <c r="AR78" s="582"/>
      <c r="AS78" s="582"/>
      <c r="AT78" s="582"/>
    </row>
    <row r="79" spans="1:46">
      <c r="A79" s="121"/>
      <c r="B79" s="121"/>
      <c r="C79" s="157"/>
      <c r="D79" s="157"/>
      <c r="E79" s="157"/>
      <c r="F79" s="83"/>
      <c r="G79" s="157"/>
      <c r="H79" s="164"/>
      <c r="I79" s="124"/>
      <c r="J79" s="124"/>
      <c r="K79" s="121"/>
      <c r="L79" s="121"/>
      <c r="M79" s="123"/>
      <c r="N79" s="121"/>
      <c r="O79" s="157"/>
      <c r="P79" s="157"/>
      <c r="Q79" s="157"/>
      <c r="R79" s="157"/>
      <c r="S79" s="157"/>
      <c r="T79" s="157"/>
      <c r="U79" s="157"/>
      <c r="AL79" s="599" t="s">
        <v>53</v>
      </c>
      <c r="AM79" s="600">
        <f>'Test Year Monthly - (Pres)'!P87</f>
        <v>8614485.2873999998</v>
      </c>
      <c r="AN79" s="600">
        <f>'Test Year Monthly - (Pres)'!Q87</f>
        <v>8179587.6445077807</v>
      </c>
      <c r="AO79" s="621">
        <f>'Test Year Monthly - (Prop)'!P87</f>
        <v>8614485.9059999995</v>
      </c>
      <c r="AP79" s="600">
        <f>'Test Year Monthly - (Prop)'!Q87</f>
        <v>11039719</v>
      </c>
      <c r="AQ79" s="582"/>
      <c r="AR79" s="582"/>
      <c r="AS79" s="582"/>
      <c r="AT79" s="582"/>
    </row>
    <row r="80" spans="1:46" ht="16.5">
      <c r="A80" s="121"/>
      <c r="B80" s="279" t="s">
        <v>605</v>
      </c>
      <c r="C80" s="128" t="s">
        <v>340</v>
      </c>
      <c r="D80" s="128" t="s">
        <v>341</v>
      </c>
      <c r="E80" s="128" t="s">
        <v>342</v>
      </c>
      <c r="F80" s="128" t="s">
        <v>343</v>
      </c>
      <c r="G80" s="128"/>
      <c r="H80" s="128"/>
      <c r="I80" s="128"/>
      <c r="J80" s="121"/>
      <c r="K80" s="121"/>
      <c r="L80" s="28"/>
      <c r="M80" s="167"/>
      <c r="N80" s="124"/>
      <c r="O80" s="19"/>
      <c r="P80" s="19"/>
      <c r="Q80" s="19"/>
      <c r="R80" s="19"/>
      <c r="U80" s="146"/>
      <c r="AL80" s="597"/>
      <c r="AM80" s="597"/>
      <c r="AN80" s="597"/>
      <c r="AO80" s="624"/>
      <c r="AP80" s="597"/>
      <c r="AQ80" s="582"/>
      <c r="AR80" s="582"/>
      <c r="AS80" s="582"/>
      <c r="AT80" s="582"/>
    </row>
    <row r="81" spans="1:46">
      <c r="A81" s="121"/>
      <c r="B81" s="121" t="s">
        <v>68</v>
      </c>
      <c r="C81" s="157">
        <f>C67</f>
        <v>103051755.40043777</v>
      </c>
      <c r="D81" s="157">
        <f>D67</f>
        <v>121449377.23805624</v>
      </c>
      <c r="E81" s="157">
        <f>E67</f>
        <v>18397621.83761847</v>
      </c>
      <c r="F81" s="439">
        <f>+E81/C81</f>
        <v>0.1785279810725118</v>
      </c>
      <c r="G81" s="157">
        <f>G67</f>
        <v>160460.25</v>
      </c>
      <c r="H81" s="164">
        <f>+E81/(G81*12)</f>
        <v>9.5546102734781506</v>
      </c>
      <c r="I81" s="519">
        <f>ROUND((+I67/G67/12),1)</f>
        <v>5.2</v>
      </c>
      <c r="J81" s="168">
        <f t="shared" ref="J81" si="37">+C81/G81/12</f>
        <v>53.51883898579127</v>
      </c>
      <c r="K81" s="161">
        <f>+H81/J81</f>
        <v>0.1785279810725118</v>
      </c>
      <c r="L81" s="519">
        <f t="shared" ref="L81" si="38">+D81/G81/12</f>
        <v>63.073449259269431</v>
      </c>
      <c r="M81" s="167"/>
      <c r="N81" s="124"/>
      <c r="O81" s="19"/>
      <c r="P81" s="19"/>
      <c r="Q81" s="19"/>
      <c r="AL81" s="594" t="s">
        <v>64</v>
      </c>
      <c r="AM81" s="602">
        <f>'Test Year Monthly - (Pres)'!P89</f>
        <v>3118239.63</v>
      </c>
      <c r="AN81" s="603"/>
      <c r="AO81" s="623">
        <f>'Test Year Monthly - (Prop)'!P89</f>
        <v>3118239.63</v>
      </c>
      <c r="AP81" s="603"/>
      <c r="AQ81" s="582"/>
      <c r="AR81" s="582"/>
      <c r="AS81" s="582"/>
      <c r="AT81" s="582"/>
    </row>
    <row r="82" spans="1:46">
      <c r="A82" s="121"/>
      <c r="B82" s="121" t="s">
        <v>352</v>
      </c>
      <c r="C82" s="157">
        <f>+C73+C75</f>
        <v>25701555.852383219</v>
      </c>
      <c r="D82" s="157">
        <f>+D73+D75</f>
        <v>33315558.795079373</v>
      </c>
      <c r="E82" s="157">
        <f>+E73+E75</f>
        <v>7614002.9426961578</v>
      </c>
      <c r="F82" s="439">
        <f>+E82/C82</f>
        <v>0.29624677145722822</v>
      </c>
      <c r="G82" s="157">
        <f>+G73+G75</f>
        <v>418.19230769230768</v>
      </c>
      <c r="H82" s="164">
        <f>+E82/(G82*12)</f>
        <v>1517.245137114106</v>
      </c>
      <c r="I82" s="519">
        <f>ROUND((+(I73+I75)/(G73+G75)/12),0)</f>
        <v>6547</v>
      </c>
      <c r="J82" s="168">
        <f t="shared" ref="J82:J83" si="39">+C82/G82/12</f>
        <v>5121.5583874579515</v>
      </c>
      <c r="K82" s="161">
        <f>+H82/J82</f>
        <v>0.29624677145722822</v>
      </c>
      <c r="L82" s="519">
        <f t="shared" ref="L82:L83" si="40">+D82/G82/12</f>
        <v>6638.8035245720566</v>
      </c>
      <c r="M82" s="167"/>
      <c r="N82" s="124"/>
      <c r="O82" s="19"/>
      <c r="P82" s="19"/>
      <c r="Q82" s="19"/>
      <c r="U82" s="138"/>
      <c r="AL82" s="597" t="s">
        <v>61</v>
      </c>
      <c r="AM82" s="598">
        <f>'Test Year Monthly - (Pres)'!P90</f>
        <v>154.1538461538461</v>
      </c>
      <c r="AN82" s="598">
        <f>'Test Year Monthly - (Pres)'!Q90</f>
        <v>80159.999999999971</v>
      </c>
      <c r="AO82" s="620">
        <f>'Test Year Monthly - (Prop)'!P90</f>
        <v>154.1538461538461</v>
      </c>
      <c r="AP82" s="598">
        <f>'Test Year Monthly - (Prop)'!Q90</f>
        <v>80160</v>
      </c>
      <c r="AQ82" s="582"/>
      <c r="AR82" s="582"/>
      <c r="AS82" s="582"/>
      <c r="AT82" s="582"/>
    </row>
    <row r="83" spans="1:46">
      <c r="A83" s="121"/>
      <c r="B83" s="121" t="s">
        <v>354</v>
      </c>
      <c r="C83" s="157">
        <f>+C70+C74</f>
        <v>58642332.648868836</v>
      </c>
      <c r="D83" s="157">
        <f>+D70+D74</f>
        <v>65470475.668763801</v>
      </c>
      <c r="E83" s="157">
        <f>+D83-C83</f>
        <v>6828143.019894965</v>
      </c>
      <c r="F83" s="439">
        <f>+E83/C83</f>
        <v>0.11643709776655131</v>
      </c>
      <c r="G83" s="157">
        <f>+G70+G74</f>
        <v>19902.583333333336</v>
      </c>
      <c r="H83" s="164">
        <f>+E83/(G83*12)</f>
        <v>28.589852321913671</v>
      </c>
      <c r="I83" s="210">
        <f>ROUND((+(I70+I74)/(G70+G74)/12),1)</f>
        <v>27.3</v>
      </c>
      <c r="J83" s="168">
        <f t="shared" si="39"/>
        <v>245.53903240730403</v>
      </c>
      <c r="K83" s="161">
        <f t="shared" ref="K83" si="41">+H83/J83</f>
        <v>0.11643709776655131</v>
      </c>
      <c r="L83" s="519">
        <f t="shared" si="40"/>
        <v>274.1288847292177</v>
      </c>
      <c r="M83" s="32"/>
      <c r="N83" s="124"/>
      <c r="O83" s="19"/>
      <c r="P83" s="19"/>
      <c r="Q83" s="19"/>
      <c r="U83" s="138"/>
      <c r="AL83" s="597" t="s">
        <v>1</v>
      </c>
      <c r="AM83" s="602">
        <f>'Test Year Monthly - (Pres)'!P91</f>
        <v>7500</v>
      </c>
      <c r="AN83" s="602">
        <f>'Test Year Monthly - (Pres)'!Q91</f>
        <v>7500</v>
      </c>
      <c r="AO83" s="623">
        <f>'Test Year Monthly - (Prop)'!P91</f>
        <v>7500</v>
      </c>
      <c r="AP83" s="602">
        <f>'Test Year Monthly - (Prop)'!Q91</f>
        <v>7500</v>
      </c>
      <c r="AQ83" s="582"/>
      <c r="AR83" s="582"/>
      <c r="AS83" s="582"/>
      <c r="AT83" s="582"/>
    </row>
    <row r="84" spans="1:46">
      <c r="A84" s="121"/>
      <c r="B84" s="121" t="s">
        <v>338</v>
      </c>
      <c r="C84" s="157">
        <f>+C76</f>
        <v>426373.89996584691</v>
      </c>
      <c r="D84" s="157">
        <f>+D76</f>
        <v>587770.1814160737</v>
      </c>
      <c r="E84" s="157">
        <f>+D84-C84</f>
        <v>161396.28145022679</v>
      </c>
      <c r="F84" s="439">
        <f>+E84/C84</f>
        <v>0.37853227287869834</v>
      </c>
      <c r="G84" s="157"/>
      <c r="H84" s="164"/>
      <c r="I84" s="141"/>
      <c r="J84" s="124"/>
      <c r="K84" s="121"/>
      <c r="L84" s="28"/>
      <c r="M84" s="32"/>
      <c r="U84" s="138"/>
      <c r="AL84" s="597" t="s">
        <v>48</v>
      </c>
      <c r="AM84" s="602">
        <f>'Test Year Monthly - (Pres)'!P92</f>
        <v>8550</v>
      </c>
      <c r="AN84" s="602">
        <f>'Test Year Monthly - (Pres)'!Q92</f>
        <v>8550</v>
      </c>
      <c r="AO84" s="623">
        <f>'Test Year Monthly - (Prop)'!P92</f>
        <v>8550</v>
      </c>
      <c r="AP84" s="602">
        <f>'Test Year Monthly - (Prop)'!Q92</f>
        <v>8550</v>
      </c>
      <c r="AQ84" s="582"/>
      <c r="AR84" s="582"/>
      <c r="AS84" s="582"/>
      <c r="AT84" s="582"/>
    </row>
    <row r="85" spans="1:46">
      <c r="A85" s="121"/>
      <c r="B85" s="121"/>
      <c r="C85" s="121"/>
      <c r="D85" s="121"/>
      <c r="E85" s="121"/>
      <c r="F85" s="406"/>
      <c r="G85" s="121"/>
      <c r="H85" s="121"/>
      <c r="I85" s="121"/>
      <c r="J85" s="121"/>
      <c r="K85" s="121"/>
      <c r="L85" s="121"/>
      <c r="M85" s="121"/>
      <c r="U85" s="138"/>
      <c r="AL85" s="597" t="s">
        <v>2</v>
      </c>
      <c r="AM85" s="602">
        <f>'Test Year Monthly - (Pres)'!P93</f>
        <v>0</v>
      </c>
      <c r="AN85" s="602">
        <f>'Test Year Monthly - (Pres)'!Q93</f>
        <v>0</v>
      </c>
      <c r="AO85" s="623">
        <f>'Test Year Monthly - (Prop)'!P93</f>
        <v>0</v>
      </c>
      <c r="AP85" s="602">
        <f>'Test Year Monthly - (Prop)'!Q93</f>
        <v>0</v>
      </c>
      <c r="AQ85" s="582"/>
      <c r="AR85" s="582"/>
      <c r="AS85" s="582"/>
      <c r="AT85" s="582"/>
    </row>
    <row r="86" spans="1:46">
      <c r="B86" s="121"/>
      <c r="C86" s="157">
        <f t="shared" ref="C86:D86" si="42">SUM(C81:C85)</f>
        <v>187822017.80165568</v>
      </c>
      <c r="D86" s="157">
        <f t="shared" si="42"/>
        <v>220823181.88331547</v>
      </c>
      <c r="E86" s="157">
        <f>SUM(E81:E85)</f>
        <v>33001164.08165982</v>
      </c>
      <c r="F86" s="439">
        <f>+E86/C86</f>
        <v>0.1757044486472816</v>
      </c>
      <c r="G86" s="157">
        <f>SUM(G81:G85)</f>
        <v>180781.02564102566</v>
      </c>
      <c r="H86" s="164">
        <f>+E86/(G86*12)</f>
        <v>15.212310014579815</v>
      </c>
      <c r="I86" s="121"/>
      <c r="J86" s="121"/>
      <c r="K86" s="121"/>
      <c r="L86" s="28"/>
      <c r="M86" s="167"/>
      <c r="AL86" s="597" t="s">
        <v>65</v>
      </c>
      <c r="AM86" s="598">
        <f>'Test Year Monthly - (Pres)'!P94</f>
        <v>15505182.068</v>
      </c>
      <c r="AN86" s="598">
        <f>'Test Year Monthly - (Pres)'!Q94</f>
        <v>0</v>
      </c>
      <c r="AO86" s="620">
        <f>'Test Year Monthly - (Prop)'!P94</f>
        <v>15505182.068</v>
      </c>
      <c r="AP86" s="598">
        <f>'Test Year Monthly - (Prop)'!Q94</f>
        <v>0</v>
      </c>
      <c r="AQ86" s="582"/>
      <c r="AR86" s="582"/>
      <c r="AS86" s="582"/>
      <c r="AT86" s="582"/>
    </row>
    <row r="87" spans="1:46"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28"/>
      <c r="M87" s="167"/>
      <c r="AL87" s="597" t="s">
        <v>66</v>
      </c>
      <c r="AM87" s="602">
        <f>'Test Year Monthly - (Pres)'!P95</f>
        <v>3022029.63</v>
      </c>
      <c r="AN87" s="602">
        <f>'Test Year Monthly - (Pres)'!Q95</f>
        <v>3022029.63</v>
      </c>
      <c r="AO87" s="623">
        <f>'Test Year Monthly - (Prop)'!P95</f>
        <v>3022029.63</v>
      </c>
      <c r="AP87" s="602">
        <f>'Test Year Monthly - (Prop)'!Q95</f>
        <v>3022029.63</v>
      </c>
      <c r="AQ87" s="582"/>
      <c r="AR87" s="582"/>
      <c r="AS87" s="582"/>
      <c r="AT87" s="582"/>
    </row>
    <row r="88" spans="1:46">
      <c r="B88" s="121" t="s">
        <v>68</v>
      </c>
      <c r="C88" s="121"/>
      <c r="D88" s="121"/>
      <c r="E88" s="121"/>
      <c r="F88" s="121"/>
      <c r="G88" s="121"/>
      <c r="H88" s="121"/>
      <c r="I88" s="121"/>
      <c r="J88" s="121"/>
      <c r="K88" s="121"/>
      <c r="L88" s="28"/>
      <c r="M88" s="167"/>
      <c r="AL88" s="599" t="s">
        <v>53</v>
      </c>
      <c r="AM88" s="600">
        <f>'Test Year Monthly - (Pres)'!P96</f>
        <v>15505182.068</v>
      </c>
      <c r="AN88" s="600">
        <f>'Test Year Monthly - (Pres)'!Q96</f>
        <v>3118239.63</v>
      </c>
      <c r="AO88" s="621">
        <f>'Test Year Monthly - (Prop)'!P96</f>
        <v>15505182.068</v>
      </c>
      <c r="AP88" s="600">
        <f>'Test Year Monthly - (Prop)'!Q96</f>
        <v>3118239.63</v>
      </c>
      <c r="AQ88" s="582"/>
      <c r="AR88" s="582"/>
      <c r="AS88" s="582"/>
      <c r="AT88" s="582"/>
    </row>
    <row r="89" spans="1:46">
      <c r="B89" s="121" t="s">
        <v>581</v>
      </c>
      <c r="C89" s="520">
        <f>+G12</f>
        <v>19.3</v>
      </c>
      <c r="D89" s="520">
        <f>+J12</f>
        <v>25</v>
      </c>
      <c r="E89" s="121"/>
      <c r="F89" s="121"/>
      <c r="G89" s="121"/>
      <c r="H89" s="124"/>
      <c r="I89" s="121"/>
      <c r="J89" s="124"/>
      <c r="K89" s="121"/>
      <c r="L89" s="124"/>
      <c r="M89" s="167"/>
      <c r="AL89" s="597"/>
      <c r="AM89" s="597"/>
      <c r="AN89" s="597"/>
      <c r="AO89" s="597"/>
      <c r="AP89" s="597"/>
      <c r="AQ89" s="582"/>
      <c r="AR89" s="582"/>
      <c r="AS89" s="582"/>
      <c r="AT89" s="582"/>
    </row>
    <row r="90" spans="1:46">
      <c r="B90" s="121" t="s">
        <v>580</v>
      </c>
      <c r="C90" s="212">
        <f>+G23</f>
        <v>1.5483</v>
      </c>
      <c r="D90" s="212">
        <f>+J23</f>
        <v>2.2951000000000001</v>
      </c>
      <c r="E90" s="121"/>
      <c r="F90" s="121"/>
      <c r="G90" s="121"/>
      <c r="H90" s="124"/>
      <c r="I90" s="121"/>
      <c r="J90" s="124"/>
      <c r="K90" s="121"/>
      <c r="L90" s="124"/>
      <c r="M90" s="167"/>
      <c r="AL90" s="597" t="s">
        <v>279</v>
      </c>
      <c r="AM90" s="597"/>
      <c r="AN90" s="597"/>
      <c r="AO90" s="597"/>
      <c r="AP90" s="597"/>
      <c r="AQ90" s="582"/>
      <c r="AR90" s="582"/>
      <c r="AS90" s="582"/>
      <c r="AT90" s="582"/>
    </row>
    <row r="91" spans="1:46">
      <c r="B91" s="121" t="s">
        <v>579</v>
      </c>
      <c r="C91" s="521">
        <f>I81</f>
        <v>5.2</v>
      </c>
      <c r="D91" s="521">
        <f>+C91</f>
        <v>5.2</v>
      </c>
      <c r="E91" s="121"/>
      <c r="F91" s="121"/>
      <c r="G91" s="121"/>
      <c r="H91" s="124"/>
      <c r="I91" s="121"/>
      <c r="J91" s="124"/>
      <c r="K91" s="121"/>
      <c r="L91" s="124"/>
      <c r="M91" s="136"/>
      <c r="AL91" s="597" t="s">
        <v>280</v>
      </c>
      <c r="AM91" s="602">
        <f>'Test Year Monthly - (Pres)'!P99</f>
        <v>58912</v>
      </c>
      <c r="AN91" s="603"/>
      <c r="AO91" s="602">
        <f>'Test Year Monthly - (Prop)'!P99</f>
        <v>58912</v>
      </c>
      <c r="AP91" s="602"/>
      <c r="AQ91" s="582"/>
      <c r="AR91" s="582"/>
      <c r="AS91" s="582"/>
      <c r="AT91" s="582"/>
    </row>
    <row r="92" spans="1:46">
      <c r="B92" s="121" t="s">
        <v>180</v>
      </c>
      <c r="C92" s="520">
        <f>ROUND((+C90*C91),2)</f>
        <v>8.0500000000000007</v>
      </c>
      <c r="D92" s="520">
        <f>ROUND((+D90*D91),2)</f>
        <v>11.93</v>
      </c>
      <c r="E92" s="121"/>
      <c r="F92" s="121"/>
      <c r="G92" s="121"/>
      <c r="H92" s="124"/>
      <c r="I92" s="121"/>
      <c r="J92" s="124"/>
      <c r="K92" s="121"/>
      <c r="L92" s="124"/>
      <c r="M92" s="136"/>
      <c r="AL92" s="597" t="s">
        <v>73</v>
      </c>
      <c r="AM92" s="602">
        <f>'Test Year Monthly - (Pres)'!P100</f>
        <v>367461.89996584691</v>
      </c>
      <c r="AN92" s="603"/>
      <c r="AO92" s="602">
        <f>'Test Year Monthly - (Prop)'!P100</f>
        <v>528858.1814160737</v>
      </c>
      <c r="AP92" s="602"/>
      <c r="AQ92" s="582"/>
      <c r="AR92" s="582"/>
      <c r="AS92" s="582"/>
      <c r="AT92" s="582"/>
    </row>
    <row r="93" spans="1:46">
      <c r="B93" s="121" t="s">
        <v>582</v>
      </c>
      <c r="C93" s="212">
        <v>4.0834999999999999</v>
      </c>
      <c r="D93" s="212">
        <f>+C93</f>
        <v>4.0834999999999999</v>
      </c>
      <c r="E93" s="121"/>
      <c r="F93" s="121"/>
      <c r="G93" s="121"/>
      <c r="H93" s="124"/>
      <c r="I93" s="121"/>
      <c r="J93" s="124"/>
      <c r="K93" s="121"/>
      <c r="L93" s="124"/>
      <c r="M93" s="136"/>
      <c r="AL93" s="597"/>
      <c r="AM93" s="597"/>
      <c r="AN93" s="597"/>
      <c r="AO93" s="597"/>
      <c r="AP93" s="597"/>
      <c r="AQ93" s="582"/>
      <c r="AR93" s="582"/>
      <c r="AS93" s="582"/>
      <c r="AT93" s="582"/>
    </row>
    <row r="94" spans="1:46" ht="16.5" thickBot="1">
      <c r="B94" s="121" t="s">
        <v>583</v>
      </c>
      <c r="C94" s="522">
        <f>ROUND((+C91*C93),2)</f>
        <v>21.23</v>
      </c>
      <c r="D94" s="522">
        <f>ROUND((+D91*D93),2)</f>
        <v>21.23</v>
      </c>
      <c r="E94" s="121"/>
      <c r="F94" s="121"/>
      <c r="G94" s="121"/>
      <c r="H94" s="124"/>
      <c r="I94" s="121"/>
      <c r="J94" s="124"/>
      <c r="K94" s="121"/>
      <c r="L94" s="124"/>
      <c r="M94" s="136"/>
      <c r="AL94" s="606" t="s">
        <v>281</v>
      </c>
      <c r="AM94" s="602">
        <f>'Test Year Monthly - (Pres)'!P102</f>
        <v>100181115.14711171</v>
      </c>
      <c r="AN94" s="603"/>
      <c r="AO94" s="602">
        <f>'Test Year Monthly - (Prop)'!P102</f>
        <v>133182275.4111079</v>
      </c>
      <c r="AP94" s="598"/>
      <c r="AQ94" s="582"/>
      <c r="AR94" s="582"/>
      <c r="AS94" s="582"/>
      <c r="AT94" s="582"/>
    </row>
    <row r="95" spans="1:46" ht="16.5" thickBot="1">
      <c r="B95" s="121" t="s">
        <v>18</v>
      </c>
      <c r="C95" s="523">
        <f>+C89+C92+C94</f>
        <v>48.58</v>
      </c>
      <c r="D95" s="523">
        <f>+D89+D92+D94</f>
        <v>58.16</v>
      </c>
      <c r="E95" s="305">
        <f>+D95-C95</f>
        <v>9.5799999999999983</v>
      </c>
      <c r="F95" s="41">
        <f>+E95/C95</f>
        <v>0.19720049403046519</v>
      </c>
      <c r="G95" s="121"/>
      <c r="H95" s="124"/>
      <c r="I95" s="121"/>
      <c r="J95" s="124"/>
      <c r="K95" s="121"/>
      <c r="L95" s="124"/>
      <c r="M95" s="136"/>
      <c r="AL95" s="597" t="s">
        <v>188</v>
      </c>
      <c r="AM95" s="602">
        <f>'Test Year Monthly - (Pres)'!P103</f>
        <v>87640898.071899384</v>
      </c>
      <c r="AN95" s="603"/>
      <c r="AO95" s="602">
        <f>'Test Year Monthly - (Prop)'!P103</f>
        <v>87640898.071899384</v>
      </c>
      <c r="AP95" s="598"/>
      <c r="AQ95" s="582"/>
      <c r="AR95" s="582"/>
      <c r="AS95" s="582"/>
      <c r="AT95" s="582"/>
    </row>
    <row r="96" spans="1:46">
      <c r="B96" s="121"/>
      <c r="C96" s="121"/>
      <c r="D96" s="121"/>
      <c r="E96" s="121"/>
      <c r="F96" s="121"/>
      <c r="G96" s="121"/>
      <c r="H96" s="124"/>
      <c r="I96" s="121"/>
      <c r="J96" s="124"/>
      <c r="K96" s="121"/>
      <c r="L96" s="124"/>
      <c r="M96" s="136"/>
      <c r="AL96" s="606" t="s">
        <v>282</v>
      </c>
      <c r="AM96" s="602">
        <f>'Test Year Monthly - (Pres)'!P104</f>
        <v>187822013.21901113</v>
      </c>
      <c r="AN96" s="603"/>
      <c r="AO96" s="602">
        <f>'Test Year Monthly - (Prop)'!P104</f>
        <v>220823173.48300731</v>
      </c>
      <c r="AP96" s="598"/>
      <c r="AQ96" s="582"/>
      <c r="AR96" s="582"/>
      <c r="AS96" s="582"/>
      <c r="AT96" s="582"/>
    </row>
    <row r="97" spans="1:47">
      <c r="B97" s="121"/>
      <c r="C97" s="121">
        <v>48.35</v>
      </c>
      <c r="D97" s="121">
        <v>49.4</v>
      </c>
      <c r="E97" s="121">
        <f>+D97-C97</f>
        <v>1.0499999999999972</v>
      </c>
      <c r="F97" s="41">
        <f>+E97/C97</f>
        <v>2.1716649431230552E-2</v>
      </c>
      <c r="G97" s="121"/>
      <c r="H97" s="124"/>
      <c r="I97" s="121"/>
      <c r="J97" s="124"/>
      <c r="K97" s="121"/>
      <c r="L97" s="124"/>
      <c r="M97" s="136"/>
      <c r="AL97" s="582"/>
      <c r="AM97" s="582"/>
      <c r="AN97" s="582"/>
      <c r="AO97" s="582"/>
      <c r="AP97" s="582"/>
      <c r="AQ97" s="582"/>
      <c r="AR97" s="582"/>
      <c r="AS97" s="582"/>
      <c r="AT97" s="582"/>
      <c r="AU97" s="582"/>
    </row>
    <row r="98" spans="1:47">
      <c r="AL98" s="582"/>
      <c r="AM98" s="582"/>
      <c r="AN98" s="582"/>
      <c r="AO98" s="582"/>
      <c r="AP98" s="582"/>
      <c r="AQ98" s="582"/>
      <c r="AR98" s="582"/>
      <c r="AS98" s="582"/>
      <c r="AT98" s="582"/>
      <c r="AU98" s="582"/>
    </row>
    <row r="99" spans="1:47">
      <c r="AL99" s="683" t="s">
        <v>732</v>
      </c>
      <c r="AM99" s="683"/>
      <c r="AN99" s="683"/>
      <c r="AO99" s="683"/>
      <c r="AP99" s="683"/>
      <c r="AQ99" s="582"/>
      <c r="AR99" s="582"/>
      <c r="AS99" s="582"/>
      <c r="AT99" s="582"/>
      <c r="AU99" s="582"/>
    </row>
    <row r="100" spans="1:47">
      <c r="A100" s="123" t="s">
        <v>637</v>
      </c>
      <c r="AL100" s="582" t="s">
        <v>712</v>
      </c>
      <c r="AM100" s="582"/>
      <c r="AN100" s="582"/>
      <c r="AO100" s="582"/>
      <c r="AP100" s="582"/>
      <c r="AQ100" s="582"/>
      <c r="AR100" s="582"/>
      <c r="AS100" s="582"/>
      <c r="AT100" s="582"/>
      <c r="AU100" s="582"/>
    </row>
    <row r="101" spans="1:47">
      <c r="A101" s="121"/>
      <c r="AL101" s="582" t="s">
        <v>711</v>
      </c>
      <c r="AM101" s="526">
        <f>SUM(C43:C48)/SUM(L43:L48)</f>
        <v>0.56214192789306194</v>
      </c>
      <c r="AN101" s="582"/>
      <c r="AO101" s="582"/>
      <c r="AP101" s="582"/>
      <c r="AQ101" s="582"/>
      <c r="AR101" s="582"/>
      <c r="AS101" s="582"/>
      <c r="AT101" s="582"/>
      <c r="AU101" s="582"/>
    </row>
    <row r="102" spans="1:47" ht="16.5" thickBot="1">
      <c r="A102" s="121"/>
      <c r="B102" s="687" t="s">
        <v>606</v>
      </c>
      <c r="C102" s="687"/>
      <c r="D102" s="687"/>
      <c r="E102" s="687"/>
      <c r="F102" s="687"/>
      <c r="G102" s="687"/>
      <c r="H102" s="687"/>
      <c r="I102"/>
      <c r="J102"/>
      <c r="AL102" s="582" t="s">
        <v>713</v>
      </c>
      <c r="AM102" s="583">
        <f>N56</f>
        <v>33001303.719418034</v>
      </c>
      <c r="AN102" s="582"/>
      <c r="AO102" s="582"/>
      <c r="AP102" s="582"/>
      <c r="AQ102" s="582"/>
      <c r="AR102" s="582"/>
      <c r="AS102" s="582"/>
      <c r="AT102" s="582"/>
      <c r="AU102" s="582"/>
    </row>
    <row r="103" spans="1:47">
      <c r="A103" s="121"/>
      <c r="B103" s="280"/>
      <c r="C103" s="280"/>
      <c r="D103" s="280" t="s">
        <v>607</v>
      </c>
      <c r="E103" s="280" t="s">
        <v>608</v>
      </c>
      <c r="F103" s="280" t="s">
        <v>607</v>
      </c>
      <c r="G103" s="280" t="s">
        <v>609</v>
      </c>
      <c r="H103" s="280" t="s">
        <v>609</v>
      </c>
      <c r="I103"/>
      <c r="J103"/>
      <c r="AL103" s="582" t="s">
        <v>714</v>
      </c>
      <c r="AM103" s="583">
        <f>AM102*AM101</f>
        <v>18551416.495818131</v>
      </c>
      <c r="AN103" s="582"/>
      <c r="AO103" s="582"/>
      <c r="AP103" s="582"/>
      <c r="AQ103" s="582"/>
      <c r="AR103" s="582"/>
      <c r="AS103" s="582"/>
      <c r="AT103" s="582"/>
      <c r="AU103" s="582"/>
    </row>
    <row r="104" spans="1:47">
      <c r="A104" s="121"/>
      <c r="B104" s="280"/>
      <c r="C104" s="280"/>
      <c r="D104" s="280" t="s">
        <v>610</v>
      </c>
      <c r="E104" s="280" t="s">
        <v>611</v>
      </c>
      <c r="F104" s="280" t="s">
        <v>611</v>
      </c>
      <c r="G104" s="280" t="s">
        <v>608</v>
      </c>
      <c r="H104" s="280" t="s">
        <v>607</v>
      </c>
      <c r="I104"/>
      <c r="J104"/>
      <c r="AL104" s="582"/>
      <c r="AM104" s="582"/>
      <c r="AN104" s="582"/>
      <c r="AO104" s="582"/>
      <c r="AP104" s="582"/>
      <c r="AQ104" s="582"/>
      <c r="AR104" s="682" t="s">
        <v>729</v>
      </c>
      <c r="AS104" s="682"/>
      <c r="AT104" s="682"/>
      <c r="AU104" s="582"/>
    </row>
    <row r="105" spans="1:47">
      <c r="A105" s="121"/>
      <c r="B105" s="280"/>
      <c r="C105" s="280"/>
      <c r="D105" s="280" t="s">
        <v>579</v>
      </c>
      <c r="E105" s="280" t="s">
        <v>612</v>
      </c>
      <c r="F105" s="280" t="s">
        <v>613</v>
      </c>
      <c r="G105" s="280" t="s">
        <v>610</v>
      </c>
      <c r="H105" s="280" t="s">
        <v>611</v>
      </c>
      <c r="I105"/>
      <c r="J105"/>
      <c r="N105" s="642" t="s">
        <v>636</v>
      </c>
      <c r="O105" s="642"/>
      <c r="P105" s="642"/>
      <c r="Q105" s="642"/>
      <c r="R105" s="642"/>
      <c r="S105" s="642"/>
      <c r="AL105" s="582"/>
      <c r="AM105" s="584" t="s">
        <v>715</v>
      </c>
      <c r="AN105" s="584" t="s">
        <v>726</v>
      </c>
      <c r="AO105" s="584" t="s">
        <v>19</v>
      </c>
      <c r="AP105" s="584" t="s">
        <v>716</v>
      </c>
      <c r="AQ105" s="582"/>
      <c r="AR105" s="584" t="s">
        <v>727</v>
      </c>
      <c r="AS105" s="584" t="s">
        <v>341</v>
      </c>
      <c r="AT105" s="584" t="s">
        <v>728</v>
      </c>
      <c r="AU105" s="582"/>
    </row>
    <row r="106" spans="1:47">
      <c r="A106" s="121"/>
      <c r="B106" s="636" t="s">
        <v>614</v>
      </c>
      <c r="C106" s="280"/>
      <c r="D106" s="280" t="s">
        <v>615</v>
      </c>
      <c r="E106" s="280" t="s">
        <v>616</v>
      </c>
      <c r="F106" s="280" t="s">
        <v>616</v>
      </c>
      <c r="G106" s="280" t="s">
        <v>617</v>
      </c>
      <c r="H106" s="280" t="s">
        <v>618</v>
      </c>
      <c r="I106" s="128" t="s">
        <v>340</v>
      </c>
      <c r="J106" s="128" t="s">
        <v>341</v>
      </c>
      <c r="K106" s="128" t="s">
        <v>342</v>
      </c>
      <c r="L106" s="128" t="s">
        <v>343</v>
      </c>
      <c r="N106" s="643" t="s">
        <v>614</v>
      </c>
      <c r="O106" s="121"/>
      <c r="P106" s="121"/>
      <c r="Q106" s="121" t="s">
        <v>633</v>
      </c>
      <c r="R106" s="121" t="s">
        <v>634</v>
      </c>
      <c r="S106" s="121" t="s">
        <v>635</v>
      </c>
      <c r="AL106" s="582" t="s">
        <v>719</v>
      </c>
      <c r="AM106" s="585">
        <f>AN5/($AN$5+$AN$14+$AN$23+$AN$32+$AN$41+$AN$49+$AN$57+$AN$73)</f>
        <v>0.68409878758046583</v>
      </c>
      <c r="AN106" s="583">
        <f>AM106*$AM$103</f>
        <v>12691001.532689437</v>
      </c>
      <c r="AO106" s="581">
        <f>AM5</f>
        <v>1925523</v>
      </c>
      <c r="AP106" s="586">
        <f>AN106/AO106</f>
        <v>6.590937388278113</v>
      </c>
      <c r="AQ106" s="582"/>
      <c r="AR106" s="583">
        <f>AN5</f>
        <v>37162593.899999999</v>
      </c>
      <c r="AS106" s="583">
        <f>AP5</f>
        <v>48138075</v>
      </c>
      <c r="AT106" s="587">
        <f>AS106-AR106</f>
        <v>10975481.100000001</v>
      </c>
      <c r="AU106" s="583">
        <f>AT106-AN106</f>
        <v>-1715520.4326894358</v>
      </c>
    </row>
    <row r="107" spans="1:47">
      <c r="A107" s="121"/>
      <c r="B107" s="639" t="s">
        <v>619</v>
      </c>
      <c r="C107"/>
      <c r="D107" s="524">
        <f>S107</f>
        <v>5.2</v>
      </c>
      <c r="E107" s="525">
        <f>ROUND(E118+$D107*E145+IF($D107&gt;15000,($D107-15000)*E127+(15000-300)*E126+300*E125,IF($D107&gt;300,($D107-300)*E126+300*E125,$D107*E125)),2)</f>
        <v>48.57</v>
      </c>
      <c r="F107" s="525">
        <f>ROUND(F118+$D107*F145+IF($D107&gt;15000,($D107-15000)*F127+(15000-300)*F126+300*F125,IF($D107&gt;300,($D107-300)*F126+300*F125,$D107*F125)),2)</f>
        <v>58.16</v>
      </c>
      <c r="G107" s="525">
        <f>F107-E107</f>
        <v>9.5899999999999963</v>
      </c>
      <c r="H107" s="526">
        <f>G107/E107</f>
        <v>0.19744698373481565</v>
      </c>
      <c r="I107" s="157">
        <f>+C67</f>
        <v>103051755.40043777</v>
      </c>
      <c r="J107" s="157">
        <f>+D67</f>
        <v>121449377.23805624</v>
      </c>
      <c r="K107" s="157">
        <f t="shared" ref="K107:K112" si="43">+J107-I107</f>
        <v>18397621.83761847</v>
      </c>
      <c r="L107" s="439">
        <f t="shared" ref="L107:L113" si="44">+K107/I107</f>
        <v>0.1785279810725118</v>
      </c>
      <c r="N107" s="313" t="s">
        <v>619</v>
      </c>
      <c r="O107" s="121"/>
      <c r="P107" s="121"/>
      <c r="Q107" s="124">
        <f>'Test Year Monthly - (Pres)'!P17</f>
        <v>9938592.8194675054</v>
      </c>
      <c r="R107" s="22">
        <f>'Test Year Monthly - (Pres)'!P13/12</f>
        <v>160460.25</v>
      </c>
      <c r="S107" s="644">
        <f>ROUND(Q107/R107/12,1)</f>
        <v>5.2</v>
      </c>
      <c r="AL107" s="582" t="s">
        <v>717</v>
      </c>
      <c r="AM107" s="585">
        <f>(AN14+AN23+AN32)/($AN$5+$AN$14+$AN$23+$AN$32+$AN$41+$AN$49+$AN$57+$AN$73)</f>
        <v>0.29319425233146951</v>
      </c>
      <c r="AN107" s="583">
        <f t="shared" ref="AN107:AN108" si="45">AM107*$AM$103</f>
        <v>5439168.6891810866</v>
      </c>
      <c r="AO107" s="581">
        <f>AM14+AM23</f>
        <v>223305</v>
      </c>
      <c r="AP107" s="586">
        <f t="shared" ref="AP107:AP108" si="46">AN107/AO107</f>
        <v>24.357576808316367</v>
      </c>
      <c r="AQ107" s="582"/>
      <c r="AR107" s="583">
        <f>AN14+AN23+AN32</f>
        <v>15927318</v>
      </c>
      <c r="AS107" s="583">
        <f>AP14+AP23+AP32</f>
        <v>18099225</v>
      </c>
      <c r="AT107" s="587">
        <f t="shared" ref="AT107:AT108" si="47">AS107-AR107</f>
        <v>2171907</v>
      </c>
      <c r="AU107" s="583">
        <f t="shared" ref="AU107:AU108" si="48">AT107-AN107</f>
        <v>-3267261.6891810866</v>
      </c>
    </row>
    <row r="108" spans="1:47">
      <c r="A108" s="121"/>
      <c r="B108" s="639" t="s">
        <v>620</v>
      </c>
      <c r="C108"/>
      <c r="D108" s="524">
        <f>S108</f>
        <v>29.6</v>
      </c>
      <c r="E108" s="525">
        <f>ROUND(E119+$D108*E146+IF($D108&gt;15000,($D108-15000)*E131+(15000-300)*E130+300*E129,IF($D108&gt;300,($D108-300)*E130+300*E129,$D108*E129)),2)</f>
        <v>232.64</v>
      </c>
      <c r="F108" s="525">
        <f>ROUND(F119+$D108*F146+IF($D108&gt;15000,($D108-15000)*F131+(15000-300)*F130+300*F129,IF($D108&gt;300,($D108-300)*F130+300*F129,$D108*F129)),2)</f>
        <v>263.75</v>
      </c>
      <c r="G108" s="525">
        <f>F108-E108</f>
        <v>31.110000000000014</v>
      </c>
      <c r="H108" s="526">
        <f>G108/E108</f>
        <v>0.13372592847317752</v>
      </c>
      <c r="I108" s="157">
        <f>C68+C71+C74</f>
        <v>62703594.845827684</v>
      </c>
      <c r="J108" s="157">
        <f>D68+D71+D74</f>
        <v>69930262.925790146</v>
      </c>
      <c r="K108" s="157">
        <f t="shared" si="43"/>
        <v>7226668.0799624622</v>
      </c>
      <c r="L108" s="439">
        <f t="shared" si="44"/>
        <v>0.1152512562913022</v>
      </c>
      <c r="N108" s="313" t="s">
        <v>620</v>
      </c>
      <c r="O108" s="121"/>
      <c r="P108" s="121"/>
      <c r="Q108" s="124">
        <f>'Test Year Monthly - (Pres)'!P26+'Test Year Monthly - (Pres)'!P35+'Test Year Monthly - (Pres)'!P44</f>
        <v>7142200.9681165367</v>
      </c>
      <c r="R108" s="22">
        <f>('Test Year Monthly - (Pres)'!P22+'Test Year Monthly - (Pres)'!P31+'Test Year Monthly - (Pres)'!P40)/12</f>
        <v>20110.25</v>
      </c>
      <c r="S108" s="644">
        <f t="shared" ref="S108:S109" si="49">ROUND(Q108/R108/12,1)</f>
        <v>29.6</v>
      </c>
      <c r="AL108" s="582" t="s">
        <v>718</v>
      </c>
      <c r="AM108" s="585">
        <f>(AN41+AN49+AN57+AN73)/($AN$5+$AN$14+$AN$23+$AN$32+$AN$41+$AN$49+$AN$57+$AN$73)</f>
        <v>2.2706960088064686E-2</v>
      </c>
      <c r="AN108" s="583">
        <f t="shared" si="45"/>
        <v>421246.27394760714</v>
      </c>
      <c r="AO108" s="581">
        <f>AM41+AM49+AM57+AM73</f>
        <v>2372.1538461538457</v>
      </c>
      <c r="AP108" s="586">
        <f t="shared" si="46"/>
        <v>177.57966020231189</v>
      </c>
      <c r="AQ108" s="582"/>
      <c r="AR108" s="588">
        <f>AN41+AN49+AN57+AN73</f>
        <v>1233520</v>
      </c>
      <c r="AS108" s="588">
        <f>AP41+AP49+AP57+AP73</f>
        <v>1624925</v>
      </c>
      <c r="AT108" s="589">
        <f t="shared" si="47"/>
        <v>391405</v>
      </c>
      <c r="AU108" s="583">
        <f t="shared" si="48"/>
        <v>-29841.273947607144</v>
      </c>
    </row>
    <row r="109" spans="1:47">
      <c r="A109" s="121"/>
      <c r="B109" s="639" t="s">
        <v>621</v>
      </c>
      <c r="C109"/>
      <c r="D109" s="524">
        <f>S109</f>
        <v>2025.9</v>
      </c>
      <c r="E109" s="525">
        <f>ROUND(E120+$D109*E147+IF($D109&gt;15000,($D109-15000)*E134+15000*E133,$D109*E133),2)</f>
        <v>8375.43</v>
      </c>
      <c r="F109" s="525">
        <f>ROUND(F120+$D109*F147+IF($D109&gt;15000,($D109-15000)*F134+15000*F133,$D109*F133),2)</f>
        <v>9229.0300000000007</v>
      </c>
      <c r="G109" s="525">
        <f>F109-E109</f>
        <v>853.60000000000036</v>
      </c>
      <c r="H109" s="526">
        <f>G109/E109</f>
        <v>0.10191715529829518</v>
      </c>
      <c r="I109" s="157">
        <f>C69+C72</f>
        <v>1069371.3726161905</v>
      </c>
      <c r="J109" s="157">
        <f>D69+D72</f>
        <v>1147741.9080530405</v>
      </c>
      <c r="K109" s="157">
        <f t="shared" si="43"/>
        <v>78370.535436850041</v>
      </c>
      <c r="L109" s="439">
        <f t="shared" si="44"/>
        <v>7.3286547072153679E-2</v>
      </c>
      <c r="N109" s="313" t="s">
        <v>621</v>
      </c>
      <c r="O109" s="121"/>
      <c r="P109" s="121"/>
      <c r="Q109" s="124">
        <f>'Test Year Monthly - (Pres)'!P52+'Test Year Monthly - (Pres)'!P60</f>
        <v>212714.5135</v>
      </c>
      <c r="R109" s="22">
        <f>('Test Year Monthly - (Pres)'!P49+'Test Year Monthly - (Pres)'!P57)/12</f>
        <v>8.75</v>
      </c>
      <c r="S109" s="644">
        <f t="shared" si="49"/>
        <v>2025.9</v>
      </c>
      <c r="AL109" s="582"/>
      <c r="AM109" s="582"/>
      <c r="AN109" s="582"/>
      <c r="AO109" s="582"/>
      <c r="AP109" s="582"/>
      <c r="AQ109" s="582"/>
      <c r="AR109" s="587">
        <f>SUM(AR106:AR108)</f>
        <v>54323431.899999999</v>
      </c>
      <c r="AS109" s="587">
        <f t="shared" ref="AS109:AT109" si="50">SUM(AS106:AS108)</f>
        <v>67862225</v>
      </c>
      <c r="AT109" s="587">
        <f t="shared" si="50"/>
        <v>13538793.100000001</v>
      </c>
      <c r="AU109" s="582"/>
    </row>
    <row r="110" spans="1:47">
      <c r="A110" s="121"/>
      <c r="B110" s="639" t="s">
        <v>623</v>
      </c>
      <c r="C110"/>
      <c r="D110" s="524">
        <f>S110</f>
        <v>10110.9</v>
      </c>
      <c r="E110" s="525">
        <f>ROUND(E121+E155+IF($D110&gt;15000,($D110-15000)*E137+15000*E136,$D110*E136),2)</f>
        <v>10232.99</v>
      </c>
      <c r="F110" s="525">
        <f>ROUND(F121+F155+IF($D110&gt;15000,($D110-15000)*F137+15000*F136,$D110*F136),2)</f>
        <v>13834.68</v>
      </c>
      <c r="G110" s="525">
        <f>F110-E110</f>
        <v>3601.6900000000005</v>
      </c>
      <c r="H110" s="526">
        <f>G110/E110</f>
        <v>0.35196848623911492</v>
      </c>
      <c r="I110" s="157">
        <f>'Test Year Monthly - (Pres)'!Q87</f>
        <v>8179587.6445077807</v>
      </c>
      <c r="J110" s="157">
        <f>'Test Year Monthly - (Prop)'!Q87</f>
        <v>11039719</v>
      </c>
      <c r="K110" s="157">
        <f t="shared" si="43"/>
        <v>2860131.3554922193</v>
      </c>
      <c r="L110" s="439">
        <f t="shared" si="44"/>
        <v>0.34966693674499189</v>
      </c>
      <c r="N110" s="313" t="s">
        <v>623</v>
      </c>
      <c r="O110" s="121"/>
      <c r="P110" s="121"/>
      <c r="Q110" s="124">
        <f>'Test Year Monthly - (Pres)'!P87</f>
        <v>8614485.2873999998</v>
      </c>
      <c r="R110" s="22">
        <f>'Test Year Monthly - (Pres)'!P81/12</f>
        <v>71</v>
      </c>
      <c r="S110" s="644">
        <f>ROUND(Q110/R110/12,1)</f>
        <v>10110.9</v>
      </c>
      <c r="AL110" s="683" t="s">
        <v>733</v>
      </c>
      <c r="AM110" s="683"/>
      <c r="AN110" s="683"/>
      <c r="AO110" s="683"/>
      <c r="AP110" s="683"/>
      <c r="AQ110" s="582"/>
      <c r="AR110" s="582"/>
      <c r="AS110" s="582"/>
      <c r="AT110" s="582"/>
      <c r="AU110" s="582"/>
    </row>
    <row r="111" spans="1:47">
      <c r="B111" s="639" t="s">
        <v>622</v>
      </c>
      <c r="C111"/>
      <c r="D111" s="524">
        <f>S111</f>
        <v>5589.5</v>
      </c>
      <c r="E111" s="525">
        <f>ROUND(E122+E156+IF($D111&gt;15000,($D111-15000)*E141+(15000-300)*E140+300*E139,IF($D111&gt;300,($D111-300)*E140+300*E139,$D111*E139)),2)</f>
        <v>6727.05</v>
      </c>
      <c r="F111" s="525">
        <f>ROUND(F122+F156+IF($D111&gt;15000,($D111-15000)*F141+(15000-300)*F140+300*F139,IF($D111&gt;300,($D111-300)*F140+300*F139,$D111*F139)),2)</f>
        <v>9861.8700000000008</v>
      </c>
      <c r="G111" s="525">
        <f>F111-E111</f>
        <v>3134.8200000000006</v>
      </c>
      <c r="H111" s="526">
        <f>G111/E111</f>
        <v>0.46600218520748332</v>
      </c>
      <c r="I111" s="157">
        <f>'Test Year Monthly - (Pres)'!Q72</f>
        <v>9273095.0083004031</v>
      </c>
      <c r="J111" s="157">
        <f>'Test Year Monthly - (Prop)'!Q72</f>
        <v>13550071</v>
      </c>
      <c r="K111" s="157">
        <f t="shared" si="43"/>
        <v>4276975.9916995969</v>
      </c>
      <c r="L111" s="439">
        <f t="shared" si="44"/>
        <v>0.4612242177904195</v>
      </c>
      <c r="N111" s="313" t="s">
        <v>622</v>
      </c>
      <c r="O111" s="121"/>
      <c r="P111" s="121"/>
      <c r="Q111" s="124">
        <f>'Test Year Monthly - (Pres)'!P72</f>
        <v>7910070.2277023811</v>
      </c>
      <c r="R111" s="22">
        <f>'Test Year Monthly - (Pres)'!P65/12</f>
        <v>117.92948717948717</v>
      </c>
      <c r="S111" s="644">
        <f>ROUND(Q111/R111/12,1)</f>
        <v>5589.5</v>
      </c>
      <c r="AL111" s="582" t="s">
        <v>720</v>
      </c>
      <c r="AM111" s="526">
        <f>SUM(I43:I48)/SUM(L43:L48)</f>
        <v>0.4353339224911017</v>
      </c>
      <c r="AN111" s="582"/>
      <c r="AO111" s="582"/>
      <c r="AP111" s="582"/>
      <c r="AQ111" s="582"/>
      <c r="AR111" s="582"/>
      <c r="AS111" s="582"/>
      <c r="AT111" s="582"/>
      <c r="AU111" s="582"/>
    </row>
    <row r="112" spans="1:47">
      <c r="A112" s="121"/>
      <c r="B112" s="641" t="s">
        <v>338</v>
      </c>
      <c r="E112" s="525"/>
      <c r="F112" s="525"/>
      <c r="G112" s="525"/>
      <c r="I112" s="157">
        <f>C76</f>
        <v>426373.89996584691</v>
      </c>
      <c r="J112" s="157">
        <f>D76</f>
        <v>587770.1814160737</v>
      </c>
      <c r="K112" s="157">
        <f t="shared" si="43"/>
        <v>161396.28145022679</v>
      </c>
      <c r="L112" s="439">
        <f t="shared" si="44"/>
        <v>0.37853227287869834</v>
      </c>
      <c r="AL112" s="582" t="s">
        <v>713</v>
      </c>
      <c r="AM112" s="587">
        <f>AM102</f>
        <v>33001303.719418034</v>
      </c>
      <c r="AN112" s="582"/>
      <c r="AO112" s="582"/>
      <c r="AP112" s="582"/>
      <c r="AQ112" s="582"/>
      <c r="AR112" s="582"/>
      <c r="AS112" s="582"/>
      <c r="AT112" s="582"/>
      <c r="AU112" s="582"/>
    </row>
    <row r="113" spans="1:47">
      <c r="A113" s="121"/>
      <c r="E113" s="525"/>
      <c r="F113" s="525"/>
      <c r="G113" s="525"/>
      <c r="I113" s="424">
        <f>SUM(I107:I112)</f>
        <v>184703778.17165571</v>
      </c>
      <c r="J113" s="424">
        <f>SUM(J107:J112)</f>
        <v>217704942.25331548</v>
      </c>
      <c r="K113" s="424">
        <f>J113-I113</f>
        <v>33001164.081659764</v>
      </c>
      <c r="L113" s="640">
        <f t="shared" si="44"/>
        <v>0.17867075816386338</v>
      </c>
      <c r="AL113" s="582" t="s">
        <v>721</v>
      </c>
      <c r="AM113" s="587">
        <f>AM112*AM111</f>
        <v>14366586.995494436</v>
      </c>
      <c r="AN113" s="582"/>
      <c r="AO113" s="582"/>
      <c r="AP113" s="582"/>
      <c r="AQ113" s="582"/>
      <c r="AR113" s="582"/>
      <c r="AS113" s="582"/>
      <c r="AT113" s="582"/>
      <c r="AU113" s="582"/>
    </row>
    <row r="114" spans="1:47">
      <c r="A114" s="121"/>
      <c r="E114" s="525"/>
      <c r="F114" s="525"/>
      <c r="G114" s="525"/>
      <c r="AL114" s="582"/>
      <c r="AM114" s="582"/>
      <c r="AN114" s="582"/>
      <c r="AO114" s="582"/>
      <c r="AP114" s="582"/>
      <c r="AQ114" s="582"/>
      <c r="AR114" s="682" t="s">
        <v>730</v>
      </c>
      <c r="AS114" s="682"/>
      <c r="AT114" s="682"/>
      <c r="AU114" s="582"/>
    </row>
    <row r="115" spans="1:47">
      <c r="A115" s="121"/>
      <c r="E115" s="525"/>
      <c r="F115" s="525"/>
      <c r="G115" s="525"/>
      <c r="AL115" s="582"/>
      <c r="AM115" s="627" t="s">
        <v>725</v>
      </c>
      <c r="AN115" s="627" t="s">
        <v>722</v>
      </c>
      <c r="AO115" s="627" t="s">
        <v>723</v>
      </c>
      <c r="AP115" s="627" t="s">
        <v>724</v>
      </c>
      <c r="AQ115" s="582"/>
      <c r="AR115" s="584" t="s">
        <v>727</v>
      </c>
      <c r="AS115" s="584" t="s">
        <v>341</v>
      </c>
      <c r="AT115" s="584" t="s">
        <v>728</v>
      </c>
      <c r="AU115" s="582"/>
    </row>
    <row r="116" spans="1:47" ht="16.5" thickBot="1">
      <c r="B116" s="687" t="s">
        <v>624</v>
      </c>
      <c r="C116" s="687"/>
      <c r="D116" s="687"/>
      <c r="E116" s="687"/>
      <c r="F116" s="687"/>
      <c r="G116" s="687"/>
      <c r="H116" s="687"/>
      <c r="I116" s="687"/>
      <c r="J116" s="687"/>
      <c r="AL116" s="582" t="s">
        <v>719</v>
      </c>
      <c r="AM116" s="581">
        <f>SUM(AN6:AN8)</f>
        <v>15387923.262381539</v>
      </c>
      <c r="AN116" s="526">
        <f>AM116/SUM($AM$116:$AM$119)</f>
        <v>0.36577690584435474</v>
      </c>
      <c r="AO116" s="583">
        <f>AN116*$AM$113</f>
        <v>5254965.7387557002</v>
      </c>
      <c r="AP116" s="526">
        <f>AO116/AM116</f>
        <v>0.34149934654290748</v>
      </c>
      <c r="AQ116" s="582"/>
      <c r="AR116" s="581">
        <f>SUM(AN6:AN8)</f>
        <v>15387923.262381539</v>
      </c>
      <c r="AS116" s="581">
        <f>SUM(AP6:AP8)</f>
        <v>22810064</v>
      </c>
      <c r="AT116" s="587">
        <f>AS116-AR116</f>
        <v>7422140.7376184613</v>
      </c>
      <c r="AU116" s="587">
        <f>AT116-AO116</f>
        <v>2167174.9988627611</v>
      </c>
    </row>
    <row r="117" spans="1:47">
      <c r="B117" s="636" t="s">
        <v>625</v>
      </c>
      <c r="C117"/>
      <c r="D117"/>
      <c r="E117" s="280" t="s">
        <v>117</v>
      </c>
      <c r="F117" s="280" t="s">
        <v>142</v>
      </c>
      <c r="G117"/>
      <c r="H117"/>
      <c r="I117"/>
      <c r="J117"/>
      <c r="AL117" s="582" t="s">
        <v>717</v>
      </c>
      <c r="AM117" s="581">
        <f>SUM(AN15:AN17,AN24:AN26,AN33:AN35)</f>
        <v>10479733.920037542</v>
      </c>
      <c r="AN117" s="526">
        <f>AM117/SUM($AM$116:$AM$119)</f>
        <v>0.24910734099607171</v>
      </c>
      <c r="AO117" s="583">
        <f>AN117*$AM$113</f>
        <v>3578822.2856363617</v>
      </c>
      <c r="AP117" s="526">
        <f t="shared" ref="AP117:AP119" si="51">AO117/AM117</f>
        <v>0.34149934654290737</v>
      </c>
      <c r="AQ117" s="582"/>
      <c r="AR117" s="581">
        <f>SUM(AN15:AN17,AN24:AN26,AN33:AN35)</f>
        <v>10479733.920037542</v>
      </c>
      <c r="AS117" s="581">
        <f>SUM(AP15:AP17,AP24:AP26,AP33:AP35)</f>
        <v>15534495</v>
      </c>
      <c r="AT117" s="587">
        <f t="shared" ref="AT117:AT119" si="52">AS117-AR117</f>
        <v>5054761.0799624585</v>
      </c>
      <c r="AU117" s="587">
        <f t="shared" ref="AU117:AU119" si="53">AT117-AO117</f>
        <v>1475938.7943260968</v>
      </c>
    </row>
    <row r="118" spans="1:47">
      <c r="B118" s="639" t="s">
        <v>619</v>
      </c>
      <c r="C118"/>
      <c r="D118"/>
      <c r="E118" s="527">
        <f>'Test Year Monthly - (Pres)'!C13</f>
        <v>19.3</v>
      </c>
      <c r="F118" s="527">
        <f>'Test Year Monthly - (Prop)'!C13</f>
        <v>25</v>
      </c>
      <c r="G118"/>
      <c r="H118"/>
      <c r="I118" s="527">
        <f>F118-E118</f>
        <v>5.6999999999999993</v>
      </c>
      <c r="J118" s="526">
        <f>I118/E118</f>
        <v>0.29533678756476678</v>
      </c>
      <c r="AL118" s="582" t="s">
        <v>731</v>
      </c>
      <c r="AM118" s="581">
        <f>SUM(AN42:AN43,AN50:AN51,AN77:AN78)</f>
        <v>7818502.1090709306</v>
      </c>
      <c r="AN118" s="526">
        <f>AM118/SUM($AM$116:$AM$119)</f>
        <v>0.18584882839810318</v>
      </c>
      <c r="AO118" s="583">
        <f>AN118*$AM$113</f>
        <v>2670013.3611920662</v>
      </c>
      <c r="AP118" s="526">
        <f t="shared" si="51"/>
        <v>0.34149934654290742</v>
      </c>
      <c r="AQ118" s="582"/>
      <c r="AR118" s="581">
        <f>SUM(AN42:AN43,AN50:AN51,AN77:AN78)</f>
        <v>7818502.1090709306</v>
      </c>
      <c r="AS118" s="581">
        <f>SUM(AP42:AP43,AP50:AP51,AP77:AP78)</f>
        <v>10599099</v>
      </c>
      <c r="AT118" s="587">
        <f t="shared" si="52"/>
        <v>2780596.8909290694</v>
      </c>
      <c r="AU118" s="587">
        <f t="shared" si="53"/>
        <v>110583.52973700315</v>
      </c>
    </row>
    <row r="119" spans="1:47">
      <c r="B119" s="639" t="s">
        <v>620</v>
      </c>
      <c r="C119"/>
      <c r="D119"/>
      <c r="E119" s="528">
        <f>'Test Year Monthly - (Pres)'!C22</f>
        <v>66</v>
      </c>
      <c r="F119" s="528">
        <f>'Test Year Monthly - (Prop)'!C22</f>
        <v>75</v>
      </c>
      <c r="G119"/>
      <c r="H119"/>
      <c r="I119" s="527">
        <f>F119-E119</f>
        <v>9</v>
      </c>
      <c r="J119" s="526">
        <f>I119/E119</f>
        <v>0.13636363636363635</v>
      </c>
      <c r="AL119" s="582" t="s">
        <v>553</v>
      </c>
      <c r="AM119" s="581">
        <f>SUM(AN61:AN63)</f>
        <v>8382990.0083004031</v>
      </c>
      <c r="AN119" s="526">
        <f>AM119/SUM($AM$116:$AM$119)</f>
        <v>0.19926692476147045</v>
      </c>
      <c r="AO119" s="583">
        <f>AN119*$AM$113</f>
        <v>2862785.6099103098</v>
      </c>
      <c r="AP119" s="526">
        <f t="shared" si="51"/>
        <v>0.34149934654290742</v>
      </c>
      <c r="AQ119" s="582"/>
      <c r="AR119" s="590">
        <f>SUM(AN61:AN63)</f>
        <v>8382990.0083004031</v>
      </c>
      <c r="AS119" s="590">
        <f>SUM(AP61:AP63)</f>
        <v>12426466</v>
      </c>
      <c r="AT119" s="589">
        <f t="shared" si="52"/>
        <v>4043475.9916995969</v>
      </c>
      <c r="AU119" s="587">
        <f t="shared" si="53"/>
        <v>1180690.3817892871</v>
      </c>
    </row>
    <row r="120" spans="1:47">
      <c r="B120" s="639" t="s">
        <v>621</v>
      </c>
      <c r="C120"/>
      <c r="D120"/>
      <c r="E120" s="528">
        <f>'Test Year Monthly - (Pres)'!C49</f>
        <v>520</v>
      </c>
      <c r="F120" s="528">
        <f>'Test Year Monthly - (Prop)'!C49</f>
        <v>685</v>
      </c>
      <c r="G120"/>
      <c r="H120"/>
      <c r="I120" s="527">
        <f>F120-E120</f>
        <v>165</v>
      </c>
      <c r="J120" s="526">
        <f>I120/E120</f>
        <v>0.31730769230769229</v>
      </c>
      <c r="AL120" s="313"/>
      <c r="AM120" s="313"/>
      <c r="AN120" s="313"/>
      <c r="AO120" s="313"/>
      <c r="AP120" s="313"/>
      <c r="AQ120" s="313"/>
      <c r="AR120" s="580">
        <f>SUM(AR117:AR119)</f>
        <v>26681226.037408873</v>
      </c>
      <c r="AS120" s="580">
        <f>SUM(AS117:AS119)</f>
        <v>38560060</v>
      </c>
      <c r="AT120" s="580">
        <f>SUM(AT117:AT119)</f>
        <v>11878833.962591125</v>
      </c>
      <c r="AU120" s="582"/>
    </row>
    <row r="121" spans="1:47">
      <c r="B121" s="639" t="s">
        <v>623</v>
      </c>
      <c r="C121"/>
      <c r="D121"/>
      <c r="E121" s="528">
        <f>'Test Year Monthly - (Pres)'!C81</f>
        <v>520</v>
      </c>
      <c r="F121" s="528">
        <f>'Test Year Monthly - (Prop)'!C81</f>
        <v>685</v>
      </c>
      <c r="G121"/>
      <c r="H121"/>
      <c r="I121" s="527">
        <f>F121-E121</f>
        <v>165</v>
      </c>
      <c r="J121" s="526">
        <f>I121/E121</f>
        <v>0.31730769230769229</v>
      </c>
      <c r="M121"/>
      <c r="AL121" s="313"/>
      <c r="AM121" s="313"/>
      <c r="AN121" s="313"/>
      <c r="AO121" s="313"/>
      <c r="AP121" s="313"/>
      <c r="AQ121" s="313"/>
      <c r="AR121" s="313"/>
      <c r="AS121" s="582"/>
      <c r="AT121" s="582"/>
      <c r="AU121" s="582"/>
    </row>
    <row r="122" spans="1:47">
      <c r="B122" s="639" t="s">
        <v>622</v>
      </c>
      <c r="C122"/>
      <c r="D122"/>
      <c r="E122" s="528">
        <f>'Test Year Monthly - (Pres)'!C65</f>
        <v>520</v>
      </c>
      <c r="F122" s="528">
        <f>'Test Year Monthly - (Prop)'!C65</f>
        <v>685</v>
      </c>
      <c r="G122"/>
      <c r="H122"/>
      <c r="I122" s="527">
        <f>F122-E122</f>
        <v>165</v>
      </c>
      <c r="J122" s="526">
        <f>I122/E122</f>
        <v>0.31730769230769229</v>
      </c>
      <c r="M122"/>
      <c r="AR122" s="681" t="s">
        <v>743</v>
      </c>
      <c r="AS122" s="681"/>
      <c r="AT122" s="681"/>
    </row>
    <row r="123" spans="1:47">
      <c r="B123"/>
      <c r="C123"/>
      <c r="D123"/>
      <c r="E123"/>
      <c r="F123"/>
      <c r="G123"/>
      <c r="H123"/>
      <c r="I123"/>
      <c r="J123"/>
      <c r="M123"/>
      <c r="N123" s="637"/>
      <c r="AR123" s="584" t="s">
        <v>727</v>
      </c>
      <c r="AS123" s="584" t="s">
        <v>341</v>
      </c>
      <c r="AT123" s="584" t="s">
        <v>728</v>
      </c>
    </row>
    <row r="124" spans="1:47">
      <c r="B124" s="636" t="s">
        <v>626</v>
      </c>
      <c r="C124"/>
      <c r="D124"/>
      <c r="E124" s="679" t="s">
        <v>745</v>
      </c>
      <c r="F124" s="679"/>
      <c r="G124" s="686" t="s">
        <v>651</v>
      </c>
      <c r="H124" s="686"/>
      <c r="I124"/>
      <c r="J124"/>
      <c r="M124"/>
      <c r="AL124" s="680" t="s">
        <v>742</v>
      </c>
      <c r="AM124" s="680"/>
      <c r="AN124" s="680"/>
      <c r="AO124" s="680"/>
      <c r="AP124" s="680"/>
      <c r="AQ124" s="680"/>
      <c r="AR124" s="579">
        <f>'Test Year Monthly - (Pres)'!P99+'Test Year Monthly - (Pres)'!P100</f>
        <v>426373.89996584691</v>
      </c>
      <c r="AS124" s="579">
        <f>'Test Year Monthly - (Prop)'!P99+'Test Year Monthly - (Prop)'!P100</f>
        <v>587770.1814160737</v>
      </c>
      <c r="AT124" s="587">
        <f>AS124-AR124</f>
        <v>161396.28145022679</v>
      </c>
      <c r="AU124" s="579"/>
    </row>
    <row r="125" spans="1:47">
      <c r="B125" s="639" t="s">
        <v>619</v>
      </c>
      <c r="C125"/>
      <c r="D125" t="s">
        <v>627</v>
      </c>
      <c r="E125" s="529">
        <f>'Test Year Monthly - (Pres)'!C14+M125</f>
        <v>1.5483</v>
      </c>
      <c r="F125" s="529">
        <f>'Test Year Monthly - (Prop)'!C14+M125</f>
        <v>2.2951000000000001</v>
      </c>
      <c r="G125" s="530">
        <f t="shared" ref="G125:H127" si="54">E125+E$145</f>
        <v>5.6298000000000004</v>
      </c>
      <c r="H125" s="530">
        <f t="shared" si="54"/>
        <v>6.3765999999999998</v>
      </c>
      <c r="I125" s="530">
        <f t="shared" ref="I125:I141" si="55">H125-G125</f>
        <v>0.74679999999999946</v>
      </c>
      <c r="J125" s="526">
        <f t="shared" ref="J125:J141" si="56">I125/G125</f>
        <v>0.13265124871220993</v>
      </c>
      <c r="M125"/>
      <c r="AL125" s="313"/>
      <c r="AM125" s="313"/>
      <c r="AN125" s="313"/>
      <c r="AO125" s="313"/>
      <c r="AP125" s="313"/>
      <c r="AQ125" s="313"/>
      <c r="AR125" s="313"/>
      <c r="AS125" s="582"/>
      <c r="AT125" s="582"/>
      <c r="AU125"/>
    </row>
    <row r="126" spans="1:47">
      <c r="B126" s="639"/>
      <c r="C126"/>
      <c r="D126" t="s">
        <v>628</v>
      </c>
      <c r="E126" s="529">
        <f>'Test Year Monthly - (Pres)'!C15+M126</f>
        <v>1.0762</v>
      </c>
      <c r="F126" s="529">
        <f>'Test Year Monthly - (Prop)'!C15+M126</f>
        <v>1.5952999999999999</v>
      </c>
      <c r="G126" s="530">
        <f t="shared" si="54"/>
        <v>5.1577000000000002</v>
      </c>
      <c r="H126" s="530">
        <f t="shared" si="54"/>
        <v>5.6768000000000001</v>
      </c>
      <c r="I126" s="530">
        <f t="shared" si="55"/>
        <v>0.51909999999999989</v>
      </c>
      <c r="J126" s="526">
        <f t="shared" si="56"/>
        <v>0.10064563662097444</v>
      </c>
      <c r="M126"/>
    </row>
    <row r="127" spans="1:47">
      <c r="B127" s="639"/>
      <c r="C127"/>
      <c r="D127" t="s">
        <v>629</v>
      </c>
      <c r="E127" s="529">
        <f>'Test Year Monthly - (Pres)'!C16+M127</f>
        <v>0.88880000000000003</v>
      </c>
      <c r="F127" s="529">
        <f>'Test Year Monthly - (Prop)'!C16+M127</f>
        <v>1.3174999999999999</v>
      </c>
      <c r="G127" s="530">
        <f t="shared" si="54"/>
        <v>4.9702999999999999</v>
      </c>
      <c r="H127" s="530">
        <f t="shared" si="54"/>
        <v>5.399</v>
      </c>
      <c r="I127" s="530">
        <f t="shared" si="55"/>
        <v>0.42870000000000008</v>
      </c>
      <c r="J127" s="526">
        <f t="shared" si="56"/>
        <v>8.6252338893024583E-2</v>
      </c>
      <c r="M127"/>
    </row>
    <row r="128" spans="1:47">
      <c r="B128" s="639"/>
      <c r="C128"/>
      <c r="D128"/>
      <c r="E128" s="529"/>
      <c r="F128" s="529"/>
      <c r="G128" s="530"/>
      <c r="H128" s="530"/>
      <c r="I128" s="530"/>
      <c r="J128" s="526"/>
      <c r="M128"/>
    </row>
    <row r="129" spans="2:15">
      <c r="B129" s="639" t="s">
        <v>620</v>
      </c>
      <c r="C129"/>
      <c r="D129" t="s">
        <v>627</v>
      </c>
      <c r="E129" s="529">
        <f>'Test Year Monthly - (Pres)'!C23+M128</f>
        <v>1.5483</v>
      </c>
      <c r="F129" s="529">
        <f>'Test Year Monthly - (Prop)'!C23+M128</f>
        <v>2.2951000000000001</v>
      </c>
      <c r="G129" s="530">
        <f t="shared" ref="G129:H131" si="57">E129+E$146</f>
        <v>5.6298000000000004</v>
      </c>
      <c r="H129" s="530">
        <f t="shared" si="57"/>
        <v>6.3765999999999998</v>
      </c>
      <c r="I129" s="530">
        <f t="shared" si="55"/>
        <v>0.74679999999999946</v>
      </c>
      <c r="J129" s="526">
        <f t="shared" si="56"/>
        <v>0.13265124871220993</v>
      </c>
      <c r="M129"/>
    </row>
    <row r="130" spans="2:15">
      <c r="B130" s="639"/>
      <c r="C130"/>
      <c r="D130" t="s">
        <v>628</v>
      </c>
      <c r="E130" s="529">
        <f>'Test Year Monthly - (Pres)'!C24+M129</f>
        <v>1.0762</v>
      </c>
      <c r="F130" s="529">
        <f>'Test Year Monthly - (Prop)'!C24+M129</f>
        <v>1.5952999999999999</v>
      </c>
      <c r="G130" s="530">
        <f t="shared" si="57"/>
        <v>5.1577000000000002</v>
      </c>
      <c r="H130" s="530">
        <f t="shared" si="57"/>
        <v>5.6768000000000001</v>
      </c>
      <c r="I130" s="530">
        <f t="shared" si="55"/>
        <v>0.51909999999999989</v>
      </c>
      <c r="J130" s="526">
        <f t="shared" si="56"/>
        <v>0.10064563662097444</v>
      </c>
      <c r="M130"/>
    </row>
    <row r="131" spans="2:15">
      <c r="B131" s="639"/>
      <c r="C131"/>
      <c r="D131" t="s">
        <v>629</v>
      </c>
      <c r="E131" s="529">
        <f>'Test Year Monthly - (Pres)'!C25+M130</f>
        <v>0.88880000000000003</v>
      </c>
      <c r="F131" s="529">
        <f>'Test Year Monthly - (Prop)'!C25+M130</f>
        <v>1.3174999999999999</v>
      </c>
      <c r="G131" s="530">
        <f t="shared" si="57"/>
        <v>4.9702999999999999</v>
      </c>
      <c r="H131" s="530">
        <f t="shared" si="57"/>
        <v>5.399</v>
      </c>
      <c r="I131" s="530">
        <f t="shared" si="55"/>
        <v>0.42870000000000008</v>
      </c>
      <c r="J131" s="526">
        <f t="shared" si="56"/>
        <v>8.6252338893024583E-2</v>
      </c>
      <c r="M131"/>
    </row>
    <row r="132" spans="2:15">
      <c r="B132" s="639"/>
      <c r="C132"/>
      <c r="D132"/>
      <c r="E132" s="529"/>
      <c r="F132" s="529"/>
      <c r="G132" s="530"/>
      <c r="H132" s="530"/>
      <c r="I132" s="530"/>
      <c r="J132" s="526"/>
      <c r="M132"/>
    </row>
    <row r="133" spans="2:15">
      <c r="B133" s="639" t="s">
        <v>621</v>
      </c>
      <c r="C133"/>
      <c r="D133" t="s">
        <v>627</v>
      </c>
      <c r="E133" s="529">
        <f>'Test Year Monthly - (Pres)'!C50+M131</f>
        <v>0.95569999999999999</v>
      </c>
      <c r="F133" s="529">
        <f>'Test Year Monthly - (Prop)'!C50+M131</f>
        <v>1.2955999999999999</v>
      </c>
      <c r="G133" s="530">
        <f>E133+E$147</f>
        <v>3.8775000000000004</v>
      </c>
      <c r="H133" s="530">
        <f>F133+F$147</f>
        <v>4.2173999999999996</v>
      </c>
      <c r="I133" s="530">
        <f t="shared" si="55"/>
        <v>0.3398999999999992</v>
      </c>
      <c r="J133" s="526">
        <f t="shared" si="56"/>
        <v>8.7659574468084894E-2</v>
      </c>
      <c r="M133"/>
    </row>
    <row r="134" spans="2:15">
      <c r="B134" s="639"/>
      <c r="C134"/>
      <c r="D134" t="s">
        <v>628</v>
      </c>
      <c r="E134" s="529">
        <f>'Test Year Monthly - (Pres)'!C51+M132</f>
        <v>0.78369999999999995</v>
      </c>
      <c r="F134" s="529">
        <f>'Test Year Monthly - (Prop)'!C51+M132</f>
        <v>1.0624</v>
      </c>
      <c r="G134" s="530">
        <f>E134+E$147</f>
        <v>3.7055000000000002</v>
      </c>
      <c r="H134" s="530">
        <f>F134+F$147</f>
        <v>3.9842000000000004</v>
      </c>
      <c r="I134" s="530">
        <f t="shared" si="55"/>
        <v>0.27870000000000017</v>
      </c>
      <c r="J134" s="526">
        <f t="shared" si="56"/>
        <v>7.5212521926865505E-2</v>
      </c>
      <c r="M134"/>
    </row>
    <row r="135" spans="2:15" ht="23.25" customHeight="1">
      <c r="B135" s="639"/>
      <c r="C135"/>
      <c r="D135"/>
      <c r="E135" s="529"/>
      <c r="F135" s="529"/>
      <c r="G135" s="530"/>
      <c r="H135" s="530"/>
      <c r="I135" s="530"/>
      <c r="J135" s="526"/>
      <c r="M135"/>
    </row>
    <row r="136" spans="2:15">
      <c r="B136" s="639" t="s">
        <v>623</v>
      </c>
      <c r="C136"/>
      <c r="D136" t="s">
        <v>627</v>
      </c>
      <c r="E136" s="529">
        <f>'Test Year Monthly - (Pres)'!C85+M136</f>
        <v>0.95569999999999999</v>
      </c>
      <c r="F136" s="529">
        <f>'Test Year Monthly - (Prop)'!C85+M136</f>
        <v>1.2955999999999999</v>
      </c>
      <c r="G136" s="530">
        <f>E136</f>
        <v>0.95569999999999999</v>
      </c>
      <c r="H136" s="530">
        <f>F136</f>
        <v>1.2955999999999999</v>
      </c>
      <c r="I136" s="530">
        <f>H136-G136</f>
        <v>0.33989999999999987</v>
      </c>
      <c r="J136" s="526">
        <f>I136/G136</f>
        <v>0.355655540441561</v>
      </c>
      <c r="M136"/>
    </row>
    <row r="137" spans="2:15">
      <c r="B137" s="639"/>
      <c r="C137"/>
      <c r="D137" t="s">
        <v>628</v>
      </c>
      <c r="E137" s="529">
        <f>'Test Year Monthly - (Pres)'!C86+M137</f>
        <v>0.78369999999999995</v>
      </c>
      <c r="F137" s="529">
        <f>'Test Year Monthly - (Prop)'!C86+M137</f>
        <v>1.0624</v>
      </c>
      <c r="G137" s="530">
        <f>E137</f>
        <v>0.78369999999999995</v>
      </c>
      <c r="H137" s="530">
        <f>F137</f>
        <v>1.0624</v>
      </c>
      <c r="I137" s="530">
        <f>H137-G137</f>
        <v>0.27870000000000006</v>
      </c>
      <c r="J137" s="526">
        <f>I137/G137</f>
        <v>0.35562077325507219</v>
      </c>
      <c r="M137"/>
    </row>
    <row r="138" spans="2:15">
      <c r="B138" s="639"/>
      <c r="C138"/>
      <c r="D138"/>
      <c r="E138" s="529"/>
      <c r="F138" s="529"/>
      <c r="G138" s="530"/>
      <c r="H138" s="530"/>
      <c r="I138" s="530"/>
      <c r="J138" s="526"/>
    </row>
    <row r="139" spans="2:15">
      <c r="B139" s="639" t="s">
        <v>622</v>
      </c>
      <c r="C139"/>
      <c r="D139" t="s">
        <v>627</v>
      </c>
      <c r="E139" s="529">
        <f>'Test Year Monthly - (Pres)'!C69+M133</f>
        <v>1.5483</v>
      </c>
      <c r="F139" s="529">
        <f>'Test Year Monthly - (Prop)'!C69+M133</f>
        <v>2.2951000000000001</v>
      </c>
      <c r="G139" s="530">
        <f>E139</f>
        <v>1.5483</v>
      </c>
      <c r="H139" s="530">
        <f>F139</f>
        <v>2.2951000000000001</v>
      </c>
      <c r="I139" s="530">
        <f t="shared" si="55"/>
        <v>0.74680000000000013</v>
      </c>
      <c r="J139" s="526">
        <f t="shared" si="56"/>
        <v>0.48233546470322297</v>
      </c>
      <c r="K139" s="638"/>
      <c r="L139" s="638"/>
      <c r="M139" s="638"/>
      <c r="N139" s="638"/>
      <c r="O139" s="423"/>
    </row>
    <row r="140" spans="2:15">
      <c r="B140"/>
      <c r="C140"/>
      <c r="D140" t="s">
        <v>628</v>
      </c>
      <c r="E140" s="529">
        <f>'Test Year Monthly - (Pres)'!C70+M134</f>
        <v>1.0762</v>
      </c>
      <c r="F140" s="529">
        <f>'Test Year Monthly - (Prop)'!C70+M134</f>
        <v>1.5952999999999999</v>
      </c>
      <c r="G140" s="530">
        <f>E140</f>
        <v>1.0762</v>
      </c>
      <c r="H140" s="530">
        <f t="shared" ref="H140:H141" si="58">F140</f>
        <v>1.5952999999999999</v>
      </c>
      <c r="I140" s="530">
        <f t="shared" si="55"/>
        <v>0.51909999999999989</v>
      </c>
      <c r="J140" s="526">
        <f t="shared" si="56"/>
        <v>0.48234528897974344</v>
      </c>
    </row>
    <row r="141" spans="2:15">
      <c r="B141"/>
      <c r="C141"/>
      <c r="D141" t="s">
        <v>629</v>
      </c>
      <c r="E141" s="529">
        <f>'Test Year Monthly - (Pres)'!C71+M135</f>
        <v>0.88880000000000003</v>
      </c>
      <c r="F141" s="529">
        <f>'Test Year Monthly - (Prop)'!C71+M135</f>
        <v>1.3174999999999999</v>
      </c>
      <c r="G141" s="530">
        <f>E141</f>
        <v>0.88880000000000003</v>
      </c>
      <c r="H141" s="530">
        <f t="shared" si="58"/>
        <v>1.3174999999999999</v>
      </c>
      <c r="I141" s="530">
        <f t="shared" si="55"/>
        <v>0.42869999999999986</v>
      </c>
      <c r="J141" s="526">
        <f t="shared" si="56"/>
        <v>0.48233573357335718</v>
      </c>
    </row>
    <row r="143" spans="2:15">
      <c r="B143"/>
      <c r="C143"/>
      <c r="D143"/>
      <c r="E143" s="678" t="s">
        <v>744</v>
      </c>
      <c r="F143" s="678"/>
      <c r="G143" s="678"/>
      <c r="H143" s="678"/>
      <c r="I143" s="678"/>
      <c r="J143" s="678"/>
    </row>
    <row r="144" spans="2:15">
      <c r="B144" s="636" t="s">
        <v>630</v>
      </c>
      <c r="C144"/>
      <c r="D144"/>
      <c r="E144" s="678"/>
      <c r="F144" s="678"/>
      <c r="G144" s="678"/>
      <c r="H144" s="678"/>
      <c r="I144" s="678"/>
      <c r="J144" s="678"/>
    </row>
    <row r="145" spans="2:10">
      <c r="B145" s="639" t="s">
        <v>619</v>
      </c>
      <c r="C145"/>
      <c r="D145"/>
      <c r="E145" s="531">
        <v>4.0815000000000001</v>
      </c>
      <c r="F145" s="530">
        <f>E145</f>
        <v>4.0815000000000001</v>
      </c>
      <c r="G145"/>
      <c r="H145"/>
      <c r="I145"/>
      <c r="J145"/>
    </row>
    <row r="146" spans="2:10">
      <c r="B146" s="639" t="s">
        <v>620</v>
      </c>
      <c r="C146"/>
      <c r="D146"/>
      <c r="E146" s="531">
        <v>4.0815000000000001</v>
      </c>
      <c r="F146" s="530">
        <f>E146</f>
        <v>4.0815000000000001</v>
      </c>
      <c r="G146"/>
      <c r="H146"/>
      <c r="I146"/>
      <c r="J146"/>
    </row>
    <row r="147" spans="2:10">
      <c r="B147" s="639" t="s">
        <v>621</v>
      </c>
      <c r="C147"/>
      <c r="D147"/>
      <c r="E147" s="531">
        <v>2.9218000000000002</v>
      </c>
      <c r="F147" s="530">
        <f>E147</f>
        <v>2.9218000000000002</v>
      </c>
      <c r="G147"/>
      <c r="H147"/>
      <c r="I147"/>
      <c r="J147"/>
    </row>
    <row r="148" spans="2:10">
      <c r="B148" s="639" t="s">
        <v>623</v>
      </c>
      <c r="C148"/>
      <c r="D148"/>
      <c r="E148" s="280" t="s">
        <v>631</v>
      </c>
      <c r="F148" s="280" t="s">
        <v>631</v>
      </c>
      <c r="G148"/>
      <c r="H148"/>
      <c r="I148"/>
      <c r="J148"/>
    </row>
    <row r="149" spans="2:10">
      <c r="B149" s="639" t="s">
        <v>622</v>
      </c>
      <c r="C149"/>
      <c r="D149"/>
      <c r="E149" s="280" t="s">
        <v>631</v>
      </c>
      <c r="F149" s="280" t="s">
        <v>631</v>
      </c>
      <c r="G149"/>
      <c r="H149"/>
      <c r="I149"/>
      <c r="J149"/>
    </row>
    <row r="150" spans="2:10">
      <c r="G150"/>
      <c r="H150"/>
      <c r="I150"/>
      <c r="J150"/>
    </row>
    <row r="151" spans="2:10">
      <c r="B151" s="636" t="s">
        <v>632</v>
      </c>
      <c r="C151"/>
      <c r="D151"/>
      <c r="E151"/>
      <c r="F151"/>
      <c r="G151"/>
      <c r="H151"/>
      <c r="I151"/>
      <c r="J151"/>
    </row>
    <row r="152" spans="2:10">
      <c r="B152" s="639" t="s">
        <v>619</v>
      </c>
      <c r="C152"/>
      <c r="D152"/>
      <c r="E152"/>
      <c r="F152"/>
      <c r="G152"/>
      <c r="H152"/>
      <c r="I152"/>
      <c r="J152"/>
    </row>
    <row r="153" spans="2:10">
      <c r="B153" s="639" t="s">
        <v>620</v>
      </c>
      <c r="C153"/>
      <c r="D153"/>
      <c r="E153"/>
      <c r="F153"/>
      <c r="G153"/>
      <c r="H153"/>
      <c r="I153"/>
      <c r="J153"/>
    </row>
    <row r="154" spans="2:10">
      <c r="B154" s="639" t="s">
        <v>621</v>
      </c>
      <c r="C154"/>
      <c r="D154"/>
      <c r="E154"/>
      <c r="F154"/>
      <c r="G154"/>
      <c r="H154"/>
      <c r="I154"/>
      <c r="J154"/>
    </row>
    <row r="155" spans="2:10">
      <c r="B155" s="639" t="s">
        <v>623</v>
      </c>
      <c r="C155"/>
      <c r="D155"/>
      <c r="E155" s="527">
        <f>E156</f>
        <v>50</v>
      </c>
      <c r="F155" s="527">
        <f>F156</f>
        <v>50</v>
      </c>
      <c r="G155"/>
      <c r="H155"/>
      <c r="I155"/>
      <c r="J155"/>
    </row>
    <row r="156" spans="2:10">
      <c r="B156" s="639" t="s">
        <v>622</v>
      </c>
      <c r="C156"/>
      <c r="D156"/>
      <c r="E156" s="527">
        <f>E37</f>
        <v>50</v>
      </c>
      <c r="F156" s="527">
        <f>J37</f>
        <v>50</v>
      </c>
      <c r="G156"/>
      <c r="H156"/>
      <c r="I156"/>
      <c r="J156"/>
    </row>
  </sheetData>
  <mergeCells count="22">
    <mergeCell ref="AM1:AN1"/>
    <mergeCell ref="AO1:AP1"/>
    <mergeCell ref="G124:H124"/>
    <mergeCell ref="B116:J116"/>
    <mergeCell ref="B102:H102"/>
    <mergeCell ref="K60:M60"/>
    <mergeCell ref="K59:M59"/>
    <mergeCell ref="K61:M61"/>
    <mergeCell ref="K62:M62"/>
    <mergeCell ref="K63:M63"/>
    <mergeCell ref="L57:M57"/>
    <mergeCell ref="B2:P2"/>
    <mergeCell ref="AR122:AT122"/>
    <mergeCell ref="AR104:AT104"/>
    <mergeCell ref="AR114:AT114"/>
    <mergeCell ref="AL99:AP99"/>
    <mergeCell ref="AL110:AP110"/>
    <mergeCell ref="E143:J144"/>
    <mergeCell ref="B3:P3"/>
    <mergeCell ref="E124:F124"/>
    <mergeCell ref="B4:P4"/>
    <mergeCell ref="AL124:AQ124"/>
  </mergeCells>
  <phoneticPr fontId="15" type="noConversion"/>
  <printOptions horizontalCentered="1"/>
  <pageMargins left="0.25" right="0.25" top="0.75" bottom="0.75" header="0.3" footer="0.3"/>
  <pageSetup scale="47" fitToHeight="2" orientation="landscape" r:id="rId1"/>
  <headerFooter alignWithMargins="0">
    <oddFooter>&amp;C&amp;A&amp;RPage &amp;P</oddFooter>
  </headerFooter>
  <rowBreaks count="1" manualBreakCount="1">
    <brk id="55" max="16383" man="1"/>
  </rowBreaks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transitionEntry="1" codeName="Sheet19"/>
  <dimension ref="A1:CL168"/>
  <sheetViews>
    <sheetView topLeftCell="BT1" zoomScaleNormal="100" workbookViewId="0">
      <selection activeCell="D50" sqref="D50"/>
    </sheetView>
  </sheetViews>
  <sheetFormatPr defaultColWidth="12.5703125" defaultRowHeight="12.75"/>
  <cols>
    <col min="1" max="1" width="5.5703125" style="2" bestFit="1" customWidth="1"/>
    <col min="2" max="2" width="29.5703125" style="2" customWidth="1"/>
    <col min="3" max="3" width="8.5703125" style="2" customWidth="1"/>
    <col min="4" max="64" width="10.5703125" style="2" customWidth="1"/>
    <col min="65" max="65" width="11" style="2" bestFit="1" customWidth="1"/>
    <col min="66" max="90" width="10.5703125" style="2" customWidth="1"/>
    <col min="91" max="16384" width="12.5703125" style="2"/>
  </cols>
  <sheetData>
    <row r="1" spans="1:90"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</row>
    <row r="2" spans="1:90"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</row>
    <row r="3" spans="1:90">
      <c r="A3" s="7"/>
      <c r="C3" s="76"/>
      <c r="D3" s="14"/>
      <c r="E3" s="14"/>
      <c r="F3" s="14"/>
      <c r="G3" s="666" t="s">
        <v>677</v>
      </c>
      <c r="H3" s="666"/>
      <c r="I3" s="666"/>
      <c r="J3" s="666"/>
      <c r="K3" s="666"/>
      <c r="L3" s="666"/>
      <c r="M3" s="666"/>
      <c r="N3" s="14"/>
      <c r="O3" s="14"/>
      <c r="P3" s="38"/>
      <c r="Q3" s="38"/>
      <c r="R3" s="15"/>
      <c r="S3" s="39"/>
    </row>
    <row r="4" spans="1:90">
      <c r="A4" s="7"/>
      <c r="B4" s="97"/>
      <c r="C4" s="15"/>
      <c r="D4" s="14"/>
      <c r="E4" s="14"/>
      <c r="F4" s="14"/>
      <c r="G4" s="666" t="s">
        <v>195</v>
      </c>
      <c r="H4" s="666"/>
      <c r="I4" s="666"/>
      <c r="J4" s="666"/>
      <c r="K4" s="666"/>
      <c r="L4" s="666"/>
      <c r="M4" s="666"/>
      <c r="N4" s="14"/>
      <c r="O4" s="14"/>
      <c r="P4" s="14"/>
      <c r="Q4" s="14"/>
      <c r="R4" s="15"/>
      <c r="S4" s="14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44"/>
    </row>
    <row r="5" spans="1:90">
      <c r="A5" s="7"/>
      <c r="B5" s="14"/>
      <c r="C5" s="40"/>
      <c r="D5" s="14"/>
      <c r="E5" s="14"/>
      <c r="F5" s="14"/>
      <c r="G5" s="666" t="str">
        <f>'Test Year Revenue Present'!A6</f>
        <v>TEST YEAR ENDING MARCH 31 2026</v>
      </c>
      <c r="H5" s="666"/>
      <c r="I5" s="666"/>
      <c r="J5" s="666"/>
      <c r="K5" s="666"/>
      <c r="L5" s="666"/>
      <c r="M5" s="666"/>
      <c r="N5" s="14"/>
      <c r="O5" s="14"/>
      <c r="P5" s="14"/>
      <c r="Q5" s="14"/>
      <c r="R5" s="40"/>
      <c r="S5" s="14"/>
      <c r="Y5" s="6"/>
      <c r="AA5" s="6"/>
    </row>
    <row r="7" spans="1:90">
      <c r="A7" s="7" t="s">
        <v>11</v>
      </c>
      <c r="D7" s="689" t="str">
        <f>"Base Period – 12 Months Ending " &amp; TEXT(EOMONTH(Dashboard!$D$8,-12),"MMMM YYYY")</f>
        <v>Base Period – 12 Months Ending June 2023</v>
      </c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4"/>
      <c r="S7" s="4"/>
      <c r="T7" s="4"/>
      <c r="U7" s="4"/>
      <c r="W7" s="4"/>
      <c r="X7" s="4"/>
      <c r="Y7" s="689" t="str">
        <f>"Test Period – 12 Months Ending " &amp; TEXT(Dashboard!$D$8,"MMMM YYYY")</f>
        <v>Test Period – 12 Months Ending June 2024</v>
      </c>
      <c r="Z7" s="690"/>
      <c r="AA7" s="690"/>
      <c r="AB7" s="690"/>
      <c r="AC7" s="690"/>
      <c r="AD7" s="690"/>
      <c r="AE7" s="690"/>
      <c r="AF7" s="690"/>
      <c r="AG7" s="690"/>
      <c r="AH7" s="690"/>
      <c r="AI7" s="690"/>
      <c r="AJ7" s="691"/>
    </row>
    <row r="8" spans="1:90">
      <c r="A8" s="8" t="s">
        <v>16</v>
      </c>
      <c r="B8" s="9" t="s">
        <v>26</v>
      </c>
      <c r="C8" s="10" t="s">
        <v>5</v>
      </c>
      <c r="D8" s="532">
        <f>WNA!C10</f>
        <v>45108</v>
      </c>
      <c r="E8" s="533">
        <f>WNA!D10</f>
        <v>45169</v>
      </c>
      <c r="F8" s="533">
        <f>WNA!E10</f>
        <v>45199</v>
      </c>
      <c r="G8" s="533">
        <f>WNA!F10</f>
        <v>45230</v>
      </c>
      <c r="H8" s="533">
        <f>WNA!G10</f>
        <v>45260</v>
      </c>
      <c r="I8" s="533">
        <f>WNA!H10</f>
        <v>45291</v>
      </c>
      <c r="J8" s="533">
        <f>WNA!I10</f>
        <v>45322</v>
      </c>
      <c r="K8" s="533">
        <f>WNA!J10</f>
        <v>45351</v>
      </c>
      <c r="L8" s="533">
        <f>WNA!K10</f>
        <v>45382</v>
      </c>
      <c r="M8" s="533">
        <f>WNA!L10</f>
        <v>45412</v>
      </c>
      <c r="N8" s="533">
        <f>WNA!M10</f>
        <v>45443</v>
      </c>
      <c r="O8" s="534">
        <f>WNA!N10</f>
        <v>45473</v>
      </c>
      <c r="P8" s="35">
        <f>WNA!O10</f>
        <v>45504</v>
      </c>
      <c r="Q8" s="35">
        <f>WNA!P10</f>
        <v>45535</v>
      </c>
      <c r="R8" s="35">
        <f>WNA!Q10</f>
        <v>45565</v>
      </c>
      <c r="S8" s="35">
        <f>WNA!R10</f>
        <v>45596</v>
      </c>
      <c r="T8" s="35">
        <f>WNA!S10</f>
        <v>45626</v>
      </c>
      <c r="U8" s="35">
        <f>WNA!T10</f>
        <v>45657</v>
      </c>
      <c r="V8" s="35">
        <f>WNA!U10</f>
        <v>45688</v>
      </c>
      <c r="W8" s="35">
        <f>WNA!V10</f>
        <v>45716</v>
      </c>
      <c r="X8" s="35">
        <f>WNA!W10</f>
        <v>45747</v>
      </c>
      <c r="Y8" s="532">
        <f>WNA!X10</f>
        <v>45777</v>
      </c>
      <c r="Z8" s="533">
        <f>WNA!Y10</f>
        <v>45808</v>
      </c>
      <c r="AA8" s="533">
        <f>WNA!Z10</f>
        <v>45838</v>
      </c>
      <c r="AB8" s="533">
        <f>WNA!AA10</f>
        <v>45869</v>
      </c>
      <c r="AC8" s="533">
        <f>WNA!AB10</f>
        <v>45900</v>
      </c>
      <c r="AD8" s="533">
        <f>WNA!AC10</f>
        <v>45930</v>
      </c>
      <c r="AE8" s="533">
        <f>WNA!AD10</f>
        <v>45961</v>
      </c>
      <c r="AF8" s="533">
        <f>WNA!AE10</f>
        <v>45991</v>
      </c>
      <c r="AG8" s="533">
        <f>WNA!AF10</f>
        <v>46022</v>
      </c>
      <c r="AH8" s="533">
        <f>WNA!AG10</f>
        <v>46053</v>
      </c>
      <c r="AI8" s="533">
        <f>WNA!AH10</f>
        <v>46081</v>
      </c>
      <c r="AJ8" s="534">
        <f>WNA!AI10</f>
        <v>46112</v>
      </c>
      <c r="AK8" s="35">
        <f>WNA!AJ10</f>
        <v>46142</v>
      </c>
      <c r="AL8" s="35">
        <f>WNA!AK10</f>
        <v>46173</v>
      </c>
      <c r="AM8" s="35">
        <f>WNA!AL10</f>
        <v>46203</v>
      </c>
      <c r="AN8" s="35">
        <f>WNA!AM10</f>
        <v>46234</v>
      </c>
      <c r="AO8" s="35">
        <f>WNA!AN10</f>
        <v>46265</v>
      </c>
      <c r="AP8" s="35">
        <f>WNA!AO10</f>
        <v>46295</v>
      </c>
      <c r="AQ8" s="35">
        <f>WNA!AP10</f>
        <v>46326</v>
      </c>
      <c r="AR8" s="35">
        <f>WNA!AQ10</f>
        <v>46356</v>
      </c>
      <c r="AS8" s="35">
        <f>WNA!AR10</f>
        <v>46387</v>
      </c>
      <c r="AT8" s="35">
        <f>WNA!AS10</f>
        <v>46418</v>
      </c>
      <c r="AU8" s="35">
        <f>WNA!AT10</f>
        <v>46446</v>
      </c>
      <c r="AV8" s="35">
        <f>WNA!AU10</f>
        <v>46477</v>
      </c>
      <c r="AW8" s="35">
        <f>WNA!AV10</f>
        <v>46507</v>
      </c>
      <c r="AX8" s="35">
        <f>WNA!AW10</f>
        <v>46538</v>
      </c>
      <c r="AY8" s="35">
        <f>WNA!AX10</f>
        <v>46568</v>
      </c>
      <c r="AZ8" s="35">
        <f>WNA!AY10</f>
        <v>46599</v>
      </c>
      <c r="BA8" s="35">
        <f>WNA!AZ10</f>
        <v>46630</v>
      </c>
      <c r="BB8" s="35">
        <f>WNA!BA10</f>
        <v>46660</v>
      </c>
      <c r="BC8" s="35">
        <f>WNA!BB10</f>
        <v>46691</v>
      </c>
      <c r="BD8" s="35">
        <f>WNA!BC10</f>
        <v>46721</v>
      </c>
      <c r="BE8" s="35">
        <f>WNA!BD10</f>
        <v>46752</v>
      </c>
      <c r="BF8" s="35">
        <f>WNA!BE10</f>
        <v>46783</v>
      </c>
      <c r="BG8" s="35">
        <f>WNA!BF10</f>
        <v>46812</v>
      </c>
      <c r="BH8" s="35">
        <f>WNA!BG10</f>
        <v>46843</v>
      </c>
      <c r="BI8" s="35">
        <f>WNA!BH10</f>
        <v>46873</v>
      </c>
      <c r="BJ8" s="35">
        <f>WNA!BI10</f>
        <v>46904</v>
      </c>
      <c r="BK8" s="35">
        <f>WNA!BJ10</f>
        <v>46934</v>
      </c>
      <c r="BL8" s="35">
        <f>WNA!BK10</f>
        <v>46965</v>
      </c>
      <c r="BM8" s="35">
        <f>WNA!BL10</f>
        <v>46996</v>
      </c>
      <c r="BN8" s="35">
        <f>WNA!BM10</f>
        <v>47026</v>
      </c>
      <c r="BO8" s="35">
        <f>WNA!BN10</f>
        <v>47057</v>
      </c>
      <c r="BP8" s="35">
        <f>WNA!BO10</f>
        <v>47087</v>
      </c>
      <c r="BQ8" s="35">
        <f>WNA!BP10</f>
        <v>47118</v>
      </c>
      <c r="BR8" s="35">
        <f>WNA!BQ10</f>
        <v>47149</v>
      </c>
      <c r="BS8" s="35">
        <f>WNA!BR10</f>
        <v>47177</v>
      </c>
      <c r="BT8" s="35">
        <f>WNA!BS10</f>
        <v>47208</v>
      </c>
      <c r="BU8" s="35">
        <f>WNA!BT10</f>
        <v>47238</v>
      </c>
      <c r="BV8" s="35">
        <f>WNA!BU10</f>
        <v>47269</v>
      </c>
      <c r="BW8" s="35">
        <f>WNA!BV10</f>
        <v>47299</v>
      </c>
      <c r="BX8" s="35">
        <f>WNA!BW10</f>
        <v>47330</v>
      </c>
      <c r="BY8" s="35">
        <f>WNA!BX10</f>
        <v>47361</v>
      </c>
      <c r="BZ8" s="35">
        <f>WNA!BY10</f>
        <v>47391</v>
      </c>
      <c r="CA8" s="35">
        <f>WNA!BZ10</f>
        <v>47422</v>
      </c>
      <c r="CB8" s="35">
        <f>WNA!CA10</f>
        <v>47452</v>
      </c>
      <c r="CC8" s="35">
        <f>WNA!CB10</f>
        <v>47483</v>
      </c>
      <c r="CD8" s="35">
        <f>WNA!CC10</f>
        <v>47514</v>
      </c>
      <c r="CE8" s="35">
        <f>WNA!CD10</f>
        <v>47542</v>
      </c>
      <c r="CF8" s="35">
        <f>WNA!CE10</f>
        <v>47573</v>
      </c>
      <c r="CG8" s="35">
        <f>WNA!CF10</f>
        <v>47603</v>
      </c>
      <c r="CH8" s="35">
        <f>WNA!CG10</f>
        <v>47634</v>
      </c>
      <c r="CI8" s="35">
        <f>WNA!CH10</f>
        <v>47664</v>
      </c>
      <c r="CJ8" s="284"/>
      <c r="CK8" s="284"/>
      <c r="CL8" s="284"/>
    </row>
    <row r="9" spans="1:90">
      <c r="B9" s="42" t="s">
        <v>12</v>
      </c>
      <c r="C9" s="42" t="s">
        <v>13</v>
      </c>
      <c r="D9" s="4" t="s">
        <v>14</v>
      </c>
      <c r="E9" s="48" t="s">
        <v>15</v>
      </c>
      <c r="F9" s="49" t="s">
        <v>80</v>
      </c>
      <c r="G9" s="49" t="s">
        <v>81</v>
      </c>
      <c r="H9" s="49" t="s">
        <v>82</v>
      </c>
      <c r="I9" s="49" t="s">
        <v>83</v>
      </c>
      <c r="J9" s="49" t="s">
        <v>84</v>
      </c>
      <c r="K9" s="49" t="s">
        <v>85</v>
      </c>
      <c r="L9" s="49" t="s">
        <v>86</v>
      </c>
      <c r="M9" s="49" t="s">
        <v>87</v>
      </c>
      <c r="N9" s="49" t="s">
        <v>88</v>
      </c>
      <c r="O9" s="49" t="s">
        <v>204</v>
      </c>
      <c r="P9" s="49" t="s">
        <v>205</v>
      </c>
      <c r="Q9" s="49" t="s">
        <v>206</v>
      </c>
      <c r="R9" s="49" t="s">
        <v>207</v>
      </c>
      <c r="S9" s="49" t="s">
        <v>208</v>
      </c>
      <c r="T9" s="49" t="s">
        <v>209</v>
      </c>
      <c r="U9" s="49" t="s">
        <v>210</v>
      </c>
      <c r="V9" s="49" t="s">
        <v>211</v>
      </c>
      <c r="W9" s="49" t="s">
        <v>212</v>
      </c>
      <c r="X9" s="49" t="s">
        <v>213</v>
      </c>
      <c r="Y9" s="49" t="s">
        <v>214</v>
      </c>
      <c r="Z9" s="49" t="s">
        <v>215</v>
      </c>
      <c r="AA9" s="49" t="s">
        <v>216</v>
      </c>
      <c r="AB9" s="49" t="s">
        <v>217</v>
      </c>
      <c r="AC9" s="49" t="s">
        <v>218</v>
      </c>
      <c r="AD9" s="49" t="s">
        <v>219</v>
      </c>
      <c r="AE9" s="49" t="s">
        <v>220</v>
      </c>
      <c r="AF9" s="49" t="s">
        <v>221</v>
      </c>
      <c r="AG9" s="49" t="s">
        <v>222</v>
      </c>
      <c r="AH9" s="49" t="s">
        <v>223</v>
      </c>
      <c r="AI9" s="49" t="s">
        <v>224</v>
      </c>
      <c r="AJ9" s="49" t="s">
        <v>225</v>
      </c>
      <c r="AK9" s="49" t="s">
        <v>226</v>
      </c>
      <c r="AL9" s="49" t="s">
        <v>227</v>
      </c>
      <c r="AM9" s="49" t="s">
        <v>228</v>
      </c>
      <c r="AN9" s="49" t="s">
        <v>229</v>
      </c>
      <c r="AO9" s="49" t="s">
        <v>230</v>
      </c>
      <c r="AP9" s="49" t="s">
        <v>231</v>
      </c>
      <c r="AQ9" s="49" t="s">
        <v>232</v>
      </c>
      <c r="AR9" s="49" t="s">
        <v>233</v>
      </c>
      <c r="AS9" s="49" t="s">
        <v>234</v>
      </c>
      <c r="AT9" s="49" t="s">
        <v>235</v>
      </c>
      <c r="AU9" s="49" t="s">
        <v>236</v>
      </c>
      <c r="AV9" s="49" t="s">
        <v>237</v>
      </c>
      <c r="AW9" s="49" t="s">
        <v>238</v>
      </c>
      <c r="AX9" s="49" t="s">
        <v>239</v>
      </c>
      <c r="AY9" s="49" t="s">
        <v>240</v>
      </c>
      <c r="AZ9" s="49" t="s">
        <v>241</v>
      </c>
      <c r="BA9" s="49" t="s">
        <v>242</v>
      </c>
      <c r="BB9" s="49" t="s">
        <v>243</v>
      </c>
      <c r="BC9" s="49" t="s">
        <v>244</v>
      </c>
      <c r="BD9" s="49" t="s">
        <v>245</v>
      </c>
      <c r="BE9" s="49" t="s">
        <v>246</v>
      </c>
      <c r="BF9" s="49" t="s">
        <v>247</v>
      </c>
      <c r="BG9" s="49" t="s">
        <v>248</v>
      </c>
      <c r="BH9" s="49" t="s">
        <v>249</v>
      </c>
      <c r="BI9" s="49" t="s">
        <v>250</v>
      </c>
      <c r="BJ9" s="49" t="s">
        <v>251</v>
      </c>
      <c r="BK9" s="49" t="s">
        <v>252</v>
      </c>
      <c r="BL9" s="49" t="s">
        <v>267</v>
      </c>
      <c r="BM9" s="49" t="s">
        <v>268</v>
      </c>
      <c r="BN9" s="49" t="s">
        <v>269</v>
      </c>
      <c r="BO9" s="49" t="s">
        <v>270</v>
      </c>
      <c r="BP9" s="49" t="s">
        <v>271</v>
      </c>
      <c r="BQ9" s="49" t="s">
        <v>272</v>
      </c>
      <c r="BR9" s="49" t="s">
        <v>273</v>
      </c>
      <c r="BS9" s="49" t="s">
        <v>274</v>
      </c>
      <c r="BT9" s="49" t="s">
        <v>275</v>
      </c>
      <c r="BU9" s="49" t="s">
        <v>276</v>
      </c>
      <c r="BV9" s="49" t="s">
        <v>277</v>
      </c>
      <c r="BW9" s="49" t="s">
        <v>278</v>
      </c>
      <c r="BX9" s="49" t="s">
        <v>297</v>
      </c>
      <c r="BY9" s="49" t="s">
        <v>298</v>
      </c>
      <c r="BZ9" s="49" t="s">
        <v>299</v>
      </c>
      <c r="CA9" s="49" t="s">
        <v>300</v>
      </c>
      <c r="CB9" s="49" t="s">
        <v>301</v>
      </c>
      <c r="CC9" s="49" t="s">
        <v>302</v>
      </c>
      <c r="CD9" s="49" t="s">
        <v>303</v>
      </c>
      <c r="CE9" s="49" t="s">
        <v>304</v>
      </c>
      <c r="CF9" s="49" t="s">
        <v>305</v>
      </c>
      <c r="CG9" s="49" t="s">
        <v>306</v>
      </c>
      <c r="CH9" s="49" t="s">
        <v>307</v>
      </c>
      <c r="CI9" s="49" t="s">
        <v>308</v>
      </c>
      <c r="CJ9" s="49"/>
      <c r="CK9" s="49"/>
      <c r="CL9" s="49"/>
    </row>
    <row r="10" spans="1:90"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</row>
    <row r="11" spans="1:90">
      <c r="A11" s="2">
        <v>1</v>
      </c>
      <c r="B11" s="23" t="s">
        <v>29</v>
      </c>
      <c r="C11" s="4"/>
      <c r="D11" s="50">
        <f>D12*$C$12+D13*$C$13+D14*$C$14+D15*$C$15</f>
        <v>3304325.8226459702</v>
      </c>
      <c r="E11" s="50">
        <f t="shared" ref="E11:BP11" si="0">E12*$C$12+E13*$C$13+E14*$C$14+E15*$C$15</f>
        <v>3299833.3181714998</v>
      </c>
      <c r="F11" s="50">
        <f t="shared" si="0"/>
        <v>3282894.9587849798</v>
      </c>
      <c r="G11" s="50">
        <f t="shared" si="0"/>
        <v>3526699.6192310899</v>
      </c>
      <c r="H11" s="50">
        <f t="shared" si="0"/>
        <v>4489137.2433400797</v>
      </c>
      <c r="I11" s="50">
        <f t="shared" si="0"/>
        <v>5472658.5331464</v>
      </c>
      <c r="J11" s="50">
        <f t="shared" si="0"/>
        <v>5988793.4099872401</v>
      </c>
      <c r="K11" s="50">
        <f t="shared" si="0"/>
        <v>6232439.6068262802</v>
      </c>
      <c r="L11" s="50">
        <f t="shared" si="0"/>
        <v>5283243.69424072</v>
      </c>
      <c r="M11" s="50">
        <f t="shared" si="0"/>
        <v>4497800.1440597102</v>
      </c>
      <c r="N11" s="50">
        <f t="shared" si="0"/>
        <v>3790403.3949276796</v>
      </c>
      <c r="O11" s="50">
        <f t="shared" si="0"/>
        <v>3382287.1617555302</v>
      </c>
      <c r="P11" s="50">
        <f t="shared" si="0"/>
        <v>3304326.0103908717</v>
      </c>
      <c r="Q11" s="50">
        <f t="shared" si="0"/>
        <v>3299833.1304265987</v>
      </c>
      <c r="R11" s="50">
        <f t="shared" si="0"/>
        <v>3282895.2218366954</v>
      </c>
      <c r="S11" s="50">
        <f t="shared" si="0"/>
        <v>3526700.0371501367</v>
      </c>
      <c r="T11" s="50">
        <f t="shared" si="0"/>
        <v>4489137.0864267787</v>
      </c>
      <c r="U11" s="50">
        <f t="shared" si="0"/>
        <v>5472659.2447268227</v>
      </c>
      <c r="V11" s="50">
        <f t="shared" si="0"/>
        <v>5988793.6646467466</v>
      </c>
      <c r="W11" s="50">
        <f t="shared" si="0"/>
        <v>6232440.2200904908</v>
      </c>
      <c r="X11" s="50">
        <f t="shared" si="0"/>
        <v>5283243.0108737489</v>
      </c>
      <c r="Y11" s="50">
        <f t="shared" si="0"/>
        <v>4497799.4522190634</v>
      </c>
      <c r="Z11" s="50">
        <f t="shared" si="0"/>
        <v>3790403.6886797687</v>
      </c>
      <c r="AA11" s="50">
        <f t="shared" si="0"/>
        <v>3382286.3949138192</v>
      </c>
      <c r="AB11" s="50">
        <f t="shared" si="0"/>
        <v>3304326.0103908717</v>
      </c>
      <c r="AC11" s="50">
        <f t="shared" si="0"/>
        <v>3299833.1304265987</v>
      </c>
      <c r="AD11" s="50">
        <f t="shared" si="0"/>
        <v>3282895.2218366954</v>
      </c>
      <c r="AE11" s="50">
        <f t="shared" si="0"/>
        <v>3526700.0371501367</v>
      </c>
      <c r="AF11" s="50">
        <f t="shared" si="0"/>
        <v>4489137.0864267787</v>
      </c>
      <c r="AG11" s="50">
        <f t="shared" si="0"/>
        <v>5472659.2447268227</v>
      </c>
      <c r="AH11" s="50">
        <f t="shared" si="0"/>
        <v>5988793.6646467466</v>
      </c>
      <c r="AI11" s="50">
        <f t="shared" si="0"/>
        <v>6232440.2200904908</v>
      </c>
      <c r="AJ11" s="50">
        <f t="shared" si="0"/>
        <v>5283243.0108737489</v>
      </c>
      <c r="AK11" s="50">
        <f t="shared" si="0"/>
        <v>4497799.4522190634</v>
      </c>
      <c r="AL11" s="50">
        <f t="shared" si="0"/>
        <v>3790403.6886797687</v>
      </c>
      <c r="AM11" s="50">
        <f t="shared" si="0"/>
        <v>3382286.3949138192</v>
      </c>
      <c r="AN11" s="50">
        <f t="shared" si="0"/>
        <v>3304326.0103908717</v>
      </c>
      <c r="AO11" s="50">
        <f t="shared" si="0"/>
        <v>3299833.1304265987</v>
      </c>
      <c r="AP11" s="50">
        <f t="shared" si="0"/>
        <v>3282895.2218366954</v>
      </c>
      <c r="AQ11" s="50">
        <f t="shared" si="0"/>
        <v>3526700.0371501367</v>
      </c>
      <c r="AR11" s="50">
        <f t="shared" si="0"/>
        <v>4489137.0864267787</v>
      </c>
      <c r="AS11" s="50">
        <f t="shared" si="0"/>
        <v>5472659.2447268227</v>
      </c>
      <c r="AT11" s="50">
        <f t="shared" si="0"/>
        <v>5988793.6646467466</v>
      </c>
      <c r="AU11" s="50">
        <f t="shared" si="0"/>
        <v>6232440.2200904908</v>
      </c>
      <c r="AV11" s="50">
        <f t="shared" si="0"/>
        <v>5283243.0108737489</v>
      </c>
      <c r="AW11" s="50">
        <f t="shared" si="0"/>
        <v>4497799.4522190634</v>
      </c>
      <c r="AX11" s="50">
        <f t="shared" si="0"/>
        <v>3790403.6886797687</v>
      </c>
      <c r="AY11" s="50">
        <f t="shared" si="0"/>
        <v>3382286.3949138192</v>
      </c>
      <c r="AZ11" s="50">
        <f t="shared" si="0"/>
        <v>3304326.0103908717</v>
      </c>
      <c r="BA11" s="50">
        <f t="shared" si="0"/>
        <v>3299833.1304265987</v>
      </c>
      <c r="BB11" s="50">
        <f t="shared" si="0"/>
        <v>3282895.2218366954</v>
      </c>
      <c r="BC11" s="50">
        <f t="shared" si="0"/>
        <v>3526700.0371501367</v>
      </c>
      <c r="BD11" s="50">
        <f t="shared" si="0"/>
        <v>4489137.0864267787</v>
      </c>
      <c r="BE11" s="50">
        <f t="shared" si="0"/>
        <v>5472659.2447268227</v>
      </c>
      <c r="BF11" s="50">
        <f t="shared" si="0"/>
        <v>5988793.6646467466</v>
      </c>
      <c r="BG11" s="50">
        <f t="shared" si="0"/>
        <v>6232440.2200904908</v>
      </c>
      <c r="BH11" s="50">
        <f t="shared" si="0"/>
        <v>5283243.0108737489</v>
      </c>
      <c r="BI11" s="50">
        <f t="shared" si="0"/>
        <v>4497799.4522190634</v>
      </c>
      <c r="BJ11" s="50">
        <f t="shared" si="0"/>
        <v>3790403.6886797687</v>
      </c>
      <c r="BK11" s="50">
        <f t="shared" si="0"/>
        <v>3382286.3949138192</v>
      </c>
      <c r="BL11" s="50">
        <f t="shared" si="0"/>
        <v>3304326.0103908717</v>
      </c>
      <c r="BM11" s="50">
        <f t="shared" si="0"/>
        <v>3299833.1304265987</v>
      </c>
      <c r="BN11" s="50">
        <f t="shared" si="0"/>
        <v>3282895.2218366954</v>
      </c>
      <c r="BO11" s="50">
        <f t="shared" si="0"/>
        <v>3526700.0371501367</v>
      </c>
      <c r="BP11" s="50">
        <f t="shared" si="0"/>
        <v>4489137.0864267787</v>
      </c>
      <c r="BQ11" s="50">
        <f t="shared" ref="BQ11:CI11" si="1">BQ12*$C$12+BQ13*$C$13+BQ14*$C$14+BQ15*$C$15</f>
        <v>5472659.2447268227</v>
      </c>
      <c r="BR11" s="50">
        <f t="shared" si="1"/>
        <v>5988793.6646467466</v>
      </c>
      <c r="BS11" s="50">
        <f t="shared" si="1"/>
        <v>6232440.2200904908</v>
      </c>
      <c r="BT11" s="50">
        <f t="shared" si="1"/>
        <v>5283243.0108737489</v>
      </c>
      <c r="BU11" s="50">
        <f t="shared" si="1"/>
        <v>4497799.4522190634</v>
      </c>
      <c r="BV11" s="50">
        <f t="shared" si="1"/>
        <v>3790403.6886797687</v>
      </c>
      <c r="BW11" s="50">
        <f t="shared" si="1"/>
        <v>3382286.3949138192</v>
      </c>
      <c r="BX11" s="50">
        <f t="shared" si="1"/>
        <v>3304326.0103908717</v>
      </c>
      <c r="BY11" s="50">
        <f t="shared" si="1"/>
        <v>3299833.1304265987</v>
      </c>
      <c r="BZ11" s="50">
        <f t="shared" si="1"/>
        <v>3282895.2218366954</v>
      </c>
      <c r="CA11" s="50">
        <f t="shared" si="1"/>
        <v>3526700.0371501367</v>
      </c>
      <c r="CB11" s="50">
        <f t="shared" si="1"/>
        <v>4489137.0864267787</v>
      </c>
      <c r="CC11" s="50">
        <f t="shared" si="1"/>
        <v>5472659.2447268227</v>
      </c>
      <c r="CD11" s="50">
        <f t="shared" si="1"/>
        <v>5988793.6646467466</v>
      </c>
      <c r="CE11" s="50">
        <f t="shared" si="1"/>
        <v>6232440.2200904908</v>
      </c>
      <c r="CF11" s="50">
        <f t="shared" si="1"/>
        <v>5283243.0108737489</v>
      </c>
      <c r="CG11" s="50">
        <f t="shared" si="1"/>
        <v>4497799.4522190634</v>
      </c>
      <c r="CH11" s="50">
        <f t="shared" si="1"/>
        <v>3790403.6886797687</v>
      </c>
      <c r="CI11" s="50">
        <f t="shared" si="1"/>
        <v>3382286.3949138192</v>
      </c>
      <c r="CJ11" s="291"/>
      <c r="CK11" s="291"/>
      <c r="CL11" s="291"/>
    </row>
    <row r="12" spans="1:90">
      <c r="A12" s="2">
        <v>2</v>
      </c>
      <c r="B12" s="2" t="s">
        <v>22</v>
      </c>
      <c r="C12" s="11">
        <f>'Rate Design'!G12</f>
        <v>19.3</v>
      </c>
      <c r="D12" s="6">
        <f>'Bill Frequency'!C13</f>
        <v>158859</v>
      </c>
      <c r="E12" s="6">
        <f>'Bill Frequency'!D13</f>
        <v>158643</v>
      </c>
      <c r="F12" s="6">
        <f>'Bill Frequency'!E13</f>
        <v>157525</v>
      </c>
      <c r="G12" s="6">
        <f>'Bill Frequency'!F13</f>
        <v>158693</v>
      </c>
      <c r="H12" s="6">
        <f>'Bill Frequency'!G13</f>
        <v>160008</v>
      </c>
      <c r="I12" s="6">
        <f>'Bill Frequency'!H13</f>
        <v>161112</v>
      </c>
      <c r="J12" s="6">
        <f>'Bill Frequency'!I13</f>
        <v>162059</v>
      </c>
      <c r="K12" s="6">
        <f>'Bill Frequency'!J13</f>
        <v>162229</v>
      </c>
      <c r="L12" s="6">
        <f>'Bill Frequency'!K13</f>
        <v>162136</v>
      </c>
      <c r="M12" s="6">
        <f>'Bill Frequency'!L13</f>
        <v>162288</v>
      </c>
      <c r="N12" s="6">
        <f>'Bill Frequency'!M13</f>
        <v>161528</v>
      </c>
      <c r="O12" s="6">
        <f>'Bill Frequency'!N13</f>
        <v>160443</v>
      </c>
      <c r="P12" s="6">
        <f>WNA!O30</f>
        <v>158859</v>
      </c>
      <c r="Q12" s="6">
        <f>WNA!P30</f>
        <v>158643</v>
      </c>
      <c r="R12" s="6">
        <f>WNA!Q30</f>
        <v>157525</v>
      </c>
      <c r="S12" s="6">
        <f>WNA!R30</f>
        <v>158693</v>
      </c>
      <c r="T12" s="6">
        <f>WNA!S30</f>
        <v>160008</v>
      </c>
      <c r="U12" s="6">
        <f>WNA!T30</f>
        <v>161112</v>
      </c>
      <c r="V12" s="6">
        <f>WNA!U30</f>
        <v>162059</v>
      </c>
      <c r="W12" s="6">
        <f>WNA!V30</f>
        <v>162229</v>
      </c>
      <c r="X12" s="6">
        <f>WNA!W30</f>
        <v>162136</v>
      </c>
      <c r="Y12" s="6">
        <f>WNA!X30</f>
        <v>162288</v>
      </c>
      <c r="Z12" s="6">
        <f>WNA!Y30</f>
        <v>161528</v>
      </c>
      <c r="AA12" s="6">
        <f>WNA!Z30</f>
        <v>160443</v>
      </c>
      <c r="AB12" s="6">
        <f>WNA!AA30</f>
        <v>158859</v>
      </c>
      <c r="AC12" s="6">
        <f>WNA!AB30</f>
        <v>158643</v>
      </c>
      <c r="AD12" s="6">
        <f>WNA!AC30</f>
        <v>157525</v>
      </c>
      <c r="AE12" s="6">
        <f>WNA!AD30</f>
        <v>158693</v>
      </c>
      <c r="AF12" s="6">
        <f>WNA!AE30</f>
        <v>160008</v>
      </c>
      <c r="AG12" s="6">
        <f>WNA!AF30</f>
        <v>161112</v>
      </c>
      <c r="AH12" s="6">
        <f>WNA!AG30</f>
        <v>162059</v>
      </c>
      <c r="AI12" s="6">
        <f>WNA!AH30</f>
        <v>162229</v>
      </c>
      <c r="AJ12" s="6">
        <f>WNA!AI30</f>
        <v>162136</v>
      </c>
      <c r="AK12" s="6">
        <f>WNA!AJ30</f>
        <v>162288</v>
      </c>
      <c r="AL12" s="6">
        <f>WNA!AK30</f>
        <v>161528</v>
      </c>
      <c r="AM12" s="6">
        <f>WNA!AL30</f>
        <v>160443</v>
      </c>
      <c r="AN12" s="6">
        <f>WNA!AM30</f>
        <v>158859</v>
      </c>
      <c r="AO12" s="6">
        <f>WNA!AN30</f>
        <v>158643</v>
      </c>
      <c r="AP12" s="6">
        <f>WNA!AO30</f>
        <v>157525</v>
      </c>
      <c r="AQ12" s="6">
        <f>WNA!AP30</f>
        <v>158693</v>
      </c>
      <c r="AR12" s="6">
        <f>WNA!AQ30</f>
        <v>160008</v>
      </c>
      <c r="AS12" s="6">
        <f>WNA!AR30</f>
        <v>161112</v>
      </c>
      <c r="AT12" s="6">
        <f>WNA!AS30</f>
        <v>162059</v>
      </c>
      <c r="AU12" s="6">
        <f>WNA!AT30</f>
        <v>162229</v>
      </c>
      <c r="AV12" s="6">
        <f>WNA!AU30</f>
        <v>162136</v>
      </c>
      <c r="AW12" s="6">
        <f>WNA!AV30</f>
        <v>162288</v>
      </c>
      <c r="AX12" s="6">
        <f>WNA!AW30</f>
        <v>161528</v>
      </c>
      <c r="AY12" s="6">
        <f>WNA!AX30</f>
        <v>160443</v>
      </c>
      <c r="AZ12" s="6">
        <f>WNA!AY30</f>
        <v>158859</v>
      </c>
      <c r="BA12" s="6">
        <f>WNA!AZ30</f>
        <v>158643</v>
      </c>
      <c r="BB12" s="6">
        <f>WNA!BA30</f>
        <v>157525</v>
      </c>
      <c r="BC12" s="6">
        <f>WNA!BB30</f>
        <v>158693</v>
      </c>
      <c r="BD12" s="6">
        <f>WNA!BC30</f>
        <v>160008</v>
      </c>
      <c r="BE12" s="6">
        <f>WNA!BD30</f>
        <v>161112</v>
      </c>
      <c r="BF12" s="6">
        <f>WNA!BE30</f>
        <v>162059</v>
      </c>
      <c r="BG12" s="6">
        <f>WNA!BF30</f>
        <v>162229</v>
      </c>
      <c r="BH12" s="6">
        <f>WNA!BG30</f>
        <v>162136</v>
      </c>
      <c r="BI12" s="6">
        <f>WNA!BH30</f>
        <v>162288</v>
      </c>
      <c r="BJ12" s="6">
        <f>WNA!BI30</f>
        <v>161528</v>
      </c>
      <c r="BK12" s="6">
        <f>WNA!BJ30</f>
        <v>160443</v>
      </c>
      <c r="BL12" s="6">
        <f>WNA!BK30</f>
        <v>158859</v>
      </c>
      <c r="BM12" s="6">
        <f>WNA!BL30</f>
        <v>158643</v>
      </c>
      <c r="BN12" s="6">
        <f>WNA!BM30</f>
        <v>157525</v>
      </c>
      <c r="BO12" s="6">
        <f>WNA!BN30</f>
        <v>158693</v>
      </c>
      <c r="BP12" s="6">
        <f>WNA!BO30</f>
        <v>160008</v>
      </c>
      <c r="BQ12" s="6">
        <f>WNA!BP30</f>
        <v>161112</v>
      </c>
      <c r="BR12" s="6">
        <f>WNA!BQ30</f>
        <v>162059</v>
      </c>
      <c r="BS12" s="6">
        <f>WNA!BR30</f>
        <v>162229</v>
      </c>
      <c r="BT12" s="6">
        <f>WNA!BS30</f>
        <v>162136</v>
      </c>
      <c r="BU12" s="6">
        <f>WNA!BT30</f>
        <v>162288</v>
      </c>
      <c r="BV12" s="6">
        <f>WNA!BU30</f>
        <v>161528</v>
      </c>
      <c r="BW12" s="6">
        <f>WNA!BV30</f>
        <v>160443</v>
      </c>
      <c r="BX12" s="6">
        <f>WNA!BW30</f>
        <v>158859</v>
      </c>
      <c r="BY12" s="6">
        <f>WNA!BX30</f>
        <v>158643</v>
      </c>
      <c r="BZ12" s="6">
        <f>WNA!BY30</f>
        <v>157525</v>
      </c>
      <c r="CA12" s="6">
        <f>WNA!BZ30</f>
        <v>158693</v>
      </c>
      <c r="CB12" s="6">
        <f>WNA!CA30</f>
        <v>160008</v>
      </c>
      <c r="CC12" s="6">
        <f>WNA!CB30</f>
        <v>161112</v>
      </c>
      <c r="CD12" s="6">
        <f>WNA!CC30</f>
        <v>162059</v>
      </c>
      <c r="CE12" s="6">
        <f>WNA!CD30</f>
        <v>162229</v>
      </c>
      <c r="CF12" s="6">
        <f>WNA!CE30</f>
        <v>162136</v>
      </c>
      <c r="CG12" s="6">
        <f>WNA!CF30</f>
        <v>162288</v>
      </c>
      <c r="CH12" s="6">
        <f>WNA!CG30</f>
        <v>161528</v>
      </c>
      <c r="CI12" s="6">
        <f>WNA!CH30</f>
        <v>160443</v>
      </c>
      <c r="CJ12" s="290"/>
      <c r="CK12" s="290"/>
      <c r="CL12" s="290"/>
    </row>
    <row r="13" spans="1:90">
      <c r="A13" s="2">
        <v>3</v>
      </c>
      <c r="B13" s="2" t="s">
        <v>23</v>
      </c>
      <c r="C13" s="13">
        <f>'Rate Design'!G23</f>
        <v>1.5483</v>
      </c>
      <c r="D13" s="6">
        <f>'Bill Frequency'!C14+WNA!C38+'Contract &amp; Vol Adj'!C14</f>
        <v>153941.1759</v>
      </c>
      <c r="E13" s="6">
        <f>'Bill Frequency'!D14+WNA!D38+'Contract &amp; Vol Adj'!D14</f>
        <v>153732.10499999998</v>
      </c>
      <c r="F13" s="6">
        <f>'Bill Frequency'!E14+WNA!E38+'Contract &amp; Vol Adj'!E14</f>
        <v>156728.32060000001</v>
      </c>
      <c r="G13" s="6">
        <f>'Bill Frequency'!F14+WNA!F38+'Contract &amp; Vol Adj'!F14</f>
        <v>299634.90230000002</v>
      </c>
      <c r="H13" s="6">
        <f>'Bill Frequency'!G14+WNA!G38+'Contract &amp; Vol Adj'!G14</f>
        <v>904852.31759999995</v>
      </c>
      <c r="I13" s="6">
        <f>'Bill Frequency'!H14+WNA!H38+'Contract &amp; Vol Adj'!H14</f>
        <v>1526317.2079999999</v>
      </c>
      <c r="J13" s="6">
        <f>'Bill Frequency'!I14+WNA!I38+'Contract &amp; Vol Adj'!I14</f>
        <v>1847868.4428000001</v>
      </c>
      <c r="K13" s="6">
        <f>'Bill Frequency'!J14+WNA!J38+'Contract &amp; Vol Adj'!J14</f>
        <v>2003113.0316000001</v>
      </c>
      <c r="L13" s="6">
        <f>'Bill Frequency'!K14+WNA!K38+'Contract &amp; Vol Adj'!K14</f>
        <v>1391215.4583999999</v>
      </c>
      <c r="M13" s="6">
        <f>'Bill Frequency'!L14+WNA!L38+'Contract &amp; Vol Adj'!L14</f>
        <v>882026.57369999995</v>
      </c>
      <c r="N13" s="6">
        <f>'Bill Frequency'!M14+WNA!M38+'Contract &amp; Vol Adj'!M14</f>
        <v>434614.08959999995</v>
      </c>
      <c r="O13" s="6">
        <f>'Bill Frequency'!N14+WNA!N38+'Contract &amp; Vol Adj'!N14</f>
        <v>184549.02910000001</v>
      </c>
      <c r="P13" s="6">
        <f>WNA!O31</f>
        <v>153941.29715873633</v>
      </c>
      <c r="Q13" s="6">
        <f>WNA!P31</f>
        <v>153731.98374126368</v>
      </c>
      <c r="R13" s="6">
        <f>WNA!Q31</f>
        <v>156728.49049712287</v>
      </c>
      <c r="S13" s="6">
        <f>WNA!R31</f>
        <v>299635.17222123418</v>
      </c>
      <c r="T13" s="6">
        <f>WNA!S31</f>
        <v>904852.21625445888</v>
      </c>
      <c r="U13" s="6">
        <f>WNA!T31</f>
        <v>1526317.6675882081</v>
      </c>
      <c r="V13" s="6">
        <f>WNA!U31</f>
        <v>1847868.6072768497</v>
      </c>
      <c r="W13" s="6">
        <f>WNA!V31</f>
        <v>2003113.4276887493</v>
      </c>
      <c r="X13" s="6">
        <f>WNA!W31</f>
        <v>1391215.0170340042</v>
      </c>
      <c r="Y13" s="6">
        <f>WNA!X31</f>
        <v>882026.12686111452</v>
      </c>
      <c r="Z13" s="6">
        <f>WNA!Y31</f>
        <v>434614.2793255627</v>
      </c>
      <c r="AA13" s="6">
        <f>WNA!Z31</f>
        <v>184548.5338202024</v>
      </c>
      <c r="AB13" s="6">
        <f>WNA!AA31</f>
        <v>153941.29715873633</v>
      </c>
      <c r="AC13" s="6">
        <f>WNA!AB31</f>
        <v>153731.98374126368</v>
      </c>
      <c r="AD13" s="6">
        <f>WNA!AC31</f>
        <v>156728.49049712287</v>
      </c>
      <c r="AE13" s="6">
        <f>WNA!AD31</f>
        <v>299635.17222123418</v>
      </c>
      <c r="AF13" s="6">
        <f>WNA!AE31</f>
        <v>904852.21625445888</v>
      </c>
      <c r="AG13" s="6">
        <f>WNA!AF31</f>
        <v>1526317.6675882081</v>
      </c>
      <c r="AH13" s="6">
        <f>WNA!AG31</f>
        <v>1847868.6072768497</v>
      </c>
      <c r="AI13" s="6">
        <f>WNA!AH31</f>
        <v>2003113.4276887493</v>
      </c>
      <c r="AJ13" s="6">
        <f>WNA!AI31</f>
        <v>1391215.0170340042</v>
      </c>
      <c r="AK13" s="6">
        <f>WNA!AJ31</f>
        <v>882026.12686111452</v>
      </c>
      <c r="AL13" s="6">
        <f>WNA!AK31</f>
        <v>434614.2793255627</v>
      </c>
      <c r="AM13" s="6">
        <f>WNA!AL31</f>
        <v>184548.5338202024</v>
      </c>
      <c r="AN13" s="6">
        <f>WNA!AM31</f>
        <v>153941.29715873633</v>
      </c>
      <c r="AO13" s="6">
        <f>WNA!AN31</f>
        <v>153731.98374126368</v>
      </c>
      <c r="AP13" s="6">
        <f>WNA!AO31</f>
        <v>156728.49049712287</v>
      </c>
      <c r="AQ13" s="6">
        <f>WNA!AP31</f>
        <v>299635.17222123418</v>
      </c>
      <c r="AR13" s="6">
        <f>WNA!AQ31</f>
        <v>904852.21625445888</v>
      </c>
      <c r="AS13" s="6">
        <f>WNA!AR31</f>
        <v>1526317.6675882081</v>
      </c>
      <c r="AT13" s="6">
        <f>WNA!AS31</f>
        <v>1847868.6072768497</v>
      </c>
      <c r="AU13" s="6">
        <f>WNA!AT31</f>
        <v>2003113.4276887493</v>
      </c>
      <c r="AV13" s="6">
        <f>WNA!AU31</f>
        <v>1391215.0170340042</v>
      </c>
      <c r="AW13" s="6">
        <f>WNA!AV31</f>
        <v>882026.12686111452</v>
      </c>
      <c r="AX13" s="6">
        <f>WNA!AW31</f>
        <v>434614.2793255627</v>
      </c>
      <c r="AY13" s="6">
        <f>WNA!AX31</f>
        <v>184548.5338202024</v>
      </c>
      <c r="AZ13" s="6">
        <f>WNA!AY31</f>
        <v>153941.29715873633</v>
      </c>
      <c r="BA13" s="6">
        <f>WNA!AZ31</f>
        <v>153731.98374126368</v>
      </c>
      <c r="BB13" s="6">
        <f>WNA!BA31</f>
        <v>156728.49049712287</v>
      </c>
      <c r="BC13" s="6">
        <f>WNA!BB31</f>
        <v>299635.17222123418</v>
      </c>
      <c r="BD13" s="6">
        <f>WNA!BC31</f>
        <v>904852.21625445888</v>
      </c>
      <c r="BE13" s="6">
        <f>WNA!BD31</f>
        <v>1526317.6675882081</v>
      </c>
      <c r="BF13" s="6">
        <f>WNA!BE31</f>
        <v>1847868.6072768497</v>
      </c>
      <c r="BG13" s="6">
        <f>WNA!BF31</f>
        <v>2003113.4276887493</v>
      </c>
      <c r="BH13" s="6">
        <f>WNA!BG31</f>
        <v>1391215.0170340042</v>
      </c>
      <c r="BI13" s="6">
        <f>WNA!BH31</f>
        <v>882026.12686111452</v>
      </c>
      <c r="BJ13" s="6">
        <f>WNA!BI31</f>
        <v>434614.2793255627</v>
      </c>
      <c r="BK13" s="6">
        <f>WNA!BJ31</f>
        <v>184548.5338202024</v>
      </c>
      <c r="BL13" s="6">
        <f>WNA!BK31</f>
        <v>153941.29715873633</v>
      </c>
      <c r="BM13" s="6">
        <f>WNA!BL31</f>
        <v>153731.98374126368</v>
      </c>
      <c r="BN13" s="6">
        <f>WNA!BM31</f>
        <v>156728.49049712287</v>
      </c>
      <c r="BO13" s="6">
        <f>WNA!BN31</f>
        <v>299635.17222123418</v>
      </c>
      <c r="BP13" s="6">
        <f>WNA!BO31</f>
        <v>904852.21625445888</v>
      </c>
      <c r="BQ13" s="6">
        <f>WNA!BP31</f>
        <v>1526317.6675882081</v>
      </c>
      <c r="BR13" s="6">
        <f>WNA!BQ31</f>
        <v>1847868.6072768497</v>
      </c>
      <c r="BS13" s="6">
        <f>WNA!BR31</f>
        <v>2003113.4276887493</v>
      </c>
      <c r="BT13" s="6">
        <f>WNA!BS31</f>
        <v>1391215.0170340042</v>
      </c>
      <c r="BU13" s="6">
        <f>WNA!BT31</f>
        <v>882026.12686111452</v>
      </c>
      <c r="BV13" s="6">
        <f>WNA!BU31</f>
        <v>434614.2793255627</v>
      </c>
      <c r="BW13" s="6">
        <f>WNA!BV31</f>
        <v>184548.5338202024</v>
      </c>
      <c r="BX13" s="6">
        <f>WNA!BW31</f>
        <v>153941.29715873633</v>
      </c>
      <c r="BY13" s="6">
        <f>WNA!BX31</f>
        <v>153731.98374126368</v>
      </c>
      <c r="BZ13" s="6">
        <f>WNA!BY31</f>
        <v>156728.49049712287</v>
      </c>
      <c r="CA13" s="6">
        <f>WNA!BZ31</f>
        <v>299635.17222123418</v>
      </c>
      <c r="CB13" s="6">
        <f>WNA!CA31</f>
        <v>904852.21625445888</v>
      </c>
      <c r="CC13" s="6">
        <f>WNA!CB31</f>
        <v>1526317.6675882081</v>
      </c>
      <c r="CD13" s="6">
        <f>WNA!CC31</f>
        <v>1847868.6072768497</v>
      </c>
      <c r="CE13" s="6">
        <f>WNA!CD31</f>
        <v>2003113.4276887493</v>
      </c>
      <c r="CF13" s="6">
        <f>WNA!CE31</f>
        <v>1391215.0170340042</v>
      </c>
      <c r="CG13" s="6">
        <f>WNA!CF31</f>
        <v>882026.12686111452</v>
      </c>
      <c r="CH13" s="6">
        <f>WNA!CG31</f>
        <v>434614.2793255627</v>
      </c>
      <c r="CI13" s="6">
        <f>WNA!CH31</f>
        <v>184548.5338202024</v>
      </c>
      <c r="CJ13" s="290"/>
      <c r="CK13" s="290"/>
      <c r="CL13" s="290"/>
    </row>
    <row r="14" spans="1:90">
      <c r="A14" s="2">
        <v>4</v>
      </c>
      <c r="B14" s="2" t="s">
        <v>24</v>
      </c>
      <c r="C14" s="13">
        <f>'Rate Design'!G24</f>
        <v>1.0762</v>
      </c>
      <c r="D14" s="6">
        <f>'Bill Frequency'!C15+WNA!C39+'Contract &amp; Vol Adj'!C15</f>
        <v>0</v>
      </c>
      <c r="E14" s="6">
        <f>'Bill Frequency'!D15+WNA!D39+'Contract &amp; Vol Adj'!D15</f>
        <v>0</v>
      </c>
      <c r="F14" s="6">
        <f>'Bill Frequency'!E15+WNA!E39+'Contract &amp; Vol Adj'!E15</f>
        <v>0</v>
      </c>
      <c r="G14" s="6">
        <f>'Bill Frequency'!F15+WNA!F39+'Contract &amp; Vol Adj'!F15</f>
        <v>0</v>
      </c>
      <c r="H14" s="6">
        <f>'Bill Frequency'!G15+WNA!G39+'Contract &amp; Vol Adj'!G15</f>
        <v>0</v>
      </c>
      <c r="I14" s="6">
        <f>'Bill Frequency'!H15+WNA!H39+'Contract &amp; Vol Adj'!H15</f>
        <v>0</v>
      </c>
      <c r="J14" s="6">
        <f>'Bill Frequency'!I15+WNA!I39+'Contract &amp; Vol Adj'!I15</f>
        <v>0</v>
      </c>
      <c r="K14" s="6">
        <f>'Bill Frequency'!J15+WNA!J39+'Contract &amp; Vol Adj'!J15</f>
        <v>0</v>
      </c>
      <c r="L14" s="6">
        <f>'Bill Frequency'!K15+WNA!K39+'Contract &amp; Vol Adj'!K15</f>
        <v>0</v>
      </c>
      <c r="M14" s="6">
        <f>'Bill Frequency'!L15+WNA!L39+'Contract &amp; Vol Adj'!L15</f>
        <v>0</v>
      </c>
      <c r="N14" s="6">
        <f>'Bill Frequency'!M15+WNA!M39+'Contract &amp; Vol Adj'!M15</f>
        <v>0</v>
      </c>
      <c r="O14" s="6">
        <f>'Bill Frequency'!N15+WNA!N39+'Contract &amp; Vol Adj'!N15</f>
        <v>0</v>
      </c>
      <c r="P14" s="6">
        <f>D14+WNA!O39</f>
        <v>0</v>
      </c>
      <c r="Q14" s="6">
        <f>E14+WNA!P39</f>
        <v>0</v>
      </c>
      <c r="R14" s="6">
        <f>F14+WNA!Q39</f>
        <v>0</v>
      </c>
      <c r="S14" s="6">
        <f>G14+WNA!R39</f>
        <v>0</v>
      </c>
      <c r="T14" s="6">
        <f>H14+WNA!S39</f>
        <v>0</v>
      </c>
      <c r="U14" s="6">
        <f>I14+WNA!T39</f>
        <v>0</v>
      </c>
      <c r="V14" s="6">
        <f>J14+WNA!U39</f>
        <v>0</v>
      </c>
      <c r="W14" s="6">
        <f>K14+WNA!V39</f>
        <v>0</v>
      </c>
      <c r="X14" s="6">
        <f>L14+WNA!W39</f>
        <v>0</v>
      </c>
      <c r="Y14" s="6">
        <f>M14+WNA!X39</f>
        <v>0</v>
      </c>
      <c r="Z14" s="6">
        <f>N14+WNA!Y39</f>
        <v>0</v>
      </c>
      <c r="AA14" s="6">
        <f>O14+WNA!Z39</f>
        <v>0</v>
      </c>
      <c r="AB14" s="6">
        <f>P14+WNA!AA39</f>
        <v>0</v>
      </c>
      <c r="AC14" s="6">
        <f>Q14+WNA!AB39</f>
        <v>0</v>
      </c>
      <c r="AD14" s="6">
        <f>R14+WNA!AC39</f>
        <v>0</v>
      </c>
      <c r="AE14" s="6">
        <f>S14+WNA!AD39</f>
        <v>0</v>
      </c>
      <c r="AF14" s="6">
        <f>T14+WNA!AE39</f>
        <v>0</v>
      </c>
      <c r="AG14" s="6">
        <f>U14+WNA!AF39</f>
        <v>0</v>
      </c>
      <c r="AH14" s="6">
        <f>V14+WNA!AG39</f>
        <v>0</v>
      </c>
      <c r="AI14" s="6">
        <f>W14+WNA!AH39</f>
        <v>0</v>
      </c>
      <c r="AJ14" s="6">
        <f>X14+WNA!AI39</f>
        <v>0</v>
      </c>
      <c r="AK14" s="6">
        <f>Y14+WNA!AJ39</f>
        <v>0</v>
      </c>
      <c r="AL14" s="6">
        <f>Z14+WNA!AK39</f>
        <v>0</v>
      </c>
      <c r="AM14" s="6">
        <f>AA14+WNA!AL39</f>
        <v>0</v>
      </c>
      <c r="AN14" s="6">
        <f>AB14+WNA!AM39</f>
        <v>0</v>
      </c>
      <c r="AO14" s="6">
        <f>AC14+WNA!AN39</f>
        <v>0</v>
      </c>
      <c r="AP14" s="6">
        <f>AD14+WNA!AO39</f>
        <v>0</v>
      </c>
      <c r="AQ14" s="6">
        <f>AE14+WNA!AP39</f>
        <v>0</v>
      </c>
      <c r="AR14" s="6">
        <f>AF14+WNA!AQ39</f>
        <v>0</v>
      </c>
      <c r="AS14" s="6">
        <f>AG14+WNA!AR39</f>
        <v>0</v>
      </c>
      <c r="AT14" s="6">
        <f>AH14+WNA!AS39</f>
        <v>0</v>
      </c>
      <c r="AU14" s="6">
        <f>AI14+WNA!AT39</f>
        <v>0</v>
      </c>
      <c r="AV14" s="6">
        <f>AJ14+WNA!AU39</f>
        <v>0</v>
      </c>
      <c r="AW14" s="6">
        <f>AK14+WNA!AV39</f>
        <v>0</v>
      </c>
      <c r="AX14" s="6">
        <f>AL14+WNA!AW39</f>
        <v>0</v>
      </c>
      <c r="AY14" s="6">
        <f>AM14+WNA!AX39</f>
        <v>0</v>
      </c>
      <c r="AZ14" s="6">
        <f>AN14+WNA!AY39</f>
        <v>0</v>
      </c>
      <c r="BA14" s="6">
        <f>AO14+WNA!AZ39</f>
        <v>0</v>
      </c>
      <c r="BB14" s="6">
        <f>AP14+WNA!BA39</f>
        <v>0</v>
      </c>
      <c r="BC14" s="6">
        <f>AQ14+WNA!BB39</f>
        <v>0</v>
      </c>
      <c r="BD14" s="6">
        <f>AR14+WNA!BC39</f>
        <v>0</v>
      </c>
      <c r="BE14" s="6">
        <f>AS14+WNA!BD39</f>
        <v>0</v>
      </c>
      <c r="BF14" s="6">
        <f>AT14+WNA!BE39</f>
        <v>0</v>
      </c>
      <c r="BG14" s="6">
        <f>AU14+WNA!BF39</f>
        <v>0</v>
      </c>
      <c r="BH14" s="6">
        <f>AV14+WNA!BG39</f>
        <v>0</v>
      </c>
      <c r="BI14" s="6">
        <f>AW14+WNA!BH39</f>
        <v>0</v>
      </c>
      <c r="BJ14" s="6">
        <f>AX14+WNA!BI39</f>
        <v>0</v>
      </c>
      <c r="BK14" s="6">
        <f>AY14+WNA!BJ39</f>
        <v>0</v>
      </c>
      <c r="BL14" s="6">
        <f>AZ14+WNA!BK39</f>
        <v>0</v>
      </c>
      <c r="BM14" s="6">
        <f>BA14+WNA!BL39</f>
        <v>0</v>
      </c>
      <c r="BN14" s="6">
        <f>BB14+WNA!BM39</f>
        <v>0</v>
      </c>
      <c r="BO14" s="6">
        <f>BC14+WNA!BN39</f>
        <v>0</v>
      </c>
      <c r="BP14" s="6">
        <f>BD14+WNA!BO39</f>
        <v>0</v>
      </c>
      <c r="BQ14" s="6">
        <f>BE14+WNA!BP39</f>
        <v>0</v>
      </c>
      <c r="BR14" s="6">
        <f>BF14+WNA!BQ39</f>
        <v>0</v>
      </c>
      <c r="BS14" s="6">
        <f>BG14+WNA!BR39</f>
        <v>0</v>
      </c>
      <c r="BT14" s="6">
        <f>BH14+WNA!BS39</f>
        <v>0</v>
      </c>
      <c r="BU14" s="6">
        <f>BI14+WNA!BT39</f>
        <v>0</v>
      </c>
      <c r="BV14" s="6">
        <f>BJ14+WNA!BU39</f>
        <v>0</v>
      </c>
      <c r="BW14" s="6">
        <f>BK14+WNA!BV39</f>
        <v>0</v>
      </c>
      <c r="BX14" s="6">
        <f>BL14+WNA!BW39</f>
        <v>0</v>
      </c>
      <c r="BY14" s="6">
        <f>BM14+WNA!BX39</f>
        <v>0</v>
      </c>
      <c r="BZ14" s="6">
        <f>BN14+WNA!BY39</f>
        <v>0</v>
      </c>
      <c r="CA14" s="6">
        <f>BO14+WNA!BZ39</f>
        <v>0</v>
      </c>
      <c r="CB14" s="6">
        <f>BP14+WNA!CA39</f>
        <v>0</v>
      </c>
      <c r="CC14" s="6">
        <f>BQ14+WNA!CB39</f>
        <v>0</v>
      </c>
      <c r="CD14" s="6">
        <f>BR14+WNA!CC39</f>
        <v>0</v>
      </c>
      <c r="CE14" s="6">
        <f>BS14+WNA!CD39</f>
        <v>0</v>
      </c>
      <c r="CF14" s="6">
        <f>BT14+WNA!CE39</f>
        <v>0</v>
      </c>
      <c r="CG14" s="6">
        <f>BU14+WNA!CF39</f>
        <v>0</v>
      </c>
      <c r="CH14" s="6">
        <f>BV14+WNA!CG39</f>
        <v>0</v>
      </c>
      <c r="CI14" s="6">
        <f>BW14+WNA!CH39</f>
        <v>0</v>
      </c>
      <c r="CJ14" s="290"/>
      <c r="CK14" s="290"/>
      <c r="CL14" s="290"/>
    </row>
    <row r="15" spans="1:90">
      <c r="A15" s="2">
        <v>5</v>
      </c>
      <c r="B15" s="2" t="s">
        <v>55</v>
      </c>
      <c r="C15" s="13">
        <f>'Rate Design'!G25</f>
        <v>0.88880000000000003</v>
      </c>
      <c r="D15" s="6">
        <f>'Bill Frequency'!C16+WNA!C40+'Contract &amp; Vol Adj'!C16</f>
        <v>0</v>
      </c>
      <c r="E15" s="6">
        <f>'Bill Frequency'!D16+WNA!D40+'Contract &amp; Vol Adj'!D16</f>
        <v>0</v>
      </c>
      <c r="F15" s="6">
        <f>'Bill Frequency'!E16+WNA!E40+'Contract &amp; Vol Adj'!E16</f>
        <v>0</v>
      </c>
      <c r="G15" s="6">
        <f>'Bill Frequency'!F16+WNA!F40+'Contract &amp; Vol Adj'!F16</f>
        <v>0</v>
      </c>
      <c r="H15" s="6">
        <f>'Bill Frequency'!G16+WNA!G40+'Contract &amp; Vol Adj'!G16</f>
        <v>0</v>
      </c>
      <c r="I15" s="6">
        <f>'Bill Frequency'!H16+WNA!H40+'Contract &amp; Vol Adj'!H16</f>
        <v>0</v>
      </c>
      <c r="J15" s="6">
        <f>'Bill Frequency'!I16+WNA!I40+'Contract &amp; Vol Adj'!I16</f>
        <v>0</v>
      </c>
      <c r="K15" s="6">
        <f>'Bill Frequency'!J16+WNA!J40+'Contract &amp; Vol Adj'!J16</f>
        <v>0</v>
      </c>
      <c r="L15" s="6">
        <f>'Bill Frequency'!K16+WNA!K40+'Contract &amp; Vol Adj'!K16</f>
        <v>0</v>
      </c>
      <c r="M15" s="6">
        <f>'Bill Frequency'!L16+WNA!L40+'Contract &amp; Vol Adj'!L16</f>
        <v>0</v>
      </c>
      <c r="N15" s="6">
        <f>'Bill Frequency'!M16+WNA!M40+'Contract &amp; Vol Adj'!M16</f>
        <v>0</v>
      </c>
      <c r="O15" s="6">
        <f>'Bill Frequency'!N16+WNA!N40+'Contract &amp; Vol Adj'!N16</f>
        <v>0</v>
      </c>
      <c r="P15" s="6">
        <f>D15+WNA!O40</f>
        <v>0</v>
      </c>
      <c r="Q15" s="6">
        <f>E15+WNA!P40</f>
        <v>0</v>
      </c>
      <c r="R15" s="6">
        <f>F15+WNA!Q40</f>
        <v>0</v>
      </c>
      <c r="S15" s="6">
        <f>G15+WNA!R40</f>
        <v>0</v>
      </c>
      <c r="T15" s="6">
        <f>H15+WNA!S40</f>
        <v>0</v>
      </c>
      <c r="U15" s="6">
        <f>I15+WNA!T40</f>
        <v>0</v>
      </c>
      <c r="V15" s="6">
        <f>J15+WNA!U40</f>
        <v>0</v>
      </c>
      <c r="W15" s="6">
        <f>K15+WNA!V40</f>
        <v>0</v>
      </c>
      <c r="X15" s="6">
        <f>L15+WNA!W40</f>
        <v>0</v>
      </c>
      <c r="Y15" s="6">
        <f>M15+WNA!X40</f>
        <v>0</v>
      </c>
      <c r="Z15" s="6">
        <f>N15+WNA!Y40</f>
        <v>0</v>
      </c>
      <c r="AA15" s="6">
        <f>O15+WNA!Z40</f>
        <v>0</v>
      </c>
      <c r="AB15" s="6">
        <f>P15+WNA!AA40</f>
        <v>0</v>
      </c>
      <c r="AC15" s="6">
        <f>Q15+WNA!AB40</f>
        <v>0</v>
      </c>
      <c r="AD15" s="6">
        <f>R15+WNA!AC40</f>
        <v>0</v>
      </c>
      <c r="AE15" s="6">
        <f>S15+WNA!AD40</f>
        <v>0</v>
      </c>
      <c r="AF15" s="6">
        <f>T15+WNA!AE40</f>
        <v>0</v>
      </c>
      <c r="AG15" s="6">
        <f>U15+WNA!AF40</f>
        <v>0</v>
      </c>
      <c r="AH15" s="6">
        <f>V15+WNA!AG40</f>
        <v>0</v>
      </c>
      <c r="AI15" s="6">
        <f>W15+WNA!AH40</f>
        <v>0</v>
      </c>
      <c r="AJ15" s="6">
        <f>X15+WNA!AI40</f>
        <v>0</v>
      </c>
      <c r="AK15" s="6">
        <f>Y15+WNA!AJ40</f>
        <v>0</v>
      </c>
      <c r="AL15" s="6">
        <f>Z15+WNA!AK40</f>
        <v>0</v>
      </c>
      <c r="AM15" s="6">
        <f>AA15+WNA!AL40</f>
        <v>0</v>
      </c>
      <c r="AN15" s="6">
        <f>AB15+WNA!AM40</f>
        <v>0</v>
      </c>
      <c r="AO15" s="6">
        <f>AC15+WNA!AN40</f>
        <v>0</v>
      </c>
      <c r="AP15" s="6">
        <f>AD15+WNA!AO40</f>
        <v>0</v>
      </c>
      <c r="AQ15" s="6">
        <f>AE15+WNA!AP40</f>
        <v>0</v>
      </c>
      <c r="AR15" s="6">
        <f>AF15+WNA!AQ40</f>
        <v>0</v>
      </c>
      <c r="AS15" s="6">
        <f>AG15+WNA!AR40</f>
        <v>0</v>
      </c>
      <c r="AT15" s="6">
        <f>AH15+WNA!AS40</f>
        <v>0</v>
      </c>
      <c r="AU15" s="6">
        <f>AI15+WNA!AT40</f>
        <v>0</v>
      </c>
      <c r="AV15" s="6">
        <f>AJ15+WNA!AU40</f>
        <v>0</v>
      </c>
      <c r="AW15" s="6">
        <f>AK15+WNA!AV40</f>
        <v>0</v>
      </c>
      <c r="AX15" s="6">
        <f>AL15+WNA!AW40</f>
        <v>0</v>
      </c>
      <c r="AY15" s="6">
        <f>AM15+WNA!AX40</f>
        <v>0</v>
      </c>
      <c r="AZ15" s="6">
        <f>AN15+WNA!AY40</f>
        <v>0</v>
      </c>
      <c r="BA15" s="6">
        <f>AO15+WNA!AZ40</f>
        <v>0</v>
      </c>
      <c r="BB15" s="6">
        <f>AP15+WNA!BA40</f>
        <v>0</v>
      </c>
      <c r="BC15" s="6">
        <f>AQ15+WNA!BB40</f>
        <v>0</v>
      </c>
      <c r="BD15" s="6">
        <f>AR15+WNA!BC40</f>
        <v>0</v>
      </c>
      <c r="BE15" s="6">
        <f>AS15+WNA!BD40</f>
        <v>0</v>
      </c>
      <c r="BF15" s="6">
        <f>AT15+WNA!BE40</f>
        <v>0</v>
      </c>
      <c r="BG15" s="6">
        <f>AU15+WNA!BF40</f>
        <v>0</v>
      </c>
      <c r="BH15" s="6">
        <f>AV15+WNA!BG40</f>
        <v>0</v>
      </c>
      <c r="BI15" s="6">
        <f>AW15+WNA!BH40</f>
        <v>0</v>
      </c>
      <c r="BJ15" s="6">
        <f>AX15+WNA!BI40</f>
        <v>0</v>
      </c>
      <c r="BK15" s="6">
        <f>AY15+WNA!BJ40</f>
        <v>0</v>
      </c>
      <c r="BL15" s="6">
        <f>AZ15+WNA!BK40</f>
        <v>0</v>
      </c>
      <c r="BM15" s="6">
        <f>BA15+WNA!BL40</f>
        <v>0</v>
      </c>
      <c r="BN15" s="6">
        <f>BB15+WNA!BM40</f>
        <v>0</v>
      </c>
      <c r="BO15" s="6">
        <f>BC15+WNA!BN40</f>
        <v>0</v>
      </c>
      <c r="BP15" s="6">
        <f>BD15+WNA!BO40</f>
        <v>0</v>
      </c>
      <c r="BQ15" s="6">
        <f>BE15+WNA!BP40</f>
        <v>0</v>
      </c>
      <c r="BR15" s="6">
        <f>BF15+WNA!BQ40</f>
        <v>0</v>
      </c>
      <c r="BS15" s="6">
        <f>BG15+WNA!BR40</f>
        <v>0</v>
      </c>
      <c r="BT15" s="6">
        <f>BH15+WNA!BS40</f>
        <v>0</v>
      </c>
      <c r="BU15" s="6">
        <f>BI15+WNA!BT40</f>
        <v>0</v>
      </c>
      <c r="BV15" s="6">
        <f>BJ15+WNA!BU40</f>
        <v>0</v>
      </c>
      <c r="BW15" s="6">
        <f>BK15+WNA!BV40</f>
        <v>0</v>
      </c>
      <c r="BX15" s="6">
        <f>BL15+WNA!BW40</f>
        <v>0</v>
      </c>
      <c r="BY15" s="6">
        <f>BM15+WNA!BX40</f>
        <v>0</v>
      </c>
      <c r="BZ15" s="6">
        <f>BN15+WNA!BY40</f>
        <v>0</v>
      </c>
      <c r="CA15" s="6">
        <f>BO15+WNA!BZ40</f>
        <v>0</v>
      </c>
      <c r="CB15" s="6">
        <f>BP15+WNA!CA40</f>
        <v>0</v>
      </c>
      <c r="CC15" s="6">
        <f>BQ15+WNA!CB40</f>
        <v>0</v>
      </c>
      <c r="CD15" s="6">
        <f>BR15+WNA!CC40</f>
        <v>0</v>
      </c>
      <c r="CE15" s="6">
        <f>BS15+WNA!CD40</f>
        <v>0</v>
      </c>
      <c r="CF15" s="6">
        <f>BT15+WNA!CE40</f>
        <v>0</v>
      </c>
      <c r="CG15" s="6">
        <f>BU15+WNA!CF40</f>
        <v>0</v>
      </c>
      <c r="CH15" s="6">
        <f>BV15+WNA!CG40</f>
        <v>0</v>
      </c>
      <c r="CI15" s="6">
        <f>BW15+WNA!CH40</f>
        <v>0</v>
      </c>
      <c r="CJ15" s="290"/>
      <c r="CK15" s="290"/>
      <c r="CL15" s="290"/>
    </row>
    <row r="16" spans="1:90">
      <c r="A16" s="2">
        <v>6</v>
      </c>
      <c r="B16" s="21" t="s">
        <v>53</v>
      </c>
      <c r="C16" s="21"/>
      <c r="D16" s="20">
        <f t="shared" ref="D16:BO16" si="2">D13+D14+D15</f>
        <v>153941.1759</v>
      </c>
      <c r="E16" s="20">
        <f t="shared" si="2"/>
        <v>153732.10499999998</v>
      </c>
      <c r="F16" s="20">
        <f t="shared" si="2"/>
        <v>156728.32060000001</v>
      </c>
      <c r="G16" s="20">
        <f t="shared" si="2"/>
        <v>299634.90230000002</v>
      </c>
      <c r="H16" s="20">
        <f t="shared" si="2"/>
        <v>904852.31759999995</v>
      </c>
      <c r="I16" s="20">
        <f t="shared" si="2"/>
        <v>1526317.2079999999</v>
      </c>
      <c r="J16" s="20">
        <f t="shared" si="2"/>
        <v>1847868.4428000001</v>
      </c>
      <c r="K16" s="20">
        <f t="shared" si="2"/>
        <v>2003113.0316000001</v>
      </c>
      <c r="L16" s="20">
        <f t="shared" si="2"/>
        <v>1391215.4583999999</v>
      </c>
      <c r="M16" s="20">
        <f t="shared" si="2"/>
        <v>882026.57369999995</v>
      </c>
      <c r="N16" s="20">
        <f t="shared" si="2"/>
        <v>434614.08959999995</v>
      </c>
      <c r="O16" s="20">
        <f t="shared" si="2"/>
        <v>184549.02910000001</v>
      </c>
      <c r="P16" s="20">
        <f t="shared" si="2"/>
        <v>153941.29715873633</v>
      </c>
      <c r="Q16" s="20">
        <f t="shared" si="2"/>
        <v>153731.98374126368</v>
      </c>
      <c r="R16" s="20">
        <f t="shared" si="2"/>
        <v>156728.49049712287</v>
      </c>
      <c r="S16" s="20">
        <f t="shared" si="2"/>
        <v>299635.17222123418</v>
      </c>
      <c r="T16" s="20">
        <f t="shared" si="2"/>
        <v>904852.21625445888</v>
      </c>
      <c r="U16" s="20">
        <f t="shared" si="2"/>
        <v>1526317.6675882081</v>
      </c>
      <c r="V16" s="20">
        <f t="shared" si="2"/>
        <v>1847868.6072768497</v>
      </c>
      <c r="W16" s="20">
        <f t="shared" si="2"/>
        <v>2003113.4276887493</v>
      </c>
      <c r="X16" s="20">
        <f t="shared" si="2"/>
        <v>1391215.0170340042</v>
      </c>
      <c r="Y16" s="20">
        <f t="shared" si="2"/>
        <v>882026.12686111452</v>
      </c>
      <c r="Z16" s="20">
        <f t="shared" si="2"/>
        <v>434614.2793255627</v>
      </c>
      <c r="AA16" s="20">
        <f t="shared" si="2"/>
        <v>184548.5338202024</v>
      </c>
      <c r="AB16" s="20">
        <f t="shared" si="2"/>
        <v>153941.29715873633</v>
      </c>
      <c r="AC16" s="20">
        <f t="shared" si="2"/>
        <v>153731.98374126368</v>
      </c>
      <c r="AD16" s="20">
        <f t="shared" si="2"/>
        <v>156728.49049712287</v>
      </c>
      <c r="AE16" s="20">
        <f t="shared" si="2"/>
        <v>299635.17222123418</v>
      </c>
      <c r="AF16" s="20">
        <f t="shared" si="2"/>
        <v>904852.21625445888</v>
      </c>
      <c r="AG16" s="20">
        <f t="shared" si="2"/>
        <v>1526317.6675882081</v>
      </c>
      <c r="AH16" s="20">
        <f t="shared" si="2"/>
        <v>1847868.6072768497</v>
      </c>
      <c r="AI16" s="20">
        <f t="shared" si="2"/>
        <v>2003113.4276887493</v>
      </c>
      <c r="AJ16" s="20">
        <f t="shared" si="2"/>
        <v>1391215.0170340042</v>
      </c>
      <c r="AK16" s="20">
        <f t="shared" si="2"/>
        <v>882026.12686111452</v>
      </c>
      <c r="AL16" s="20">
        <f t="shared" si="2"/>
        <v>434614.2793255627</v>
      </c>
      <c r="AM16" s="20">
        <f t="shared" si="2"/>
        <v>184548.5338202024</v>
      </c>
      <c r="AN16" s="20">
        <f t="shared" si="2"/>
        <v>153941.29715873633</v>
      </c>
      <c r="AO16" s="20">
        <f t="shared" si="2"/>
        <v>153731.98374126368</v>
      </c>
      <c r="AP16" s="20">
        <f t="shared" si="2"/>
        <v>156728.49049712287</v>
      </c>
      <c r="AQ16" s="20">
        <f t="shared" si="2"/>
        <v>299635.17222123418</v>
      </c>
      <c r="AR16" s="20">
        <f t="shared" si="2"/>
        <v>904852.21625445888</v>
      </c>
      <c r="AS16" s="20">
        <f t="shared" si="2"/>
        <v>1526317.6675882081</v>
      </c>
      <c r="AT16" s="20">
        <f t="shared" si="2"/>
        <v>1847868.6072768497</v>
      </c>
      <c r="AU16" s="20">
        <f t="shared" si="2"/>
        <v>2003113.4276887493</v>
      </c>
      <c r="AV16" s="20">
        <f t="shared" si="2"/>
        <v>1391215.0170340042</v>
      </c>
      <c r="AW16" s="20">
        <f t="shared" si="2"/>
        <v>882026.12686111452</v>
      </c>
      <c r="AX16" s="20">
        <f t="shared" si="2"/>
        <v>434614.2793255627</v>
      </c>
      <c r="AY16" s="20">
        <f t="shared" si="2"/>
        <v>184548.5338202024</v>
      </c>
      <c r="AZ16" s="20">
        <f t="shared" si="2"/>
        <v>153941.29715873633</v>
      </c>
      <c r="BA16" s="20">
        <f t="shared" si="2"/>
        <v>153731.98374126368</v>
      </c>
      <c r="BB16" s="20">
        <f t="shared" si="2"/>
        <v>156728.49049712287</v>
      </c>
      <c r="BC16" s="20">
        <f t="shared" si="2"/>
        <v>299635.17222123418</v>
      </c>
      <c r="BD16" s="20">
        <f t="shared" si="2"/>
        <v>904852.21625445888</v>
      </c>
      <c r="BE16" s="20">
        <f t="shared" si="2"/>
        <v>1526317.6675882081</v>
      </c>
      <c r="BF16" s="20">
        <f t="shared" si="2"/>
        <v>1847868.6072768497</v>
      </c>
      <c r="BG16" s="20">
        <f t="shared" si="2"/>
        <v>2003113.4276887493</v>
      </c>
      <c r="BH16" s="20">
        <f t="shared" si="2"/>
        <v>1391215.0170340042</v>
      </c>
      <c r="BI16" s="20">
        <f t="shared" si="2"/>
        <v>882026.12686111452</v>
      </c>
      <c r="BJ16" s="20">
        <f t="shared" si="2"/>
        <v>434614.2793255627</v>
      </c>
      <c r="BK16" s="20">
        <f t="shared" si="2"/>
        <v>184548.5338202024</v>
      </c>
      <c r="BL16" s="20">
        <f t="shared" si="2"/>
        <v>153941.29715873633</v>
      </c>
      <c r="BM16" s="20">
        <f t="shared" si="2"/>
        <v>153731.98374126368</v>
      </c>
      <c r="BN16" s="20">
        <f t="shared" si="2"/>
        <v>156728.49049712287</v>
      </c>
      <c r="BO16" s="20">
        <f t="shared" si="2"/>
        <v>299635.17222123418</v>
      </c>
      <c r="BP16" s="20">
        <f t="shared" ref="BP16:CI16" si="3">BP13+BP14+BP15</f>
        <v>904852.21625445888</v>
      </c>
      <c r="BQ16" s="20">
        <f t="shared" si="3"/>
        <v>1526317.6675882081</v>
      </c>
      <c r="BR16" s="20">
        <f t="shared" si="3"/>
        <v>1847868.6072768497</v>
      </c>
      <c r="BS16" s="20">
        <f t="shared" si="3"/>
        <v>2003113.4276887493</v>
      </c>
      <c r="BT16" s="20">
        <f t="shared" si="3"/>
        <v>1391215.0170340042</v>
      </c>
      <c r="BU16" s="20">
        <f t="shared" si="3"/>
        <v>882026.12686111452</v>
      </c>
      <c r="BV16" s="20">
        <f t="shared" si="3"/>
        <v>434614.2793255627</v>
      </c>
      <c r="BW16" s="20">
        <f t="shared" si="3"/>
        <v>184548.5338202024</v>
      </c>
      <c r="BX16" s="20">
        <f t="shared" si="3"/>
        <v>153941.29715873633</v>
      </c>
      <c r="BY16" s="20">
        <f t="shared" si="3"/>
        <v>153731.98374126368</v>
      </c>
      <c r="BZ16" s="20">
        <f t="shared" si="3"/>
        <v>156728.49049712287</v>
      </c>
      <c r="CA16" s="20">
        <f t="shared" si="3"/>
        <v>299635.17222123418</v>
      </c>
      <c r="CB16" s="20">
        <f t="shared" si="3"/>
        <v>904852.21625445888</v>
      </c>
      <c r="CC16" s="20">
        <f t="shared" si="3"/>
        <v>1526317.6675882081</v>
      </c>
      <c r="CD16" s="20">
        <f t="shared" si="3"/>
        <v>1847868.6072768497</v>
      </c>
      <c r="CE16" s="20">
        <f t="shared" si="3"/>
        <v>2003113.4276887493</v>
      </c>
      <c r="CF16" s="20">
        <f t="shared" si="3"/>
        <v>1391215.0170340042</v>
      </c>
      <c r="CG16" s="20">
        <f t="shared" si="3"/>
        <v>882026.12686111452</v>
      </c>
      <c r="CH16" s="20">
        <f t="shared" si="3"/>
        <v>434614.2793255627</v>
      </c>
      <c r="CI16" s="20">
        <f t="shared" si="3"/>
        <v>184548.5338202024</v>
      </c>
      <c r="CJ16" s="288"/>
      <c r="CK16" s="288"/>
      <c r="CL16" s="288"/>
    </row>
    <row r="17" spans="1:90">
      <c r="A17" s="2">
        <v>7</v>
      </c>
      <c r="B17" s="2" t="s">
        <v>196</v>
      </c>
      <c r="D17" s="11">
        <v>4.3225999999999996</v>
      </c>
      <c r="E17" s="11">
        <v>3.2031999999999998</v>
      </c>
      <c r="F17" s="11">
        <v>3.2031999999999998</v>
      </c>
      <c r="G17" s="11">
        <v>3.2031999999999998</v>
      </c>
      <c r="H17" s="11">
        <v>3.8712</v>
      </c>
      <c r="I17" s="11">
        <v>3.8712</v>
      </c>
      <c r="J17" s="11">
        <v>3.8712</v>
      </c>
      <c r="K17" s="11">
        <v>3.5292000000000003</v>
      </c>
      <c r="L17" s="11">
        <v>3.5292000000000003</v>
      </c>
      <c r="M17" s="11">
        <v>3.5292000000000003</v>
      </c>
      <c r="N17" s="11">
        <v>3.2274000000000003</v>
      </c>
      <c r="O17" s="11">
        <v>3.2274000000000003</v>
      </c>
      <c r="P17" s="11">
        <v>3.2274000000000003</v>
      </c>
      <c r="Q17" s="11">
        <v>4.0815000000000001</v>
      </c>
      <c r="R17" s="11">
        <f>Q17</f>
        <v>4.0815000000000001</v>
      </c>
      <c r="S17" s="11">
        <f>R17</f>
        <v>4.0815000000000001</v>
      </c>
      <c r="T17" s="11">
        <f>'Gas Cost Worksheet'!L97</f>
        <v>3.2488557934427784</v>
      </c>
      <c r="U17" s="11">
        <f>'Gas Cost Worksheet'!M97</f>
        <v>3.2488557934427784</v>
      </c>
      <c r="V17" s="11">
        <f>'Gas Cost Worksheet'!N97</f>
        <v>3.2488557934427784</v>
      </c>
      <c r="W17" s="11">
        <f>'Gas Cost Worksheet'!O97</f>
        <v>4.5812916609737586</v>
      </c>
      <c r="X17" s="11">
        <f>'Gas Cost Worksheet'!P97</f>
        <v>4.5812916609737586</v>
      </c>
      <c r="Y17" s="11">
        <f>'Gas Cost Worksheet'!Q97</f>
        <v>4.5812916609737586</v>
      </c>
      <c r="Z17" s="11">
        <f>'Gas Cost Worksheet'!R97</f>
        <v>4.9331682240840156</v>
      </c>
      <c r="AA17" s="11">
        <f>'Gas Cost Worksheet'!S97</f>
        <v>4.9331682240840156</v>
      </c>
      <c r="AB17" s="11">
        <f>'Gas Cost Worksheet'!T97</f>
        <v>4.9331682240840156</v>
      </c>
      <c r="AC17" s="11">
        <f>'Gas Cost Worksheet'!U97</f>
        <v>5.2989478814284547</v>
      </c>
      <c r="AD17" s="11">
        <f>'Gas Cost Worksheet'!V97</f>
        <v>5.2989478814284547</v>
      </c>
      <c r="AE17" s="11">
        <f>'Gas Cost Worksheet'!W97</f>
        <v>5.2989478814284547</v>
      </c>
      <c r="AF17" s="11">
        <f>'Gas Cost Worksheet'!X97</f>
        <v>5.329817872818098</v>
      </c>
      <c r="AG17" s="11">
        <f>'Gas Cost Worksheet'!Y97</f>
        <v>5.329817872818098</v>
      </c>
      <c r="AH17" s="11">
        <f>'Gas Cost Worksheet'!Z97</f>
        <v>5.329817872818098</v>
      </c>
      <c r="AI17" s="11">
        <f>'Gas Cost Worksheet'!AA97</f>
        <v>4.8926337200932446</v>
      </c>
      <c r="AJ17" s="11">
        <f>'Gas Cost Worksheet'!AB97</f>
        <v>4.8926337200932446</v>
      </c>
      <c r="AK17" s="11">
        <f>'Gas Cost Worksheet'!AC97</f>
        <v>4.8926337200932446</v>
      </c>
      <c r="AL17" s="11">
        <f>'Gas Cost Worksheet'!AD97</f>
        <v>5.2942237383950923</v>
      </c>
      <c r="AM17" s="11">
        <f>'Gas Cost Worksheet'!AE97</f>
        <v>5.2942237383950923</v>
      </c>
      <c r="AN17" s="11">
        <f>'Gas Cost Worksheet'!AF97</f>
        <v>5.2942237383950923</v>
      </c>
      <c r="AO17" s="11">
        <f>'Gas Cost Worksheet'!AG97</f>
        <v>5.5154857501809937</v>
      </c>
      <c r="AP17" s="11">
        <f>'Gas Cost Worksheet'!AH97</f>
        <v>5.5154857501809937</v>
      </c>
      <c r="AQ17" s="11">
        <f>'Gas Cost Worksheet'!AI97</f>
        <v>5.5154857501809937</v>
      </c>
      <c r="AR17" s="11">
        <f>'Gas Cost Worksheet'!AJ97</f>
        <v>5.5193777878303756</v>
      </c>
      <c r="AS17" s="11">
        <f>'Gas Cost Worksheet'!AK97</f>
        <v>5.5193777878303756</v>
      </c>
      <c r="AT17" s="11">
        <f>'Gas Cost Worksheet'!AL97</f>
        <v>5.5193777878303756</v>
      </c>
      <c r="AU17" s="11">
        <f>'Gas Cost Worksheet'!AM97</f>
        <v>5.0393774049891711</v>
      </c>
      <c r="AV17" s="11">
        <f>'Gas Cost Worksheet'!AN97</f>
        <v>5.0393774049891711</v>
      </c>
      <c r="AW17" s="11">
        <f>'Gas Cost Worksheet'!AO97</f>
        <v>5.0393774049891711</v>
      </c>
      <c r="AX17" s="11">
        <f>'Gas Cost Worksheet'!AP97</f>
        <v>5.2575068685197071</v>
      </c>
      <c r="AY17" s="11">
        <f>'Gas Cost Worksheet'!AQ97</f>
        <v>5.2575068685197071</v>
      </c>
      <c r="AZ17" s="11">
        <f>'Gas Cost Worksheet'!AR97</f>
        <v>5.2575068685197071</v>
      </c>
      <c r="BA17" s="11">
        <f>'Gas Cost Worksheet'!AS97</f>
        <v>5.4807109052526153</v>
      </c>
      <c r="BB17" s="11">
        <f>'Gas Cost Worksheet'!AT97</f>
        <v>5.4807109052526153</v>
      </c>
      <c r="BC17" s="11">
        <f>'Gas Cost Worksheet'!AU97</f>
        <v>5.4807109052526153</v>
      </c>
      <c r="BD17" s="11">
        <f>'Gas Cost Worksheet'!AV97</f>
        <v>5.5030405335494681</v>
      </c>
      <c r="BE17" s="11">
        <f>'Gas Cost Worksheet'!AW97</f>
        <v>5.5030405335494681</v>
      </c>
      <c r="BF17" s="11">
        <f>'Gas Cost Worksheet'!AX97</f>
        <v>5.5030405335494681</v>
      </c>
      <c r="BG17" s="11">
        <f>'Gas Cost Worksheet'!AY97</f>
        <v>5.0068251804991943</v>
      </c>
      <c r="BH17" s="11">
        <f>'Gas Cost Worksheet'!AZ97</f>
        <v>5.0068251804991943</v>
      </c>
      <c r="BI17" s="11">
        <f>'Gas Cost Worksheet'!BA97</f>
        <v>5.0068251804991943</v>
      </c>
      <c r="BJ17" s="11">
        <f>'Gas Cost Worksheet'!BB97</f>
        <v>5.1605900652510286</v>
      </c>
      <c r="BK17" s="11">
        <f>'Gas Cost Worksheet'!BC97</f>
        <v>5.1605900652510286</v>
      </c>
      <c r="BL17" s="11">
        <f>'Gas Cost Worksheet'!BD97</f>
        <v>5.1605900652510286</v>
      </c>
      <c r="BM17" s="11">
        <f>'Gas Cost Worksheet'!BE97</f>
        <v>5.3918447061691781</v>
      </c>
      <c r="BN17" s="11">
        <f>'Gas Cost Worksheet'!BF97</f>
        <v>5.3918447061691781</v>
      </c>
      <c r="BO17" s="11">
        <f>'Gas Cost Worksheet'!BG97</f>
        <v>5.3918447061691781</v>
      </c>
      <c r="BP17" s="11">
        <f>'Gas Cost Worksheet'!BH97</f>
        <v>5.4421044849788194</v>
      </c>
      <c r="BQ17" s="11">
        <f>'Gas Cost Worksheet'!BI97</f>
        <v>5.4421044849788194</v>
      </c>
      <c r="BR17" s="11">
        <f>'Gas Cost Worksheet'!BJ97</f>
        <v>5.4421044849788194</v>
      </c>
      <c r="BS17" s="11">
        <f>'Gas Cost Worksheet'!BK97</f>
        <v>4.9566474120420656</v>
      </c>
      <c r="BT17" s="11">
        <f>'Gas Cost Worksheet'!BL97</f>
        <v>4.9566474120420656</v>
      </c>
      <c r="BU17" s="11">
        <f>'Gas Cost Worksheet'!BM97</f>
        <v>4.9566474120420656</v>
      </c>
      <c r="BV17" s="11">
        <f>'Gas Cost Worksheet'!BN97</f>
        <v>5.1409863183259938</v>
      </c>
      <c r="BW17" s="11">
        <f>'Gas Cost Worksheet'!BO97</f>
        <v>5.1409863183259938</v>
      </c>
      <c r="BX17" s="11">
        <f>'Gas Cost Worksheet'!BP97</f>
        <v>5.1409863183259938</v>
      </c>
      <c r="BY17" s="11">
        <f>'Gas Cost Worksheet'!BQ97</f>
        <v>5.3835560455584055</v>
      </c>
      <c r="BZ17" s="11">
        <f>'Gas Cost Worksheet'!BR97</f>
        <v>5.3835560455584055</v>
      </c>
      <c r="CA17" s="11">
        <f>'Gas Cost Worksheet'!BS97</f>
        <v>5.3835560455584055</v>
      </c>
      <c r="CB17" s="11">
        <f>'Gas Cost Worksheet'!BT97</f>
        <v>5.3747965077238442</v>
      </c>
      <c r="CC17" s="11">
        <f>'Gas Cost Worksheet'!BU97</f>
        <v>5.3747965077238442</v>
      </c>
      <c r="CD17" s="11">
        <f>'Gas Cost Worksheet'!BV97</f>
        <v>5.3747965077238442</v>
      </c>
      <c r="CE17" s="11">
        <f>'Gas Cost Worksheet'!BW97</f>
        <v>7.858832250491564</v>
      </c>
      <c r="CF17" s="11">
        <f>'Gas Cost Worksheet'!BX97</f>
        <v>7.858832250491564</v>
      </c>
      <c r="CG17" s="11">
        <f>'Gas Cost Worksheet'!BY97</f>
        <v>7.858832250491564</v>
      </c>
      <c r="CH17" s="11">
        <f>'Gas Cost Worksheet'!BZ97</f>
        <v>7.9841447259155158</v>
      </c>
      <c r="CI17" s="11">
        <f>'Gas Cost Worksheet'!CA97</f>
        <v>7.9841447259155158</v>
      </c>
      <c r="CJ17" s="285"/>
      <c r="CK17" s="285"/>
      <c r="CL17" s="285"/>
    </row>
    <row r="18" spans="1:90">
      <c r="A18" s="2">
        <v>8</v>
      </c>
      <c r="B18" s="2" t="s">
        <v>188</v>
      </c>
      <c r="D18" s="3">
        <f t="shared" ref="D18:J18" si="4">D17*D16</f>
        <v>665426.12694533996</v>
      </c>
      <c r="E18" s="3">
        <f t="shared" si="4"/>
        <v>492434.67873599991</v>
      </c>
      <c r="F18" s="3">
        <f t="shared" si="4"/>
        <v>502032.15654592001</v>
      </c>
      <c r="G18" s="3">
        <f t="shared" si="4"/>
        <v>959790.51904736005</v>
      </c>
      <c r="H18" s="3">
        <f t="shared" si="4"/>
        <v>3502864.2918931199</v>
      </c>
      <c r="I18" s="3">
        <f t="shared" si="4"/>
        <v>5908679.1756095998</v>
      </c>
      <c r="J18" s="3">
        <f t="shared" si="4"/>
        <v>7153468.3157673599</v>
      </c>
      <c r="K18" s="3">
        <f t="shared" ref="K18:P18" si="5">K17*K16</f>
        <v>7069386.5111227212</v>
      </c>
      <c r="L18" s="3">
        <f t="shared" si="5"/>
        <v>4909877.5957852798</v>
      </c>
      <c r="M18" s="3">
        <f t="shared" si="5"/>
        <v>3112848.1839020401</v>
      </c>
      <c r="N18" s="3">
        <f t="shared" si="5"/>
        <v>1402673.51277504</v>
      </c>
      <c r="O18" s="3">
        <f t="shared" si="5"/>
        <v>595613.53651734011</v>
      </c>
      <c r="P18" s="3">
        <f t="shared" si="5"/>
        <v>496830.14245010569</v>
      </c>
      <c r="Q18" s="3">
        <f t="shared" ref="Q18:BW18" si="6">Q17*Q16</f>
        <v>627457.09163996775</v>
      </c>
      <c r="R18" s="3">
        <f t="shared" si="6"/>
        <v>639687.33396400698</v>
      </c>
      <c r="S18" s="3">
        <f t="shared" si="6"/>
        <v>1222960.9554209674</v>
      </c>
      <c r="T18" s="3">
        <f t="shared" si="6"/>
        <v>2939734.3649878367</v>
      </c>
      <c r="U18" s="3">
        <f t="shared" si="6"/>
        <v>4958785.9969780184</v>
      </c>
      <c r="V18" s="3">
        <f t="shared" si="6"/>
        <v>6003458.6302724313</v>
      </c>
      <c r="W18" s="3">
        <f t="shared" si="6"/>
        <v>9176846.8422550298</v>
      </c>
      <c r="X18" s="3">
        <f t="shared" si="6"/>
        <v>6373561.7561593493</v>
      </c>
      <c r="Y18" s="3">
        <f t="shared" si="6"/>
        <v>4040818.9397498067</v>
      </c>
      <c r="Z18" s="3">
        <f t="shared" si="6"/>
        <v>2144025.3525020406</v>
      </c>
      <c r="AA18" s="3">
        <f t="shared" si="6"/>
        <v>910408.96284311672</v>
      </c>
      <c r="AB18" s="3">
        <f t="shared" si="6"/>
        <v>759418.31551775301</v>
      </c>
      <c r="AC18" s="3">
        <f t="shared" si="6"/>
        <v>814617.76955356286</v>
      </c>
      <c r="AD18" s="3">
        <f t="shared" si="6"/>
        <v>830496.10267920897</v>
      </c>
      <c r="AE18" s="3">
        <f t="shared" si="6"/>
        <v>1587751.161043159</v>
      </c>
      <c r="AF18" s="3">
        <f t="shared" si="6"/>
        <v>4822697.5144520821</v>
      </c>
      <c r="AG18" s="3">
        <f t="shared" si="6"/>
        <v>8134995.1843096642</v>
      </c>
      <c r="AH18" s="3">
        <f t="shared" si="6"/>
        <v>9848803.1296836399</v>
      </c>
      <c r="AI18" s="3">
        <f t="shared" si="6"/>
        <v>9800500.3014815357</v>
      </c>
      <c r="AJ18" s="3">
        <f t="shared" si="6"/>
        <v>6806705.5042406665</v>
      </c>
      <c r="AK18" s="3">
        <f t="shared" si="6"/>
        <v>4315430.7702839309</v>
      </c>
      <c r="AL18" s="3">
        <f t="shared" si="6"/>
        <v>2300945.2346508694</v>
      </c>
      <c r="AM18" s="3">
        <f t="shared" si="6"/>
        <v>977041.22863692511</v>
      </c>
      <c r="AN18" s="3">
        <f t="shared" si="6"/>
        <v>814999.6697371148</v>
      </c>
      <c r="AO18" s="3">
        <f t="shared" si="6"/>
        <v>847906.5656719961</v>
      </c>
      <c r="AP18" s="3">
        <f t="shared" si="6"/>
        <v>864433.75598425849</v>
      </c>
      <c r="AQ18" s="3">
        <f t="shared" si="6"/>
        <v>1652633.522639245</v>
      </c>
      <c r="AR18" s="3">
        <f t="shared" si="6"/>
        <v>4994221.2236639475</v>
      </c>
      <c r="AS18" s="3">
        <f t="shared" si="6"/>
        <v>8424323.8316594232</v>
      </c>
      <c r="AT18" s="3">
        <f t="shared" si="6"/>
        <v>10199084.945832895</v>
      </c>
      <c r="AU18" s="3">
        <f t="shared" si="6"/>
        <v>10094444.547125094</v>
      </c>
      <c r="AV18" s="3">
        <f t="shared" si="6"/>
        <v>7010857.522322786</v>
      </c>
      <c r="AW18" s="3">
        <f t="shared" si="6"/>
        <v>4444862.5343140131</v>
      </c>
      <c r="AX18" s="3">
        <f t="shared" si="6"/>
        <v>2284987.5587108885</v>
      </c>
      <c r="AY18" s="3">
        <f t="shared" si="6"/>
        <v>970265.18413495552</v>
      </c>
      <c r="AZ18" s="3">
        <f t="shared" si="6"/>
        <v>809347.42716088949</v>
      </c>
      <c r="BA18" s="3">
        <f t="shared" si="6"/>
        <v>842560.55977686157</v>
      </c>
      <c r="BB18" s="3">
        <f t="shared" si="6"/>
        <v>858983.54703136219</v>
      </c>
      <c r="BC18" s="3">
        <f t="shared" si="6"/>
        <v>1642213.7559901637</v>
      </c>
      <c r="BD18" s="3">
        <f t="shared" si="6"/>
        <v>4979438.4229203565</v>
      </c>
      <c r="BE18" s="3">
        <f t="shared" si="6"/>
        <v>8399387.9918105919</v>
      </c>
      <c r="BF18" s="3">
        <f t="shared" si="6"/>
        <v>10168895.846518107</v>
      </c>
      <c r="BG18" s="3">
        <f t="shared" si="6"/>
        <v>10029238.749148082</v>
      </c>
      <c r="BH18" s="3">
        <f t="shared" si="6"/>
        <v>6965570.3787744679</v>
      </c>
      <c r="BI18" s="3">
        <f t="shared" si="6"/>
        <v>4416150.6218264047</v>
      </c>
      <c r="BJ18" s="3">
        <f t="shared" si="6"/>
        <v>2242866.1321037342</v>
      </c>
      <c r="BK18" s="3">
        <f t="shared" si="6"/>
        <v>952379.33018917998</v>
      </c>
      <c r="BL18" s="3">
        <f t="shared" si="6"/>
        <v>794427.92874923104</v>
      </c>
      <c r="BM18" s="3">
        <f t="shared" si="6"/>
        <v>828898.98270421871</v>
      </c>
      <c r="BN18" s="3">
        <f t="shared" si="6"/>
        <v>845055.68179279822</v>
      </c>
      <c r="BO18" s="3">
        <f t="shared" si="6"/>
        <v>1615586.3171231516</v>
      </c>
      <c r="BP18" s="3">
        <f t="shared" si="6"/>
        <v>4924300.3043214148</v>
      </c>
      <c r="BQ18" s="3">
        <f t="shared" si="6"/>
        <v>8306380.2242841981</v>
      </c>
      <c r="BR18" s="3">
        <f t="shared" si="6"/>
        <v>10056294.035312908</v>
      </c>
      <c r="BS18" s="3">
        <f t="shared" si="6"/>
        <v>9928726.9873801507</v>
      </c>
      <c r="BT18" s="3">
        <f t="shared" si="6"/>
        <v>6895762.3137756549</v>
      </c>
      <c r="BU18" s="3">
        <f t="shared" si="6"/>
        <v>4371892.5190596301</v>
      </c>
      <c r="BV18" s="3">
        <f t="shared" si="6"/>
        <v>2234346.0637618299</v>
      </c>
      <c r="BW18" s="3">
        <f t="shared" si="6"/>
        <v>948761.48743678245</v>
      </c>
      <c r="BX18" s="3">
        <f t="shared" ref="BX18:CI18" si="7">BX17*BX16</f>
        <v>791410.10251841962</v>
      </c>
      <c r="BY18" s="3">
        <f t="shared" si="7"/>
        <v>827624.75046596664</v>
      </c>
      <c r="BZ18" s="3">
        <f t="shared" si="7"/>
        <v>843756.61252702889</v>
      </c>
      <c r="CA18" s="3">
        <f t="shared" si="7"/>
        <v>1613102.7428735592</v>
      </c>
      <c r="CB18" s="3">
        <f t="shared" si="7"/>
        <v>4863396.5319306459</v>
      </c>
      <c r="CC18" s="3">
        <f t="shared" si="7"/>
        <v>8203646.8694303045</v>
      </c>
      <c r="CD18" s="3">
        <f t="shared" si="7"/>
        <v>9931917.7371241357</v>
      </c>
      <c r="CE18" s="3">
        <f t="shared" si="7"/>
        <v>15742132.406913044</v>
      </c>
      <c r="CF18" s="3">
        <f t="shared" si="7"/>
        <v>10933325.443235002</v>
      </c>
      <c r="CG18" s="3">
        <f t="shared" si="7"/>
        <v>6931695.3715522904</v>
      </c>
      <c r="CH18" s="3">
        <f t="shared" si="7"/>
        <v>3470023.3060847642</v>
      </c>
      <c r="CI18" s="3">
        <f t="shared" si="7"/>
        <v>1473462.2029760103</v>
      </c>
      <c r="CJ18" s="286"/>
      <c r="CK18" s="286"/>
      <c r="CL18" s="286"/>
    </row>
    <row r="19" spans="1:90">
      <c r="A19" s="2">
        <v>9</v>
      </c>
      <c r="C19" s="6"/>
      <c r="P19" s="6"/>
      <c r="Q19" s="6"/>
      <c r="R19" s="6"/>
      <c r="S19" s="6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</row>
    <row r="20" spans="1:90">
      <c r="A20" s="2">
        <v>10</v>
      </c>
      <c r="B20" s="23" t="s">
        <v>30</v>
      </c>
      <c r="D20" s="50">
        <f>D21*$C$21+D22*$C$22+D23*$C$23+D24*$C$24</f>
        <v>1397786.2438155031</v>
      </c>
      <c r="E20" s="50">
        <f t="shared" ref="E20:BP20" si="8">E21*$C$21+E22*$C$22+E23*$C$23+E24*$C$24</f>
        <v>1395689.0238613738</v>
      </c>
      <c r="F20" s="50">
        <f t="shared" si="8"/>
        <v>1378477.9641011858</v>
      </c>
      <c r="G20" s="50">
        <f t="shared" si="8"/>
        <v>1479266.9777918027</v>
      </c>
      <c r="H20" s="50">
        <f t="shared" si="8"/>
        <v>1944206.5243090501</v>
      </c>
      <c r="I20" s="50">
        <f t="shared" si="8"/>
        <v>2397477.0583926747</v>
      </c>
      <c r="J20" s="50">
        <f t="shared" si="8"/>
        <v>2632312.891251307</v>
      </c>
      <c r="K20" s="50">
        <f t="shared" si="8"/>
        <v>2743029.8032076256</v>
      </c>
      <c r="L20" s="50">
        <f t="shared" si="8"/>
        <v>2336943.7797511388</v>
      </c>
      <c r="M20" s="50">
        <f t="shared" si="8"/>
        <v>1987903.7195583682</v>
      </c>
      <c r="N20" s="50">
        <f t="shared" si="8"/>
        <v>1649564.3067600811</v>
      </c>
      <c r="O20" s="50">
        <f t="shared" si="8"/>
        <v>1446992.8078857199</v>
      </c>
      <c r="P20" s="50">
        <f t="shared" si="8"/>
        <v>1401711.2868850846</v>
      </c>
      <c r="Q20" s="50">
        <f t="shared" si="8"/>
        <v>1399620.099032704</v>
      </c>
      <c r="R20" s="50">
        <f t="shared" si="8"/>
        <v>1382387.2104536204</v>
      </c>
      <c r="S20" s="50">
        <f t="shared" si="8"/>
        <v>1483419.0772930831</v>
      </c>
      <c r="T20" s="50">
        <f t="shared" si="8"/>
        <v>1949557.4796606693</v>
      </c>
      <c r="U20" s="50">
        <f t="shared" si="8"/>
        <v>2403994.0667736321</v>
      </c>
      <c r="V20" s="50">
        <f t="shared" si="8"/>
        <v>2639375.2889781073</v>
      </c>
      <c r="W20" s="50">
        <f t="shared" si="8"/>
        <v>2750399.5430056215</v>
      </c>
      <c r="X20" s="50">
        <f t="shared" si="8"/>
        <v>2343206.2947556027</v>
      </c>
      <c r="Y20" s="50">
        <f t="shared" si="8"/>
        <v>1993206.7256141701</v>
      </c>
      <c r="Z20" s="50">
        <f t="shared" si="8"/>
        <v>1654025.0975457665</v>
      </c>
      <c r="AA20" s="50">
        <f t="shared" si="8"/>
        <v>1450975.2826639945</v>
      </c>
      <c r="AB20" s="50">
        <f t="shared" si="8"/>
        <v>1405636.3299546661</v>
      </c>
      <c r="AC20" s="50">
        <f t="shared" si="8"/>
        <v>1403551.1742040343</v>
      </c>
      <c r="AD20" s="50">
        <f t="shared" si="8"/>
        <v>1386296.456806055</v>
      </c>
      <c r="AE20" s="50">
        <f t="shared" si="8"/>
        <v>1487571.2048142287</v>
      </c>
      <c r="AF20" s="50">
        <f t="shared" si="8"/>
        <v>1954908.5839999609</v>
      </c>
      <c r="AG20" s="50">
        <f t="shared" si="8"/>
        <v>2410511.3437672909</v>
      </c>
      <c r="AH20" s="50">
        <f t="shared" si="8"/>
        <v>2646438.0113482573</v>
      </c>
      <c r="AI20" s="50">
        <f t="shared" si="8"/>
        <v>2757769.6389602222</v>
      </c>
      <c r="AJ20" s="50">
        <f t="shared" si="8"/>
        <v>2349469.0499139586</v>
      </c>
      <c r="AK20" s="50">
        <f t="shared" si="8"/>
        <v>1998509.8670839979</v>
      </c>
      <c r="AL20" s="50">
        <f t="shared" si="8"/>
        <v>1658485.9484263572</v>
      </c>
      <c r="AM20" s="50">
        <f t="shared" si="8"/>
        <v>1454957.757442269</v>
      </c>
      <c r="AN20" s="50">
        <f t="shared" si="8"/>
        <v>1409561.3730242476</v>
      </c>
      <c r="AO20" s="50">
        <f t="shared" si="8"/>
        <v>1407482.249375365</v>
      </c>
      <c r="AP20" s="50">
        <f t="shared" si="8"/>
        <v>1390205.7031584897</v>
      </c>
      <c r="AQ20" s="50">
        <f t="shared" si="8"/>
        <v>1491723.3603552389</v>
      </c>
      <c r="AR20" s="50">
        <f t="shared" si="8"/>
        <v>1960259.8373269239</v>
      </c>
      <c r="AS20" s="50">
        <f t="shared" si="8"/>
        <v>2417028.8893736517</v>
      </c>
      <c r="AT20" s="50">
        <f t="shared" si="8"/>
        <v>2653501.0583617566</v>
      </c>
      <c r="AU20" s="50">
        <f t="shared" si="8"/>
        <v>2765140.0910714292</v>
      </c>
      <c r="AV20" s="50">
        <f t="shared" si="8"/>
        <v>2355732.0452262075</v>
      </c>
      <c r="AW20" s="50">
        <f t="shared" si="8"/>
        <v>2003816.0003010388</v>
      </c>
      <c r="AX20" s="50">
        <f t="shared" si="8"/>
        <v>1662944.0520683578</v>
      </c>
      <c r="AY20" s="50">
        <f t="shared" si="8"/>
        <v>1458942.9675613628</v>
      </c>
      <c r="AZ20" s="50">
        <f t="shared" si="8"/>
        <v>1413486.4160938293</v>
      </c>
      <c r="BA20" s="50">
        <f t="shared" si="8"/>
        <v>1411413.3245466952</v>
      </c>
      <c r="BB20" s="50">
        <f t="shared" si="8"/>
        <v>1394114.9495109245</v>
      </c>
      <c r="BC20" s="50">
        <f t="shared" si="8"/>
        <v>1495875.5439161141</v>
      </c>
      <c r="BD20" s="50">
        <f t="shared" si="8"/>
        <v>1965611.2396415586</v>
      </c>
      <c r="BE20" s="50">
        <f t="shared" si="8"/>
        <v>2423546.7035927125</v>
      </c>
      <c r="BF20" s="50">
        <f t="shared" si="8"/>
        <v>2660564.4300186043</v>
      </c>
      <c r="BG20" s="50">
        <f t="shared" si="8"/>
        <v>2772510.899339241</v>
      </c>
      <c r="BH20" s="50">
        <f t="shared" si="8"/>
        <v>2361995.2806923487</v>
      </c>
      <c r="BI20" s="50">
        <f t="shared" si="8"/>
        <v>2009119.4201219196</v>
      </c>
      <c r="BJ20" s="50">
        <f t="shared" si="8"/>
        <v>1667405.0156268957</v>
      </c>
      <c r="BK20" s="50">
        <f t="shared" si="8"/>
        <v>1462925.4498063098</v>
      </c>
      <c r="BL20" s="50">
        <f t="shared" si="8"/>
        <v>1417411.4591634108</v>
      </c>
      <c r="BM20" s="50">
        <f t="shared" si="8"/>
        <v>1415344.3997180257</v>
      </c>
      <c r="BN20" s="50">
        <f t="shared" si="8"/>
        <v>1398024.1958633591</v>
      </c>
      <c r="BO20" s="50">
        <f t="shared" si="8"/>
        <v>1500027.7554968542</v>
      </c>
      <c r="BP20" s="50">
        <f t="shared" si="8"/>
        <v>1970960.0331820603</v>
      </c>
      <c r="BQ20" s="50">
        <f t="shared" ref="BQ20:CI20" si="9">BQ21*$C$21+BQ22*$C$22+BQ23*$C$23+BQ24*$C$24</f>
        <v>2430061.9830032503</v>
      </c>
      <c r="BR20" s="50">
        <f t="shared" si="9"/>
        <v>2667628.1263188017</v>
      </c>
      <c r="BS20" s="50">
        <f t="shared" si="9"/>
        <v>2779879.2395901759</v>
      </c>
      <c r="BT20" s="50">
        <f t="shared" si="9"/>
        <v>2368258.7563123824</v>
      </c>
      <c r="BU20" s="50">
        <f t="shared" si="9"/>
        <v>2014422.9753568266</v>
      </c>
      <c r="BV20" s="50">
        <f t="shared" si="9"/>
        <v>1671863.2169231174</v>
      </c>
      <c r="BW20" s="50">
        <f t="shared" si="9"/>
        <v>1466910.6823254211</v>
      </c>
      <c r="BX20" s="50">
        <f t="shared" si="9"/>
        <v>1421336.5022329923</v>
      </c>
      <c r="BY20" s="50">
        <f t="shared" si="9"/>
        <v>1419275.4748893559</v>
      </c>
      <c r="BZ20" s="50">
        <f t="shared" si="9"/>
        <v>1401933.442215794</v>
      </c>
      <c r="CA20" s="50">
        <f t="shared" si="9"/>
        <v>1504179.9950974591</v>
      </c>
      <c r="CB20" s="50">
        <f t="shared" si="9"/>
        <v>1976311.7260226551</v>
      </c>
      <c r="CC20" s="50">
        <f t="shared" si="9"/>
        <v>2436580.3269862505</v>
      </c>
      <c r="CD20" s="50">
        <f t="shared" si="9"/>
        <v>2674689.3289153818</v>
      </c>
      <c r="CE20" s="50">
        <f t="shared" si="9"/>
        <v>2787250.7527512698</v>
      </c>
      <c r="CF20" s="50">
        <f t="shared" si="9"/>
        <v>2374519.6061497936</v>
      </c>
      <c r="CG20" s="50">
        <f t="shared" si="9"/>
        <v>2019729.5449079508</v>
      </c>
      <c r="CH20" s="50">
        <f t="shared" si="9"/>
        <v>1676324.2931596024</v>
      </c>
      <c r="CI20" s="50">
        <f t="shared" si="9"/>
        <v>1470893.1720370408</v>
      </c>
      <c r="CJ20" s="291"/>
      <c r="CK20" s="291"/>
      <c r="CL20" s="291"/>
    </row>
    <row r="21" spans="1:90">
      <c r="A21" s="2">
        <v>11</v>
      </c>
      <c r="B21" s="2" t="s">
        <v>22</v>
      </c>
      <c r="C21" s="44">
        <f>'Rate Design'!G13</f>
        <v>66</v>
      </c>
      <c r="D21" s="6">
        <f>'Bill Frequency'!C20</f>
        <v>17806</v>
      </c>
      <c r="E21" s="6">
        <f>'Bill Frequency'!D20</f>
        <v>17752</v>
      </c>
      <c r="F21" s="6">
        <f>'Bill Frequency'!E20</f>
        <v>17631</v>
      </c>
      <c r="G21" s="6">
        <f>'Bill Frequency'!F20</f>
        <v>17835</v>
      </c>
      <c r="H21" s="6">
        <f>'Bill Frequency'!G20</f>
        <v>18260</v>
      </c>
      <c r="I21" s="6">
        <f>'Bill Frequency'!H20</f>
        <v>18536</v>
      </c>
      <c r="J21" s="6">
        <f>'Bill Frequency'!I20</f>
        <v>18799</v>
      </c>
      <c r="K21" s="6">
        <f>'Bill Frequency'!J20</f>
        <v>18781</v>
      </c>
      <c r="L21" s="6">
        <f>'Bill Frequency'!K20</f>
        <v>18794</v>
      </c>
      <c r="M21" s="6">
        <f>'Bill Frequency'!L20</f>
        <v>18834</v>
      </c>
      <c r="N21" s="6">
        <f>'Bill Frequency'!M20</f>
        <v>18536</v>
      </c>
      <c r="O21" s="6">
        <f>'Bill Frequency'!N20</f>
        <v>18167</v>
      </c>
      <c r="P21" s="6">
        <f>WNA!O57</f>
        <v>17856</v>
      </c>
      <c r="Q21" s="6">
        <f>WNA!P57</f>
        <v>17802</v>
      </c>
      <c r="R21" s="6">
        <f>WNA!Q57</f>
        <v>17681</v>
      </c>
      <c r="S21" s="6">
        <f>WNA!R57</f>
        <v>17885</v>
      </c>
      <c r="T21" s="6">
        <f>WNA!S57</f>
        <v>18310</v>
      </c>
      <c r="U21" s="6">
        <f>WNA!T57</f>
        <v>18586</v>
      </c>
      <c r="V21" s="6">
        <f>WNA!U57</f>
        <v>18849</v>
      </c>
      <c r="W21" s="6">
        <f>WNA!V57</f>
        <v>18831</v>
      </c>
      <c r="X21" s="6">
        <f>WNA!W57</f>
        <v>18844</v>
      </c>
      <c r="Y21" s="6">
        <f>WNA!X57</f>
        <v>18884</v>
      </c>
      <c r="Z21" s="6">
        <f>WNA!Y57</f>
        <v>18586</v>
      </c>
      <c r="AA21" s="6">
        <f>WNA!Z57</f>
        <v>18217</v>
      </c>
      <c r="AB21" s="6">
        <f>WNA!AA57</f>
        <v>17906</v>
      </c>
      <c r="AC21" s="6">
        <f>WNA!AB57</f>
        <v>17852</v>
      </c>
      <c r="AD21" s="6">
        <f>WNA!AC57</f>
        <v>17731</v>
      </c>
      <c r="AE21" s="6">
        <f>WNA!AD57</f>
        <v>17935</v>
      </c>
      <c r="AF21" s="6">
        <f>WNA!AE57</f>
        <v>18360</v>
      </c>
      <c r="AG21" s="6">
        <f>WNA!AF57</f>
        <v>18636</v>
      </c>
      <c r="AH21" s="6">
        <f>WNA!AG57</f>
        <v>18899</v>
      </c>
      <c r="AI21" s="6">
        <f>WNA!AH57</f>
        <v>18881</v>
      </c>
      <c r="AJ21" s="6">
        <f>WNA!AI57</f>
        <v>18894</v>
      </c>
      <c r="AK21" s="6">
        <f>WNA!AJ57</f>
        <v>18934</v>
      </c>
      <c r="AL21" s="6">
        <f>WNA!AK57</f>
        <v>18636</v>
      </c>
      <c r="AM21" s="6">
        <f>WNA!AL57</f>
        <v>18267</v>
      </c>
      <c r="AN21" s="6">
        <f>WNA!AM57</f>
        <v>17956</v>
      </c>
      <c r="AO21" s="6">
        <f>WNA!AN57</f>
        <v>17902</v>
      </c>
      <c r="AP21" s="6">
        <f>WNA!AO57</f>
        <v>17781</v>
      </c>
      <c r="AQ21" s="6">
        <f>WNA!AP57</f>
        <v>17985</v>
      </c>
      <c r="AR21" s="6">
        <f>WNA!AQ57</f>
        <v>18410</v>
      </c>
      <c r="AS21" s="6">
        <f>WNA!AR57</f>
        <v>18686</v>
      </c>
      <c r="AT21" s="6">
        <f>WNA!AS57</f>
        <v>18949</v>
      </c>
      <c r="AU21" s="6">
        <f>WNA!AT57</f>
        <v>18931</v>
      </c>
      <c r="AV21" s="6">
        <f>WNA!AU57</f>
        <v>18944</v>
      </c>
      <c r="AW21" s="6">
        <f>WNA!AV57</f>
        <v>18984</v>
      </c>
      <c r="AX21" s="6">
        <f>WNA!AW57</f>
        <v>18686</v>
      </c>
      <c r="AY21" s="6">
        <f>WNA!AX57</f>
        <v>18317</v>
      </c>
      <c r="AZ21" s="6">
        <f>WNA!AY57</f>
        <v>18006</v>
      </c>
      <c r="BA21" s="6">
        <f>WNA!AZ57</f>
        <v>17952</v>
      </c>
      <c r="BB21" s="6">
        <f>WNA!BA57</f>
        <v>17831</v>
      </c>
      <c r="BC21" s="6">
        <f>WNA!BB57</f>
        <v>18035</v>
      </c>
      <c r="BD21" s="6">
        <f>WNA!BC57</f>
        <v>18460</v>
      </c>
      <c r="BE21" s="6">
        <f>WNA!BD57</f>
        <v>18736</v>
      </c>
      <c r="BF21" s="6">
        <f>WNA!BE57</f>
        <v>18999</v>
      </c>
      <c r="BG21" s="6">
        <f>WNA!BF57</f>
        <v>18981</v>
      </c>
      <c r="BH21" s="6">
        <f>WNA!BG57</f>
        <v>18994</v>
      </c>
      <c r="BI21" s="6">
        <f>WNA!BH57</f>
        <v>19034</v>
      </c>
      <c r="BJ21" s="6">
        <f>WNA!BI57</f>
        <v>18736</v>
      </c>
      <c r="BK21" s="6">
        <f>WNA!BJ57</f>
        <v>18367</v>
      </c>
      <c r="BL21" s="6">
        <f>WNA!BK57</f>
        <v>18056</v>
      </c>
      <c r="BM21" s="6">
        <f>WNA!BL57</f>
        <v>18002</v>
      </c>
      <c r="BN21" s="6">
        <f>WNA!BM57</f>
        <v>17881</v>
      </c>
      <c r="BO21" s="6">
        <f>WNA!BN57</f>
        <v>18085</v>
      </c>
      <c r="BP21" s="6">
        <f>WNA!BO57</f>
        <v>18510</v>
      </c>
      <c r="BQ21" s="6">
        <f>WNA!BP57</f>
        <v>18786</v>
      </c>
      <c r="BR21" s="6">
        <f>WNA!BQ57</f>
        <v>19049</v>
      </c>
      <c r="BS21" s="6">
        <f>WNA!BR57</f>
        <v>19031</v>
      </c>
      <c r="BT21" s="6">
        <f>WNA!BS57</f>
        <v>19044</v>
      </c>
      <c r="BU21" s="6">
        <f>WNA!BT57</f>
        <v>19084</v>
      </c>
      <c r="BV21" s="6">
        <f>WNA!BU57</f>
        <v>18786</v>
      </c>
      <c r="BW21" s="6">
        <f>WNA!BV57</f>
        <v>18417</v>
      </c>
      <c r="BX21" s="6">
        <f>WNA!BW57</f>
        <v>18106</v>
      </c>
      <c r="BY21" s="6">
        <f>WNA!BX57</f>
        <v>18052</v>
      </c>
      <c r="BZ21" s="6">
        <f>WNA!BY57</f>
        <v>17931</v>
      </c>
      <c r="CA21" s="6">
        <f>WNA!BZ57</f>
        <v>18135</v>
      </c>
      <c r="CB21" s="6">
        <f>WNA!CA57</f>
        <v>18560</v>
      </c>
      <c r="CC21" s="6">
        <f>WNA!CB57</f>
        <v>18836</v>
      </c>
      <c r="CD21" s="6">
        <f>WNA!CC57</f>
        <v>19099</v>
      </c>
      <c r="CE21" s="6">
        <f>WNA!CD57</f>
        <v>19081</v>
      </c>
      <c r="CF21" s="6">
        <f>WNA!CE57</f>
        <v>19094</v>
      </c>
      <c r="CG21" s="6">
        <f>WNA!CF57</f>
        <v>19134</v>
      </c>
      <c r="CH21" s="6">
        <f>WNA!CG57</f>
        <v>18836</v>
      </c>
      <c r="CI21" s="6">
        <f>WNA!CH57</f>
        <v>18467</v>
      </c>
      <c r="CJ21" s="290"/>
      <c r="CK21" s="290"/>
      <c r="CL21" s="290"/>
    </row>
    <row r="22" spans="1:90">
      <c r="A22" s="2">
        <v>12</v>
      </c>
      <c r="B22" s="2" t="s">
        <v>23</v>
      </c>
      <c r="C22" s="13">
        <f>C13</f>
        <v>1.5483</v>
      </c>
      <c r="D22" s="6">
        <f>'Bill Frequency'!C21+WNA!C65+'Contract &amp; Vol Adj'!C21</f>
        <v>129916.69548575132</v>
      </c>
      <c r="E22" s="6">
        <f>'Bill Frequency'!D21+WNA!D65+'Contract &amp; Vol Adj'!D21</f>
        <v>134059.21690280366</v>
      </c>
      <c r="F22" s="6">
        <f>'Bill Frequency'!E21+WNA!E65+'Contract &amp; Vol Adj'!E21</f>
        <v>112676.94652295213</v>
      </c>
      <c r="G22" s="6">
        <f>'Bill Frequency'!F21+WNA!F65+'Contract &amp; Vol Adj'!F21</f>
        <v>148378.01969392609</v>
      </c>
      <c r="H22" s="6">
        <f>'Bill Frequency'!G21+WNA!G65+'Contract &amp; Vol Adj'!G21</f>
        <v>434658.84727466654</v>
      </c>
      <c r="I22" s="6">
        <f>'Bill Frequency'!H21+WNA!H65+'Contract &amp; Vol Adj'!H21</f>
        <v>693437.98051907262</v>
      </c>
      <c r="J22" s="6">
        <f>'Bill Frequency'!I21+WNA!I65+'Contract &amp; Vol Adj'!I21</f>
        <v>797910.45162056084</v>
      </c>
      <c r="K22" s="6">
        <f>'Bill Frequency'!J21+WNA!J65+'Contract &amp; Vol Adj'!J21</f>
        <v>875119.07467338641</v>
      </c>
      <c r="L22" s="6">
        <f>'Bill Frequency'!K21+WNA!K65+'Contract &amp; Vol Adj'!K21</f>
        <v>657303.92384981783</v>
      </c>
      <c r="M22" s="6">
        <f>'Bill Frequency'!L21+WNA!L65+'Contract &amp; Vol Adj'!L21</f>
        <v>449230.36321492936</v>
      </c>
      <c r="N22" s="6">
        <f>'Bill Frequency'!M21+WNA!M65+'Contract &amp; Vol Adj'!M21</f>
        <v>256079.85812887325</v>
      </c>
      <c r="O22" s="6">
        <f>'Bill Frequency'!N21+WNA!N65+'Contract &amp; Vol Adj'!N21</f>
        <v>146718.73536581217</v>
      </c>
      <c r="P22" s="6">
        <f>D22+WNA!O65</f>
        <v>130281.50720770446</v>
      </c>
      <c r="Q22" s="6">
        <f>E22+WNA!P65</f>
        <v>134436.80579431594</v>
      </c>
      <c r="R22" s="6">
        <f>F22+WNA!Q65</f>
        <v>112996.48937571055</v>
      </c>
      <c r="S22" s="6">
        <f>G22+WNA!R65</f>
        <v>148796.45397105647</v>
      </c>
      <c r="T22" s="6">
        <f>H22+WNA!S65</f>
        <v>435865.08512252074</v>
      </c>
      <c r="U22" s="6">
        <f>I22+WNA!T65</f>
        <v>695337.98374201346</v>
      </c>
      <c r="V22" s="6">
        <f>J22+WNA!U65</f>
        <v>800067.75401156524</v>
      </c>
      <c r="W22" s="6">
        <f>K22+WNA!V65</f>
        <v>877487.91091797058</v>
      </c>
      <c r="X22" s="6">
        <f>L22+WNA!W65</f>
        <v>659079.75795347418</v>
      </c>
      <c r="Y22" s="6">
        <f>M22+WNA!X65</f>
        <v>450438.39086677105</v>
      </c>
      <c r="Z22" s="6">
        <f>N22+WNA!Y65</f>
        <v>256777.33183943888</v>
      </c>
      <c r="AA22" s="6">
        <f>O22+WNA!Z65</f>
        <v>147122.54030253537</v>
      </c>
      <c r="AB22" s="6">
        <f>P22+WNA!AA65</f>
        <v>130646.31892965757</v>
      </c>
      <c r="AC22" s="6">
        <f>Q22+WNA!AB65</f>
        <v>134814.39468582821</v>
      </c>
      <c r="AD22" s="6">
        <f>R22+WNA!AC65</f>
        <v>113316.03222846896</v>
      </c>
      <c r="AE22" s="6">
        <f>S22+WNA!AD65</f>
        <v>149214.90200769715</v>
      </c>
      <c r="AF22" s="6">
        <f>T22+WNA!AE65</f>
        <v>437071.41059518291</v>
      </c>
      <c r="AG22" s="6">
        <f>U22+WNA!AF65</f>
        <v>697238.14561079466</v>
      </c>
      <c r="AH22" s="6">
        <f>V22+WNA!AG65</f>
        <v>802225.24254819378</v>
      </c>
      <c r="AI22" s="6">
        <f>W22+WNA!AH65</f>
        <v>879856.95446737448</v>
      </c>
      <c r="AJ22" s="6">
        <f>X22+WNA!AI65</f>
        <v>660855.73601369164</v>
      </c>
      <c r="AK22" s="6">
        <f>Y22+WNA!AJ65</f>
        <v>451646.50018780562</v>
      </c>
      <c r="AL22" s="6">
        <f>Z22+WNA!AK65</f>
        <v>257474.84165867887</v>
      </c>
      <c r="AM22" s="6">
        <f>AA22+WNA!AL65</f>
        <v>147526.34523925858</v>
      </c>
      <c r="AN22" s="6">
        <f>AB22+WNA!AM65</f>
        <v>131011.13065161071</v>
      </c>
      <c r="AO22" s="6">
        <f>AC22+WNA!AN65</f>
        <v>135191.98357734049</v>
      </c>
      <c r="AP22" s="6">
        <f>AD22+WNA!AO65</f>
        <v>113635.57508122741</v>
      </c>
      <c r="AQ22" s="6">
        <f>AE22+WNA!AP65</f>
        <v>149633.36380384816</v>
      </c>
      <c r="AR22" s="6">
        <f>AF22+WNA!AQ65</f>
        <v>438277.8236926528</v>
      </c>
      <c r="AS22" s="6">
        <f>AG22+WNA!AR65</f>
        <v>699138.46612541622</v>
      </c>
      <c r="AT22" s="6">
        <f>AH22+WNA!AS65</f>
        <v>804382.91723044659</v>
      </c>
      <c r="AU22" s="6">
        <f>AI22+WNA!AT65</f>
        <v>882226.20532159845</v>
      </c>
      <c r="AV22" s="6">
        <f>AJ22+WNA!AU65</f>
        <v>662631.85803047032</v>
      </c>
      <c r="AW22" s="6">
        <f>AK22+WNA!AV65</f>
        <v>452856.41385354003</v>
      </c>
      <c r="AX22" s="6">
        <f>AL22+WNA!AW65</f>
        <v>258170.7007698699</v>
      </c>
      <c r="AY22" s="6">
        <f>AM22+WNA!AX65</f>
        <v>147931.76861546357</v>
      </c>
      <c r="AZ22" s="6">
        <f>AN22+WNA!AY65</f>
        <v>131375.94237356386</v>
      </c>
      <c r="BA22" s="6">
        <f>AO22+WNA!AZ65</f>
        <v>135569.57246885277</v>
      </c>
      <c r="BB22" s="6">
        <f>AP22+WNA!BA65</f>
        <v>113955.11793398582</v>
      </c>
      <c r="BC22" s="6">
        <f>AQ22+WNA!BB65</f>
        <v>150051.8393595095</v>
      </c>
      <c r="BD22" s="6">
        <f>AR22+WNA!BC65</f>
        <v>439484.32441493054</v>
      </c>
      <c r="BE22" s="6">
        <f>AS22+WNA!BD65</f>
        <v>701038.94528587803</v>
      </c>
      <c r="BF22" s="6">
        <f>AT22+WNA!BE65</f>
        <v>806540.77805832366</v>
      </c>
      <c r="BG22" s="6">
        <f>AU22+WNA!BF65</f>
        <v>884595.66348064214</v>
      </c>
      <c r="BH22" s="6">
        <f>AV22+WNA!BG65</f>
        <v>664408.12400381023</v>
      </c>
      <c r="BI22" s="6">
        <f>AW22+WNA!BH65</f>
        <v>454064.69105013745</v>
      </c>
      <c r="BJ22" s="6">
        <f>AX22+WNA!BI65</f>
        <v>258868.2782928744</v>
      </c>
      <c r="BK22" s="6">
        <f>AY22+WNA!BJ65</f>
        <v>148335.57797004853</v>
      </c>
      <c r="BL22" s="6">
        <f>AZ22+WNA!BK65</f>
        <v>131740.75409551698</v>
      </c>
      <c r="BM22" s="6">
        <f>BA22+WNA!BL65</f>
        <v>135947.16136036505</v>
      </c>
      <c r="BN22" s="6">
        <f>BB22+WNA!BM65</f>
        <v>114274.66078674424</v>
      </c>
      <c r="BO22" s="6">
        <f>BC22+WNA!BN65</f>
        <v>150470.32867468114</v>
      </c>
      <c r="BP22" s="6">
        <f>BD22+WNA!BO65</f>
        <v>440689.2908268231</v>
      </c>
      <c r="BQ22" s="6">
        <f>BE22+WNA!BP65</f>
        <v>702937.9273584265</v>
      </c>
      <c r="BR22" s="6">
        <f>BF22+WNA!BQ65</f>
        <v>808698.82503182488</v>
      </c>
      <c r="BS22" s="6">
        <f>BG22+WNA!BR65</f>
        <v>886963.68510366115</v>
      </c>
      <c r="BT22" s="6">
        <f>BH22+WNA!BS65</f>
        <v>666184.53393371112</v>
      </c>
      <c r="BU22" s="6">
        <f>BI22+WNA!BT65</f>
        <v>455273.04991592781</v>
      </c>
      <c r="BV22" s="6">
        <f>BJ22+WNA!BU65</f>
        <v>259564.19608066123</v>
      </c>
      <c r="BW22" s="6">
        <f>BK22+WNA!BV65</f>
        <v>148741.01459983882</v>
      </c>
      <c r="BX22" s="6">
        <f>BL22+WNA!BW65</f>
        <v>132105.56581747011</v>
      </c>
      <c r="BY22" s="6">
        <f>BM22+WNA!BX65</f>
        <v>136324.7502518773</v>
      </c>
      <c r="BZ22" s="6">
        <f>BN22+WNA!BY65</f>
        <v>114594.20363950265</v>
      </c>
      <c r="CA22" s="6">
        <f>BO22+WNA!BZ65</f>
        <v>150888.83174936313</v>
      </c>
      <c r="CB22" s="6">
        <f>BP22+WNA!CA65</f>
        <v>441895.96241747611</v>
      </c>
      <c r="CC22" s="6">
        <f>BQ22+WNA!CB65</f>
        <v>704838.71940374025</v>
      </c>
      <c r="CD22" s="6">
        <f>BR22+WNA!CC65</f>
        <v>810855.44215309713</v>
      </c>
      <c r="CE22" s="6">
        <f>BS22+WNA!CD65</f>
        <v>889333.55355349428</v>
      </c>
      <c r="CF22" s="6">
        <f>BT22+WNA!CE65</f>
        <v>667959.36987856135</v>
      </c>
      <c r="CG22" s="6">
        <f>BU22+WNA!CF65</f>
        <v>456483.22673795</v>
      </c>
      <c r="CH22" s="6">
        <f>BV22+WNA!CG65</f>
        <v>260261.84130743015</v>
      </c>
      <c r="CI22" s="6">
        <f>BW22+WNA!CH65</f>
        <v>149144.82837228556</v>
      </c>
      <c r="CJ22" s="290"/>
      <c r="CK22" s="290"/>
      <c r="CL22" s="290"/>
    </row>
    <row r="23" spans="1:90">
      <c r="A23" s="2">
        <v>13</v>
      </c>
      <c r="B23" s="2" t="s">
        <v>24</v>
      </c>
      <c r="C23" s="13">
        <f>C14</f>
        <v>1.0762</v>
      </c>
      <c r="D23" s="6">
        <f>'Bill Frequency'!C22+WNA!C66+'Contract &amp; Vol Adj'!C22</f>
        <v>19922.155914248684</v>
      </c>
      <c r="E23" s="6">
        <f>'Bill Frequency'!D22+WNA!D66+'Contract &amp; Vol Adj'!D22</f>
        <v>15325.346897196347</v>
      </c>
      <c r="F23" s="6">
        <f>'Bill Frequency'!E22+WNA!E66+'Contract &amp; Vol Adj'!E22</f>
        <v>37515.561977047866</v>
      </c>
      <c r="G23" s="6">
        <f>'Bill Frequency'!F22+WNA!F66+'Contract &amp; Vol Adj'!F22</f>
        <v>67295.381806073929</v>
      </c>
      <c r="H23" s="6">
        <f>'Bill Frequency'!G22+WNA!G66+'Contract &amp; Vol Adj'!G22</f>
        <v>61386.5741253335</v>
      </c>
      <c r="I23" s="6">
        <f>'Bill Frequency'!H22+WNA!H66+'Contract &amp; Vol Adj'!H22</f>
        <v>93338.629580927489</v>
      </c>
      <c r="J23" s="6">
        <f>'Bill Frequency'!I22+WNA!I66+'Contract &amp; Vol Adj'!I22</f>
        <v>145116.27857943915</v>
      </c>
      <c r="K23" s="6">
        <f>'Bill Frequency'!J22+WNA!J66+'Contract &amp; Vol Adj'!J22</f>
        <v>138019.82892661358</v>
      </c>
      <c r="L23" s="6">
        <f>'Bill Frequency'!K22+WNA!K66+'Contract &amp; Vol Adj'!K22</f>
        <v>73254.148350182251</v>
      </c>
      <c r="M23" s="6">
        <f>'Bill Frequency'!L22+WNA!L66+'Contract &amp; Vol Adj'!L22</f>
        <v>45824.519785070661</v>
      </c>
      <c r="N23" s="6">
        <f>'Bill Frequency'!M22+WNA!M66+'Contract &amp; Vol Adj'!M22</f>
        <v>27596.973071126748</v>
      </c>
      <c r="O23" s="6">
        <f>'Bill Frequency'!N22+WNA!N66+'Contract &amp; Vol Adj'!N22</f>
        <v>19333.014234187842</v>
      </c>
      <c r="P23" s="6">
        <f>D23+WNA!O66</f>
        <v>19978.098193082995</v>
      </c>
      <c r="Q23" s="6">
        <f>E23+WNA!P66</f>
        <v>15368.512006471519</v>
      </c>
      <c r="R23" s="6">
        <f>F23+WNA!Q66</f>
        <v>37621.953125076885</v>
      </c>
      <c r="S23" s="6">
        <f>G23+WNA!R66</f>
        <v>67485.158529730994</v>
      </c>
      <c r="T23" s="6">
        <f>H23+WNA!S66</f>
        <v>61556.930278266685</v>
      </c>
      <c r="U23" s="6">
        <f>I23+WNA!T66</f>
        <v>93594.375158774114</v>
      </c>
      <c r="V23" s="6">
        <f>J23+WNA!U66</f>
        <v>145508.62798922224</v>
      </c>
      <c r="W23" s="6">
        <f>K23+WNA!V66</f>
        <v>138393.43108281694</v>
      </c>
      <c r="X23" s="6">
        <f>L23+WNA!W66</f>
        <v>73452.058647313344</v>
      </c>
      <c r="Y23" s="6">
        <f>M23+WNA!X66</f>
        <v>45947.746734016335</v>
      </c>
      <c r="Z23" s="6">
        <f>N23+WNA!Y66</f>
        <v>27672.137761348546</v>
      </c>
      <c r="AA23" s="6">
        <f>O23+WNA!Z66</f>
        <v>19386.223298252091</v>
      </c>
      <c r="AB23" s="6">
        <f>P23+WNA!AA66</f>
        <v>20034.040471917302</v>
      </c>
      <c r="AC23" s="6">
        <f>Q23+WNA!AB66</f>
        <v>15411.677115746692</v>
      </c>
      <c r="AD23" s="6">
        <f>R23+WNA!AC66</f>
        <v>37728.344273105904</v>
      </c>
      <c r="AE23" s="6">
        <f>S23+WNA!AD66</f>
        <v>67674.941493877734</v>
      </c>
      <c r="AF23" s="6">
        <f>T23+WNA!AE66</f>
        <v>61727.298806392049</v>
      </c>
      <c r="AG23" s="6">
        <f>U23+WNA!AF66</f>
        <v>93850.142090780355</v>
      </c>
      <c r="AH23" s="6">
        <f>V23+WNA!AG66</f>
        <v>145901.01125338109</v>
      </c>
      <c r="AI23" s="6">
        <f>W23+WNA!AH66</f>
        <v>138767.06593420039</v>
      </c>
      <c r="AJ23" s="6">
        <f>X23+WNA!AI66</f>
        <v>73649.984987883261</v>
      </c>
      <c r="AK23" s="6">
        <f>Y23+WNA!AJ66</f>
        <v>46070.982013769208</v>
      </c>
      <c r="AL23" s="6">
        <f>Z23+WNA!AK66</f>
        <v>27747.306342895969</v>
      </c>
      <c r="AM23" s="6">
        <f>AA23+WNA!AL66</f>
        <v>19439.43236231634</v>
      </c>
      <c r="AN23" s="6">
        <f>AB23+WNA!AM66</f>
        <v>20089.982750751613</v>
      </c>
      <c r="AO23" s="6">
        <f>AC23+WNA!AN66</f>
        <v>15454.842225021865</v>
      </c>
      <c r="AP23" s="6">
        <f>AD23+WNA!AO66</f>
        <v>37834.73542113493</v>
      </c>
      <c r="AQ23" s="6">
        <f>AE23+WNA!AP66</f>
        <v>67864.730698514162</v>
      </c>
      <c r="AR23" s="6">
        <f>AF23+WNA!AQ66</f>
        <v>61897.67970970957</v>
      </c>
      <c r="AS23" s="6">
        <f>AG23+WNA!AR66</f>
        <v>94105.930376946242</v>
      </c>
      <c r="AT23" s="6">
        <f>AH23+WNA!AS66</f>
        <v>146293.42837191571</v>
      </c>
      <c r="AU23" s="6">
        <f>AI23+WNA!AT66</f>
        <v>139140.733480764</v>
      </c>
      <c r="AV23" s="6">
        <f>AJ23+WNA!AU66</f>
        <v>73847.927371892001</v>
      </c>
      <c r="AW23" s="6">
        <f>AK23+WNA!AV66</f>
        <v>46194.401348822357</v>
      </c>
      <c r="AX23" s="6">
        <f>AL23+WNA!AW66</f>
        <v>27822.297032492388</v>
      </c>
      <c r="AY23" s="6">
        <f>AM23+WNA!AX66</f>
        <v>19492.85468689882</v>
      </c>
      <c r="AZ23" s="6">
        <f>AN23+WNA!AY66</f>
        <v>20145.925029585924</v>
      </c>
      <c r="BA23" s="6">
        <f>AO23+WNA!AZ66</f>
        <v>15498.007334297037</v>
      </c>
      <c r="BB23" s="6">
        <f>AP23+WNA!BA66</f>
        <v>37941.126569163949</v>
      </c>
      <c r="BC23" s="6">
        <f>AQ23+WNA!BB66</f>
        <v>68054.526143640265</v>
      </c>
      <c r="BD23" s="6">
        <f>AR23+WNA!BC66</f>
        <v>62068.072988219254</v>
      </c>
      <c r="BE23" s="6">
        <f>AS23+WNA!BD66</f>
        <v>94361.740017271732</v>
      </c>
      <c r="BF23" s="6">
        <f>AT23+WNA!BE66</f>
        <v>146685.8793448261</v>
      </c>
      <c r="BG23" s="6">
        <f>AU23+WNA!BF66</f>
        <v>139514.4337225077</v>
      </c>
      <c r="BH23" s="6">
        <f>AV23+WNA!BG66</f>
        <v>74045.885799339565</v>
      </c>
      <c r="BI23" s="6">
        <f>AW23+WNA!BH66</f>
        <v>46317.65375301223</v>
      </c>
      <c r="BJ23" s="6">
        <f>AX23+WNA!BI66</f>
        <v>27897.472910275366</v>
      </c>
      <c r="BK23" s="6">
        <f>AY23+WNA!BJ66</f>
        <v>19546.064333101294</v>
      </c>
      <c r="BL23" s="6">
        <f>AZ23+WNA!BK66</f>
        <v>20201.867308420235</v>
      </c>
      <c r="BM23" s="6">
        <f>BA23+WNA!BL66</f>
        <v>15541.17244357221</v>
      </c>
      <c r="BN23" s="6">
        <f>BB23+WNA!BM66</f>
        <v>38047.517717192968</v>
      </c>
      <c r="BO23" s="6">
        <f>BC23+WNA!BN66</f>
        <v>68244.327829256043</v>
      </c>
      <c r="BP23" s="6">
        <f>BD23+WNA!BO66</f>
        <v>62238.249577114126</v>
      </c>
      <c r="BQ23" s="6">
        <f>BE23+WNA!BP66</f>
        <v>94617.348145510899</v>
      </c>
      <c r="BR23" s="6">
        <f>BF23+WNA!BQ66</f>
        <v>147078.36417211225</v>
      </c>
      <c r="BS23" s="6">
        <f>BG23+WNA!BR66</f>
        <v>139887.90740027616</v>
      </c>
      <c r="BT23" s="6">
        <f>BH23+WNA!BS66</f>
        <v>74243.860270225938</v>
      </c>
      <c r="BU23" s="6">
        <f>BI23+WNA!BT66</f>
        <v>46440.914488009308</v>
      </c>
      <c r="BV23" s="6">
        <f>BJ23+WNA!BU66</f>
        <v>27972.469923275923</v>
      </c>
      <c r="BW23" s="6">
        <f>BK23+WNA!BV66</f>
        <v>19599.488404098454</v>
      </c>
      <c r="BX23" s="6">
        <f>BL23+WNA!BW66</f>
        <v>20257.809587254545</v>
      </c>
      <c r="BY23" s="6">
        <f>BM23+WNA!BX66</f>
        <v>15584.337552847379</v>
      </c>
      <c r="BZ23" s="6">
        <f>BN23+WNA!BY66</f>
        <v>38153.908865221987</v>
      </c>
      <c r="CA23" s="6">
        <f>BO23+WNA!BZ66</f>
        <v>68434.135755361523</v>
      </c>
      <c r="CB23" s="6">
        <f>BP23+WNA!CA66</f>
        <v>62408.666987248529</v>
      </c>
      <c r="CC23" s="6">
        <f>BQ23+WNA!CB66</f>
        <v>94873.19990098456</v>
      </c>
      <c r="CD23" s="6">
        <f>BR23+WNA!CC66</f>
        <v>147470.58895162743</v>
      </c>
      <c r="CE23" s="6">
        <f>BS23+WNA!CD66</f>
        <v>140261.67235123055</v>
      </c>
      <c r="CF23" s="6">
        <f>BT23+WNA!CE66</f>
        <v>74441.659326163121</v>
      </c>
      <c r="CG23" s="6">
        <f>BU23+WNA!CF66</f>
        <v>46564.360666774519</v>
      </c>
      <c r="CH23" s="6">
        <f>BV23+WNA!CG66</f>
        <v>28047.653097294446</v>
      </c>
      <c r="CI23" s="6">
        <f>BW23+WNA!CH66</f>
        <v>19652.698632439155</v>
      </c>
      <c r="CJ23" s="290"/>
      <c r="CK23" s="290"/>
      <c r="CL23" s="290"/>
    </row>
    <row r="24" spans="1:90">
      <c r="A24" s="2">
        <v>14</v>
      </c>
      <c r="B24" s="2" t="s">
        <v>55</v>
      </c>
      <c r="C24" s="13">
        <f>C15</f>
        <v>0.88880000000000003</v>
      </c>
      <c r="D24" s="6">
        <f>'Bill Frequency'!C23+WNA!C67+'Contract &amp; Vol Adj'!C23</f>
        <v>0</v>
      </c>
      <c r="E24" s="6">
        <f>'Bill Frequency'!D23+WNA!D67+'Contract &amp; Vol Adj'!D23</f>
        <v>0</v>
      </c>
      <c r="F24" s="6">
        <f>'Bill Frequency'!E23+WNA!E67+'Contract &amp; Vol Adj'!E23</f>
        <v>0</v>
      </c>
      <c r="G24" s="6">
        <f>'Bill Frequency'!F23+WNA!F67+'Contract &amp; Vol Adj'!F23</f>
        <v>0</v>
      </c>
      <c r="H24" s="6">
        <f>'Bill Frequency'!G23+WNA!G67+'Contract &amp; Vol Adj'!G23</f>
        <v>0</v>
      </c>
      <c r="I24" s="6">
        <f>'Bill Frequency'!H23+WNA!H67+'Contract &amp; Vol Adj'!H23</f>
        <v>0</v>
      </c>
      <c r="J24" s="6">
        <f>'Bill Frequency'!I23+WNA!I67+'Contract &amp; Vol Adj'!I23</f>
        <v>0</v>
      </c>
      <c r="K24" s="6">
        <f>'Bill Frequency'!J23+WNA!J67+'Contract &amp; Vol Adj'!J23</f>
        <v>0</v>
      </c>
      <c r="L24" s="6">
        <f>'Bill Frequency'!K23+WNA!K67+'Contract &amp; Vol Adj'!K23</f>
        <v>0</v>
      </c>
      <c r="M24" s="6">
        <f>'Bill Frequency'!L23+WNA!L67+'Contract &amp; Vol Adj'!L23</f>
        <v>0</v>
      </c>
      <c r="N24" s="6">
        <f>'Bill Frequency'!M23+WNA!M67+'Contract &amp; Vol Adj'!M23</f>
        <v>0</v>
      </c>
      <c r="O24" s="6">
        <f>'Bill Frequency'!N23+WNA!N67+'Contract &amp; Vol Adj'!N23</f>
        <v>0</v>
      </c>
      <c r="P24" s="6">
        <f>D24+WNA!O67</f>
        <v>0</v>
      </c>
      <c r="Q24" s="6">
        <f>E24+WNA!P67</f>
        <v>0</v>
      </c>
      <c r="R24" s="6">
        <f>F24+WNA!Q67</f>
        <v>0</v>
      </c>
      <c r="S24" s="6">
        <f>G24+WNA!R67</f>
        <v>0</v>
      </c>
      <c r="T24" s="6">
        <f>H24+WNA!S67</f>
        <v>0</v>
      </c>
      <c r="U24" s="6">
        <f>I24+WNA!T67</f>
        <v>0</v>
      </c>
      <c r="V24" s="6">
        <f>J24+WNA!U67</f>
        <v>0</v>
      </c>
      <c r="W24" s="6">
        <f>K24+WNA!V67</f>
        <v>0</v>
      </c>
      <c r="X24" s="6">
        <f>L24+WNA!W67</f>
        <v>0</v>
      </c>
      <c r="Y24" s="6">
        <f>M24+WNA!X67</f>
        <v>0</v>
      </c>
      <c r="Z24" s="6">
        <f>N24+WNA!Y67</f>
        <v>0</v>
      </c>
      <c r="AA24" s="6">
        <f>O24+WNA!Z67</f>
        <v>0</v>
      </c>
      <c r="AB24" s="6">
        <f>P24+WNA!AA67</f>
        <v>0</v>
      </c>
      <c r="AC24" s="6">
        <f>Q24+WNA!AB67</f>
        <v>0</v>
      </c>
      <c r="AD24" s="6">
        <f>R24+WNA!AC67</f>
        <v>0</v>
      </c>
      <c r="AE24" s="6">
        <f>S24+WNA!AD67</f>
        <v>0</v>
      </c>
      <c r="AF24" s="6">
        <f>T24+WNA!AE67</f>
        <v>0</v>
      </c>
      <c r="AG24" s="6">
        <f>U24+WNA!AF67</f>
        <v>0</v>
      </c>
      <c r="AH24" s="6">
        <f>V24+WNA!AG67</f>
        <v>0</v>
      </c>
      <c r="AI24" s="6">
        <f>W24+WNA!AH67</f>
        <v>0</v>
      </c>
      <c r="AJ24" s="6">
        <f>X24+WNA!AI67</f>
        <v>0</v>
      </c>
      <c r="AK24" s="6">
        <f>Y24+WNA!AJ67</f>
        <v>0</v>
      </c>
      <c r="AL24" s="6">
        <f>Z24+WNA!AK67</f>
        <v>0</v>
      </c>
      <c r="AM24" s="6">
        <f>AA24+WNA!AL67</f>
        <v>0</v>
      </c>
      <c r="AN24" s="6">
        <f>AB24+WNA!AM67</f>
        <v>0</v>
      </c>
      <c r="AO24" s="6">
        <f>AC24+WNA!AN67</f>
        <v>0</v>
      </c>
      <c r="AP24" s="6">
        <f>AD24+WNA!AO67</f>
        <v>0</v>
      </c>
      <c r="AQ24" s="6">
        <f>AE24+WNA!AP67</f>
        <v>0</v>
      </c>
      <c r="AR24" s="6">
        <f>AF24+WNA!AQ67</f>
        <v>0</v>
      </c>
      <c r="AS24" s="6">
        <f>AG24+WNA!AR67</f>
        <v>0</v>
      </c>
      <c r="AT24" s="6">
        <f>AH24+WNA!AS67</f>
        <v>0</v>
      </c>
      <c r="AU24" s="6">
        <f>AI24+WNA!AT67</f>
        <v>0</v>
      </c>
      <c r="AV24" s="6">
        <f>AJ24+WNA!AU67</f>
        <v>0</v>
      </c>
      <c r="AW24" s="6">
        <f>AK24+WNA!AV67</f>
        <v>0</v>
      </c>
      <c r="AX24" s="6">
        <f>AL24+WNA!AW67</f>
        <v>0</v>
      </c>
      <c r="AY24" s="6">
        <f>AM24+WNA!AX67</f>
        <v>0</v>
      </c>
      <c r="AZ24" s="6">
        <f>AN24+WNA!AY67</f>
        <v>0</v>
      </c>
      <c r="BA24" s="6">
        <f>AO24+WNA!AZ67</f>
        <v>0</v>
      </c>
      <c r="BB24" s="6">
        <f>AP24+WNA!BA67</f>
        <v>0</v>
      </c>
      <c r="BC24" s="6">
        <f>AQ24+WNA!BB67</f>
        <v>0</v>
      </c>
      <c r="BD24" s="6">
        <f>AR24+WNA!BC67</f>
        <v>0</v>
      </c>
      <c r="BE24" s="6">
        <f>AS24+WNA!BD67</f>
        <v>0</v>
      </c>
      <c r="BF24" s="6">
        <f>AT24+WNA!BE67</f>
        <v>0</v>
      </c>
      <c r="BG24" s="6">
        <f>AU24+WNA!BF67</f>
        <v>0</v>
      </c>
      <c r="BH24" s="6">
        <f>AV24+WNA!BG67</f>
        <v>0</v>
      </c>
      <c r="BI24" s="6">
        <f>AW24+WNA!BH67</f>
        <v>0</v>
      </c>
      <c r="BJ24" s="6">
        <f>AX24+WNA!BI67</f>
        <v>0</v>
      </c>
      <c r="BK24" s="6">
        <f>AY24+WNA!BJ67</f>
        <v>0</v>
      </c>
      <c r="BL24" s="6">
        <f>AZ24+WNA!BK67</f>
        <v>0</v>
      </c>
      <c r="BM24" s="6">
        <f>BA24+WNA!BL67</f>
        <v>0</v>
      </c>
      <c r="BN24" s="6">
        <f>BB24+WNA!BM67</f>
        <v>0</v>
      </c>
      <c r="BO24" s="6">
        <f>BC24+WNA!BN67</f>
        <v>0</v>
      </c>
      <c r="BP24" s="6">
        <f>BD24+WNA!BO67</f>
        <v>0</v>
      </c>
      <c r="BQ24" s="6">
        <f>BE24+WNA!BP67</f>
        <v>0</v>
      </c>
      <c r="BR24" s="6">
        <f>BF24+WNA!BQ67</f>
        <v>0</v>
      </c>
      <c r="BS24" s="6">
        <f>BG24+WNA!BR67</f>
        <v>0</v>
      </c>
      <c r="BT24" s="6">
        <f>BH24+WNA!BS67</f>
        <v>0</v>
      </c>
      <c r="BU24" s="6">
        <f>BI24+WNA!BT67</f>
        <v>0</v>
      </c>
      <c r="BV24" s="6">
        <f>BJ24+WNA!BU67</f>
        <v>0</v>
      </c>
      <c r="BW24" s="6">
        <f>BK24+WNA!BV67</f>
        <v>0</v>
      </c>
      <c r="BX24" s="6">
        <f>BL24+WNA!BW67</f>
        <v>0</v>
      </c>
      <c r="BY24" s="6">
        <f>BM24+WNA!BX67</f>
        <v>0</v>
      </c>
      <c r="BZ24" s="6">
        <f>BN24+WNA!BY67</f>
        <v>0</v>
      </c>
      <c r="CA24" s="6">
        <f>BO24+WNA!BZ67</f>
        <v>0</v>
      </c>
      <c r="CB24" s="6">
        <f>BP24+WNA!CA67</f>
        <v>0</v>
      </c>
      <c r="CC24" s="6">
        <f>BQ24+WNA!CB67</f>
        <v>0</v>
      </c>
      <c r="CD24" s="6">
        <f>BR24+WNA!CC67</f>
        <v>0</v>
      </c>
      <c r="CE24" s="6">
        <f>BS24+WNA!CD67</f>
        <v>0</v>
      </c>
      <c r="CF24" s="6">
        <f>BT24+WNA!CE67</f>
        <v>0</v>
      </c>
      <c r="CG24" s="6">
        <f>BU24+WNA!CF67</f>
        <v>0</v>
      </c>
      <c r="CH24" s="6">
        <f>BV24+WNA!CG67</f>
        <v>0</v>
      </c>
      <c r="CI24" s="6">
        <f>BW24+WNA!CH67</f>
        <v>0</v>
      </c>
      <c r="CJ24" s="290"/>
      <c r="CK24" s="290"/>
      <c r="CL24" s="290"/>
    </row>
    <row r="25" spans="1:90">
      <c r="A25" s="2">
        <v>15</v>
      </c>
      <c r="B25" s="21" t="s">
        <v>53</v>
      </c>
      <c r="C25" s="21"/>
      <c r="D25" s="20">
        <f t="shared" ref="D25:AI25" si="10">D22+D23+D24</f>
        <v>149838.85140000001</v>
      </c>
      <c r="E25" s="20">
        <f t="shared" si="10"/>
        <v>149384.5638</v>
      </c>
      <c r="F25" s="20">
        <f t="shared" si="10"/>
        <v>150192.5085</v>
      </c>
      <c r="G25" s="20">
        <f t="shared" si="10"/>
        <v>215673.40150000004</v>
      </c>
      <c r="H25" s="20">
        <f t="shared" si="10"/>
        <v>496045.42140000005</v>
      </c>
      <c r="I25" s="20">
        <f t="shared" si="10"/>
        <v>786776.61010000017</v>
      </c>
      <c r="J25" s="20">
        <f t="shared" si="10"/>
        <v>943026.73019999999</v>
      </c>
      <c r="K25" s="20">
        <f t="shared" si="10"/>
        <v>1013138.9036</v>
      </c>
      <c r="L25" s="20">
        <f t="shared" si="10"/>
        <v>730558.07220000005</v>
      </c>
      <c r="M25" s="20">
        <f t="shared" si="10"/>
        <v>495054.88300000003</v>
      </c>
      <c r="N25" s="20">
        <f t="shared" si="10"/>
        <v>283676.83120000002</v>
      </c>
      <c r="O25" s="20">
        <f t="shared" si="10"/>
        <v>166051.74960000001</v>
      </c>
      <c r="P25" s="20">
        <f t="shared" si="10"/>
        <v>150259.60540078746</v>
      </c>
      <c r="Q25" s="20">
        <f t="shared" si="10"/>
        <v>149805.31780078745</v>
      </c>
      <c r="R25" s="20">
        <f t="shared" si="10"/>
        <v>150618.44250078744</v>
      </c>
      <c r="S25" s="20">
        <f t="shared" si="10"/>
        <v>216281.61250078748</v>
      </c>
      <c r="T25" s="20">
        <f t="shared" si="10"/>
        <v>497422.01540078741</v>
      </c>
      <c r="U25" s="20">
        <f t="shared" si="10"/>
        <v>788932.35890078754</v>
      </c>
      <c r="V25" s="20">
        <f t="shared" si="10"/>
        <v>945576.38200078742</v>
      </c>
      <c r="W25" s="20">
        <f t="shared" si="10"/>
        <v>1015881.3420007875</v>
      </c>
      <c r="X25" s="20">
        <f t="shared" si="10"/>
        <v>732531.81660078757</v>
      </c>
      <c r="Y25" s="20">
        <f t="shared" si="10"/>
        <v>496386.13760078739</v>
      </c>
      <c r="Z25" s="20">
        <f t="shared" si="10"/>
        <v>284449.46960078744</v>
      </c>
      <c r="AA25" s="20">
        <f t="shared" si="10"/>
        <v>166508.76360078747</v>
      </c>
      <c r="AB25" s="20">
        <f t="shared" si="10"/>
        <v>150680.35940157488</v>
      </c>
      <c r="AC25" s="20">
        <f t="shared" si="10"/>
        <v>150226.0718015749</v>
      </c>
      <c r="AD25" s="20">
        <f t="shared" si="10"/>
        <v>151044.37650157488</v>
      </c>
      <c r="AE25" s="20">
        <f t="shared" si="10"/>
        <v>216889.84350157488</v>
      </c>
      <c r="AF25" s="20">
        <f t="shared" si="10"/>
        <v>498798.70940157498</v>
      </c>
      <c r="AG25" s="20">
        <f t="shared" si="10"/>
        <v>791088.28770157497</v>
      </c>
      <c r="AH25" s="20">
        <f t="shared" si="10"/>
        <v>948126.25380157493</v>
      </c>
      <c r="AI25" s="20">
        <f t="shared" si="10"/>
        <v>1018624.0204015749</v>
      </c>
      <c r="AJ25" s="20">
        <f t="shared" ref="AJ25:BW25" si="11">AJ22+AJ23+AJ24</f>
        <v>734505.72100157489</v>
      </c>
      <c r="AK25" s="20">
        <f t="shared" si="11"/>
        <v>497717.48220157484</v>
      </c>
      <c r="AL25" s="20">
        <f t="shared" si="11"/>
        <v>285222.14800157485</v>
      </c>
      <c r="AM25" s="20">
        <f t="shared" si="11"/>
        <v>166965.77760157493</v>
      </c>
      <c r="AN25" s="20">
        <f t="shared" si="11"/>
        <v>151101.11340236233</v>
      </c>
      <c r="AO25" s="20">
        <f t="shared" si="11"/>
        <v>150646.82580236235</v>
      </c>
      <c r="AP25" s="20">
        <f t="shared" si="11"/>
        <v>151470.31050236232</v>
      </c>
      <c r="AQ25" s="20">
        <f t="shared" si="11"/>
        <v>217498.09450236231</v>
      </c>
      <c r="AR25" s="20">
        <f t="shared" si="11"/>
        <v>500175.50340236234</v>
      </c>
      <c r="AS25" s="20">
        <f t="shared" si="11"/>
        <v>793244.39650236245</v>
      </c>
      <c r="AT25" s="20">
        <f t="shared" si="11"/>
        <v>950676.3456023623</v>
      </c>
      <c r="AU25" s="20">
        <f t="shared" si="11"/>
        <v>1021366.9388023624</v>
      </c>
      <c r="AV25" s="20">
        <f t="shared" si="11"/>
        <v>736479.78540236235</v>
      </c>
      <c r="AW25" s="20">
        <f t="shared" si="11"/>
        <v>499050.81520236237</v>
      </c>
      <c r="AX25" s="20">
        <f t="shared" si="11"/>
        <v>285992.99780236231</v>
      </c>
      <c r="AY25" s="20">
        <f t="shared" si="11"/>
        <v>167424.62330236239</v>
      </c>
      <c r="AZ25" s="20">
        <f t="shared" si="11"/>
        <v>151521.86740314978</v>
      </c>
      <c r="BA25" s="20">
        <f t="shared" si="11"/>
        <v>151067.5798031498</v>
      </c>
      <c r="BB25" s="20">
        <f t="shared" si="11"/>
        <v>151896.24450314976</v>
      </c>
      <c r="BC25" s="20">
        <f t="shared" si="11"/>
        <v>218106.36550314975</v>
      </c>
      <c r="BD25" s="20">
        <f t="shared" si="11"/>
        <v>501552.39740314981</v>
      </c>
      <c r="BE25" s="20">
        <f t="shared" si="11"/>
        <v>795400.68530314974</v>
      </c>
      <c r="BF25" s="20">
        <f t="shared" si="11"/>
        <v>953226.65740314976</v>
      </c>
      <c r="BG25" s="20">
        <f t="shared" si="11"/>
        <v>1024110.0972031498</v>
      </c>
      <c r="BH25" s="20">
        <f t="shared" si="11"/>
        <v>738454.00980314985</v>
      </c>
      <c r="BI25" s="20">
        <f t="shared" si="11"/>
        <v>500382.3448031497</v>
      </c>
      <c r="BJ25" s="20">
        <f t="shared" si="11"/>
        <v>286765.75120314979</v>
      </c>
      <c r="BK25" s="20">
        <f t="shared" si="11"/>
        <v>167881.64230314983</v>
      </c>
      <c r="BL25" s="20">
        <f t="shared" si="11"/>
        <v>151942.62140393723</v>
      </c>
      <c r="BM25" s="20">
        <f t="shared" si="11"/>
        <v>151488.33380393725</v>
      </c>
      <c r="BN25" s="20">
        <f t="shared" si="11"/>
        <v>152322.1785039372</v>
      </c>
      <c r="BO25" s="20">
        <f t="shared" si="11"/>
        <v>218714.65650393718</v>
      </c>
      <c r="BP25" s="20">
        <f t="shared" si="11"/>
        <v>502927.54040393722</v>
      </c>
      <c r="BQ25" s="20">
        <f t="shared" si="11"/>
        <v>797555.27550393739</v>
      </c>
      <c r="BR25" s="20">
        <f t="shared" si="11"/>
        <v>955777.18920393707</v>
      </c>
      <c r="BS25" s="20">
        <f t="shared" si="11"/>
        <v>1026851.5925039373</v>
      </c>
      <c r="BT25" s="20">
        <f t="shared" si="11"/>
        <v>740428.39420393703</v>
      </c>
      <c r="BU25" s="20">
        <f t="shared" si="11"/>
        <v>501713.96440393711</v>
      </c>
      <c r="BV25" s="20">
        <f t="shared" si="11"/>
        <v>287536.66600393713</v>
      </c>
      <c r="BW25" s="20">
        <f t="shared" si="11"/>
        <v>168340.50300393728</v>
      </c>
      <c r="BX25" s="20">
        <f t="shared" ref="BX25:CI25" si="12">BX22+BX23+BX24</f>
        <v>152363.37540472465</v>
      </c>
      <c r="BY25" s="20">
        <f t="shared" si="12"/>
        <v>151909.08780472467</v>
      </c>
      <c r="BZ25" s="20">
        <f t="shared" si="12"/>
        <v>152748.11250472465</v>
      </c>
      <c r="CA25" s="20">
        <f t="shared" si="12"/>
        <v>219322.96750472466</v>
      </c>
      <c r="CB25" s="20">
        <f t="shared" si="12"/>
        <v>504304.62940472463</v>
      </c>
      <c r="CC25" s="20">
        <f t="shared" si="12"/>
        <v>799711.91930472478</v>
      </c>
      <c r="CD25" s="20">
        <f t="shared" si="12"/>
        <v>958326.03110472462</v>
      </c>
      <c r="CE25" s="20">
        <f t="shared" si="12"/>
        <v>1029595.2259047248</v>
      </c>
      <c r="CF25" s="20">
        <f t="shared" si="12"/>
        <v>742401.02920472447</v>
      </c>
      <c r="CG25" s="20">
        <f t="shared" si="12"/>
        <v>503047.5874047245</v>
      </c>
      <c r="CH25" s="20">
        <f t="shared" si="12"/>
        <v>288309.49440472457</v>
      </c>
      <c r="CI25" s="20">
        <f t="shared" si="12"/>
        <v>168797.52700472472</v>
      </c>
      <c r="CJ25" s="288"/>
      <c r="CK25" s="288"/>
      <c r="CL25" s="288"/>
    </row>
    <row r="26" spans="1:90">
      <c r="A26" s="2">
        <v>16</v>
      </c>
      <c r="B26" s="2" t="s">
        <v>196</v>
      </c>
      <c r="D26" s="11">
        <f>D17</f>
        <v>4.3225999999999996</v>
      </c>
      <c r="E26" s="11">
        <f t="shared" ref="E26:P26" si="13">E17</f>
        <v>3.2031999999999998</v>
      </c>
      <c r="F26" s="11">
        <f t="shared" si="13"/>
        <v>3.2031999999999998</v>
      </c>
      <c r="G26" s="11">
        <f t="shared" si="13"/>
        <v>3.2031999999999998</v>
      </c>
      <c r="H26" s="11">
        <f t="shared" si="13"/>
        <v>3.8712</v>
      </c>
      <c r="I26" s="11">
        <f t="shared" si="13"/>
        <v>3.8712</v>
      </c>
      <c r="J26" s="11">
        <f t="shared" si="13"/>
        <v>3.8712</v>
      </c>
      <c r="K26" s="11">
        <f t="shared" si="13"/>
        <v>3.5292000000000003</v>
      </c>
      <c r="L26" s="11">
        <f t="shared" si="13"/>
        <v>3.5292000000000003</v>
      </c>
      <c r="M26" s="11">
        <f t="shared" si="13"/>
        <v>3.5292000000000003</v>
      </c>
      <c r="N26" s="11">
        <f t="shared" si="13"/>
        <v>3.2274000000000003</v>
      </c>
      <c r="O26" s="11">
        <f t="shared" si="13"/>
        <v>3.2274000000000003</v>
      </c>
      <c r="P26" s="11">
        <f t="shared" si="13"/>
        <v>3.2274000000000003</v>
      </c>
      <c r="Q26" s="11">
        <f t="shared" ref="Q26:AA26" si="14">Q17</f>
        <v>4.0815000000000001</v>
      </c>
      <c r="R26" s="11">
        <f t="shared" si="14"/>
        <v>4.0815000000000001</v>
      </c>
      <c r="S26" s="11">
        <f t="shared" si="14"/>
        <v>4.0815000000000001</v>
      </c>
      <c r="T26" s="11">
        <f t="shared" si="14"/>
        <v>3.2488557934427784</v>
      </c>
      <c r="U26" s="11">
        <f t="shared" si="14"/>
        <v>3.2488557934427784</v>
      </c>
      <c r="V26" s="11">
        <f t="shared" si="14"/>
        <v>3.2488557934427784</v>
      </c>
      <c r="W26" s="11">
        <f t="shared" si="14"/>
        <v>4.5812916609737586</v>
      </c>
      <c r="X26" s="11">
        <f t="shared" si="14"/>
        <v>4.5812916609737586</v>
      </c>
      <c r="Y26" s="11">
        <f t="shared" si="14"/>
        <v>4.5812916609737586</v>
      </c>
      <c r="Z26" s="11">
        <f t="shared" si="14"/>
        <v>4.9331682240840156</v>
      </c>
      <c r="AA26" s="11">
        <f t="shared" si="14"/>
        <v>4.9331682240840156</v>
      </c>
      <c r="AB26" s="11">
        <f t="shared" ref="AB26:BW26" si="15">AB17</f>
        <v>4.9331682240840156</v>
      </c>
      <c r="AC26" s="11">
        <f t="shared" si="15"/>
        <v>5.2989478814284547</v>
      </c>
      <c r="AD26" s="11">
        <f t="shared" si="15"/>
        <v>5.2989478814284547</v>
      </c>
      <c r="AE26" s="11">
        <f t="shared" si="15"/>
        <v>5.2989478814284547</v>
      </c>
      <c r="AF26" s="11">
        <f t="shared" si="15"/>
        <v>5.329817872818098</v>
      </c>
      <c r="AG26" s="11">
        <f t="shared" si="15"/>
        <v>5.329817872818098</v>
      </c>
      <c r="AH26" s="11">
        <f t="shared" si="15"/>
        <v>5.329817872818098</v>
      </c>
      <c r="AI26" s="11">
        <f t="shared" si="15"/>
        <v>4.8926337200932446</v>
      </c>
      <c r="AJ26" s="11">
        <f t="shared" si="15"/>
        <v>4.8926337200932446</v>
      </c>
      <c r="AK26" s="11">
        <f t="shared" si="15"/>
        <v>4.8926337200932446</v>
      </c>
      <c r="AL26" s="11">
        <f t="shared" si="15"/>
        <v>5.2942237383950923</v>
      </c>
      <c r="AM26" s="11">
        <f t="shared" si="15"/>
        <v>5.2942237383950923</v>
      </c>
      <c r="AN26" s="11">
        <f t="shared" si="15"/>
        <v>5.2942237383950923</v>
      </c>
      <c r="AO26" s="11">
        <f t="shared" si="15"/>
        <v>5.5154857501809937</v>
      </c>
      <c r="AP26" s="11">
        <f t="shared" si="15"/>
        <v>5.5154857501809937</v>
      </c>
      <c r="AQ26" s="11">
        <f t="shared" si="15"/>
        <v>5.5154857501809937</v>
      </c>
      <c r="AR26" s="11">
        <f t="shared" si="15"/>
        <v>5.5193777878303756</v>
      </c>
      <c r="AS26" s="11">
        <f t="shared" si="15"/>
        <v>5.5193777878303756</v>
      </c>
      <c r="AT26" s="11">
        <f t="shared" si="15"/>
        <v>5.5193777878303756</v>
      </c>
      <c r="AU26" s="11">
        <f t="shared" si="15"/>
        <v>5.0393774049891711</v>
      </c>
      <c r="AV26" s="11">
        <f t="shared" si="15"/>
        <v>5.0393774049891711</v>
      </c>
      <c r="AW26" s="11">
        <f t="shared" si="15"/>
        <v>5.0393774049891711</v>
      </c>
      <c r="AX26" s="11">
        <f t="shared" si="15"/>
        <v>5.2575068685197071</v>
      </c>
      <c r="AY26" s="11">
        <f t="shared" si="15"/>
        <v>5.2575068685197071</v>
      </c>
      <c r="AZ26" s="11">
        <f t="shared" si="15"/>
        <v>5.2575068685197071</v>
      </c>
      <c r="BA26" s="11">
        <f t="shared" si="15"/>
        <v>5.4807109052526153</v>
      </c>
      <c r="BB26" s="11">
        <f t="shared" si="15"/>
        <v>5.4807109052526153</v>
      </c>
      <c r="BC26" s="11">
        <f t="shared" si="15"/>
        <v>5.4807109052526153</v>
      </c>
      <c r="BD26" s="11">
        <f t="shared" si="15"/>
        <v>5.5030405335494681</v>
      </c>
      <c r="BE26" s="11">
        <f t="shared" si="15"/>
        <v>5.5030405335494681</v>
      </c>
      <c r="BF26" s="11">
        <f t="shared" si="15"/>
        <v>5.5030405335494681</v>
      </c>
      <c r="BG26" s="11">
        <f t="shared" si="15"/>
        <v>5.0068251804991943</v>
      </c>
      <c r="BH26" s="11">
        <f t="shared" si="15"/>
        <v>5.0068251804991943</v>
      </c>
      <c r="BI26" s="11">
        <f t="shared" si="15"/>
        <v>5.0068251804991943</v>
      </c>
      <c r="BJ26" s="11">
        <f t="shared" si="15"/>
        <v>5.1605900652510286</v>
      </c>
      <c r="BK26" s="11">
        <f t="shared" si="15"/>
        <v>5.1605900652510286</v>
      </c>
      <c r="BL26" s="11">
        <f t="shared" si="15"/>
        <v>5.1605900652510286</v>
      </c>
      <c r="BM26" s="11">
        <f t="shared" si="15"/>
        <v>5.3918447061691781</v>
      </c>
      <c r="BN26" s="11">
        <f t="shared" si="15"/>
        <v>5.3918447061691781</v>
      </c>
      <c r="BO26" s="11">
        <f t="shared" si="15"/>
        <v>5.3918447061691781</v>
      </c>
      <c r="BP26" s="11">
        <f t="shared" si="15"/>
        <v>5.4421044849788194</v>
      </c>
      <c r="BQ26" s="11">
        <f t="shared" si="15"/>
        <v>5.4421044849788194</v>
      </c>
      <c r="BR26" s="11">
        <f t="shared" si="15"/>
        <v>5.4421044849788194</v>
      </c>
      <c r="BS26" s="11">
        <f t="shared" si="15"/>
        <v>4.9566474120420656</v>
      </c>
      <c r="BT26" s="11">
        <f t="shared" si="15"/>
        <v>4.9566474120420656</v>
      </c>
      <c r="BU26" s="11">
        <f t="shared" si="15"/>
        <v>4.9566474120420656</v>
      </c>
      <c r="BV26" s="11">
        <f t="shared" si="15"/>
        <v>5.1409863183259938</v>
      </c>
      <c r="BW26" s="11">
        <f t="shared" si="15"/>
        <v>5.1409863183259938</v>
      </c>
      <c r="BX26" s="11">
        <f t="shared" ref="BX26:CI26" si="16">BX17</f>
        <v>5.1409863183259938</v>
      </c>
      <c r="BY26" s="11">
        <f t="shared" si="16"/>
        <v>5.3835560455584055</v>
      </c>
      <c r="BZ26" s="11">
        <f t="shared" si="16"/>
        <v>5.3835560455584055</v>
      </c>
      <c r="CA26" s="11">
        <f t="shared" si="16"/>
        <v>5.3835560455584055</v>
      </c>
      <c r="CB26" s="11">
        <f t="shared" si="16"/>
        <v>5.3747965077238442</v>
      </c>
      <c r="CC26" s="11">
        <f t="shared" si="16"/>
        <v>5.3747965077238442</v>
      </c>
      <c r="CD26" s="11">
        <f t="shared" si="16"/>
        <v>5.3747965077238442</v>
      </c>
      <c r="CE26" s="11">
        <f t="shared" si="16"/>
        <v>7.858832250491564</v>
      </c>
      <c r="CF26" s="11">
        <f t="shared" si="16"/>
        <v>7.858832250491564</v>
      </c>
      <c r="CG26" s="11">
        <f t="shared" si="16"/>
        <v>7.858832250491564</v>
      </c>
      <c r="CH26" s="11">
        <f t="shared" si="16"/>
        <v>7.9841447259155158</v>
      </c>
      <c r="CI26" s="11">
        <f t="shared" si="16"/>
        <v>7.9841447259155158</v>
      </c>
      <c r="CJ26" s="289"/>
      <c r="CK26" s="289"/>
      <c r="CL26" s="289"/>
    </row>
    <row r="27" spans="1:90">
      <c r="A27" s="2">
        <v>17</v>
      </c>
      <c r="B27" s="2" t="s">
        <v>188</v>
      </c>
      <c r="D27" s="3">
        <f t="shared" ref="D27:AI27" si="17">D26*D25</f>
        <v>647693.41906164004</v>
      </c>
      <c r="E27" s="3">
        <f t="shared" si="17"/>
        <v>478508.63476415997</v>
      </c>
      <c r="F27" s="3">
        <f t="shared" si="17"/>
        <v>481096.64322719997</v>
      </c>
      <c r="G27" s="3">
        <f t="shared" si="17"/>
        <v>690845.03968480008</v>
      </c>
      <c r="H27" s="3">
        <f t="shared" si="17"/>
        <v>1920291.0353236801</v>
      </c>
      <c r="I27" s="3">
        <f t="shared" si="17"/>
        <v>3045769.6130191204</v>
      </c>
      <c r="J27" s="3">
        <f t="shared" si="17"/>
        <v>3650645.0779502401</v>
      </c>
      <c r="K27" s="3">
        <f t="shared" si="17"/>
        <v>3575569.8185851201</v>
      </c>
      <c r="L27" s="3">
        <f t="shared" si="17"/>
        <v>2578285.5484082405</v>
      </c>
      <c r="M27" s="3">
        <f t="shared" si="17"/>
        <v>1747147.6930836004</v>
      </c>
      <c r="N27" s="3">
        <f t="shared" si="17"/>
        <v>915538.60501488007</v>
      </c>
      <c r="O27" s="3">
        <f t="shared" si="17"/>
        <v>535915.41665904003</v>
      </c>
      <c r="P27" s="3">
        <f t="shared" si="17"/>
        <v>484947.85047050152</v>
      </c>
      <c r="Q27" s="3">
        <f t="shared" si="17"/>
        <v>611430.40460391401</v>
      </c>
      <c r="R27" s="3">
        <f t="shared" si="17"/>
        <v>614749.17306696391</v>
      </c>
      <c r="S27" s="3">
        <f t="shared" si="17"/>
        <v>882753.40142196417</v>
      </c>
      <c r="T27" s="3">
        <f t="shared" si="17"/>
        <v>1616052.3965208312</v>
      </c>
      <c r="U27" s="3">
        <f t="shared" si="17"/>
        <v>2563127.4648493011</v>
      </c>
      <c r="V27" s="3">
        <f t="shared" si="17"/>
        <v>3072041.3068059199</v>
      </c>
      <c r="W27" s="3">
        <f t="shared" si="17"/>
        <v>4654048.7206470389</v>
      </c>
      <c r="X27" s="3">
        <f t="shared" si="17"/>
        <v>3355941.9027911467</v>
      </c>
      <c r="Y27" s="3">
        <f t="shared" si="17"/>
        <v>2274089.6728134598</v>
      </c>
      <c r="Z27" s="3">
        <f t="shared" si="17"/>
        <v>1403237.0847921567</v>
      </c>
      <c r="AA27" s="3">
        <f t="shared" si="17"/>
        <v>821415.74162692192</v>
      </c>
      <c r="AB27" s="3">
        <f t="shared" si="17"/>
        <v>743331.56099340832</v>
      </c>
      <c r="AC27" s="3">
        <f t="shared" si="17"/>
        <v>796040.12490827427</v>
      </c>
      <c r="AD27" s="3">
        <f t="shared" si="17"/>
        <v>800376.27886470209</v>
      </c>
      <c r="AE27" s="3">
        <f t="shared" si="17"/>
        <v>1149287.9767260193</v>
      </c>
      <c r="AF27" s="3">
        <f t="shared" si="17"/>
        <v>2658506.2763071149</v>
      </c>
      <c r="AG27" s="3">
        <f t="shared" si="17"/>
        <v>4216356.4947689194</v>
      </c>
      <c r="AH27" s="3">
        <f t="shared" si="17"/>
        <v>5053340.2531997021</v>
      </c>
      <c r="AI27" s="3">
        <f t="shared" si="17"/>
        <v>4983754.2303136941</v>
      </c>
      <c r="AJ27" s="3">
        <f t="shared" ref="AJ27:BW27" si="18">AJ26*AJ25</f>
        <v>3593667.4581737062</v>
      </c>
      <c r="AK27" s="3">
        <f t="shared" si="18"/>
        <v>2435149.3364993343</v>
      </c>
      <c r="AL27" s="3">
        <f t="shared" si="18"/>
        <v>1510029.8666659759</v>
      </c>
      <c r="AM27" s="3">
        <f t="shared" si="18"/>
        <v>883954.18327785353</v>
      </c>
      <c r="AN27" s="3">
        <f t="shared" si="18"/>
        <v>799963.1014727155</v>
      </c>
      <c r="AO27" s="3">
        <f t="shared" si="18"/>
        <v>830890.42102292797</v>
      </c>
      <c r="AP27" s="3">
        <f t="shared" si="18"/>
        <v>835432.33915126987</v>
      </c>
      <c r="AQ27" s="3">
        <f t="shared" si="18"/>
        <v>1199607.6409192984</v>
      </c>
      <c r="AR27" s="3">
        <f t="shared" si="18"/>
        <v>2760657.5634958753</v>
      </c>
      <c r="AS27" s="3">
        <f t="shared" si="18"/>
        <v>4378215.5023760507</v>
      </c>
      <c r="AT27" s="3">
        <f t="shared" si="18"/>
        <v>5247141.9053334324</v>
      </c>
      <c r="AU27" s="3">
        <f t="shared" si="18"/>
        <v>5147053.4736035829</v>
      </c>
      <c r="AV27" s="3">
        <f t="shared" si="18"/>
        <v>3711399.5897879382</v>
      </c>
      <c r="AW27" s="3">
        <f t="shared" si="18"/>
        <v>2514905.4020722113</v>
      </c>
      <c r="AX27" s="3">
        <f t="shared" si="18"/>
        <v>1503610.1502944613</v>
      </c>
      <c r="AY27" s="3">
        <f t="shared" si="18"/>
        <v>880236.10697149485</v>
      </c>
      <c r="AZ27" s="3">
        <f t="shared" si="18"/>
        <v>796627.25860299228</v>
      </c>
      <c r="BA27" s="3">
        <f t="shared" si="18"/>
        <v>827957.73205724289</v>
      </c>
      <c r="BB27" s="3">
        <f t="shared" si="18"/>
        <v>832499.40371533053</v>
      </c>
      <c r="BC27" s="3">
        <f t="shared" si="18"/>
        <v>1195377.9359181256</v>
      </c>
      <c r="BD27" s="3">
        <f t="shared" si="18"/>
        <v>2760063.1726084445</v>
      </c>
      <c r="BE27" s="3">
        <f t="shared" si="18"/>
        <v>4377122.2116362574</v>
      </c>
      <c r="BF27" s="3">
        <f t="shared" si="18"/>
        <v>5245644.9333494054</v>
      </c>
      <c r="BG27" s="3">
        <f t="shared" si="18"/>
        <v>5127540.222280208</v>
      </c>
      <c r="BH27" s="3">
        <f t="shared" si="18"/>
        <v>3697310.1309230095</v>
      </c>
      <c r="BI27" s="3">
        <f t="shared" si="18"/>
        <v>2505326.9238376399</v>
      </c>
      <c r="BJ27" s="3">
        <f t="shared" si="18"/>
        <v>1479880.4867132229</v>
      </c>
      <c r="BK27" s="3">
        <f t="shared" si="18"/>
        <v>866368.33540766186</v>
      </c>
      <c r="BL27" s="3">
        <f t="shared" si="18"/>
        <v>784113.58250535675</v>
      </c>
      <c r="BM27" s="3">
        <f t="shared" si="18"/>
        <v>816801.57066714845</v>
      </c>
      <c r="BN27" s="3">
        <f t="shared" si="18"/>
        <v>821297.53179861035</v>
      </c>
      <c r="BO27" s="3">
        <f t="shared" si="18"/>
        <v>1179275.4628323638</v>
      </c>
      <c r="BP27" s="3">
        <f t="shared" si="18"/>
        <v>2736984.2232516333</v>
      </c>
      <c r="BQ27" s="3">
        <f t="shared" si="18"/>
        <v>4340379.1418384956</v>
      </c>
      <c r="BR27" s="3">
        <f t="shared" si="18"/>
        <v>5201439.3280071951</v>
      </c>
      <c r="BS27" s="3">
        <f t="shared" si="18"/>
        <v>5089741.2885359144</v>
      </c>
      <c r="BT27" s="3">
        <f t="shared" si="18"/>
        <v>3670042.4839334069</v>
      </c>
      <c r="BU27" s="3">
        <f t="shared" si="18"/>
        <v>2486819.22324814</v>
      </c>
      <c r="BV27" s="3">
        <f t="shared" si="18"/>
        <v>1478222.0659433117</v>
      </c>
      <c r="BW27" s="3">
        <f t="shared" si="18"/>
        <v>865436.22276335745</v>
      </c>
      <c r="BX27" s="3">
        <f t="shared" ref="BX27:CI27" si="19">BX26*BX25</f>
        <v>783298.02836965665</v>
      </c>
      <c r="BY27" s="3">
        <f t="shared" si="19"/>
        <v>817811.08802638808</v>
      </c>
      <c r="BZ27" s="3">
        <f t="shared" si="19"/>
        <v>822328.02452244586</v>
      </c>
      <c r="CA27" s="3">
        <f t="shared" si="19"/>
        <v>1180737.48763987</v>
      </c>
      <c r="CB27" s="3">
        <f t="shared" si="19"/>
        <v>2710534.7609534813</v>
      </c>
      <c r="CC27" s="3">
        <f t="shared" si="19"/>
        <v>4298288.8310641674</v>
      </c>
      <c r="CD27" s="3">
        <f t="shared" si="19"/>
        <v>5150807.405242526</v>
      </c>
      <c r="CE27" s="3">
        <f t="shared" si="19"/>
        <v>8091416.1662921989</v>
      </c>
      <c r="CF27" s="3">
        <f t="shared" si="19"/>
        <v>5834405.1511122184</v>
      </c>
      <c r="CG27" s="3">
        <f t="shared" si="19"/>
        <v>3953366.6034282227</v>
      </c>
      <c r="CH27" s="3">
        <f t="shared" si="19"/>
        <v>2301904.7291828506</v>
      </c>
      <c r="CI27" s="3">
        <f t="shared" si="19"/>
        <v>1347703.8849823547</v>
      </c>
      <c r="CJ27" s="286"/>
      <c r="CK27" s="286"/>
      <c r="CL27" s="286"/>
    </row>
    <row r="28" spans="1:90">
      <c r="A28" s="2">
        <v>18</v>
      </c>
      <c r="P28" s="6"/>
      <c r="Q28" s="6"/>
      <c r="S28" s="6"/>
    </row>
    <row r="29" spans="1:90">
      <c r="A29" s="2">
        <v>19</v>
      </c>
      <c r="B29" s="23" t="s">
        <v>54</v>
      </c>
      <c r="C29" s="13"/>
      <c r="D29" s="50">
        <f>D30*$C$30+D31*$C$31+D32*$C$32+D33*$C$33</f>
        <v>34476.761266009999</v>
      </c>
      <c r="E29" s="50">
        <f t="shared" ref="E29:BP29" si="20">E30*$C$30+E31*$C$31+E32*$C$32+E33*$C$33</f>
        <v>41537.042030080003</v>
      </c>
      <c r="F29" s="50">
        <f t="shared" si="20"/>
        <v>39382.586922149996</v>
      </c>
      <c r="G29" s="50">
        <f t="shared" si="20"/>
        <v>44235.408455609992</v>
      </c>
      <c r="H29" s="50">
        <f t="shared" si="20"/>
        <v>71836.672925709994</v>
      </c>
      <c r="I29" s="50">
        <f t="shared" si="20"/>
        <v>107820.87914045001</v>
      </c>
      <c r="J29" s="50">
        <f t="shared" si="20"/>
        <v>165804.88306844002</v>
      </c>
      <c r="K29" s="50">
        <f t="shared" si="20"/>
        <v>156328.97685337003</v>
      </c>
      <c r="L29" s="50">
        <f t="shared" si="20"/>
        <v>103640.03743631</v>
      </c>
      <c r="M29" s="50">
        <f t="shared" si="20"/>
        <v>78935.194497119999</v>
      </c>
      <c r="N29" s="50">
        <f t="shared" si="20"/>
        <v>79593.051280900007</v>
      </c>
      <c r="O29" s="50">
        <f t="shared" si="20"/>
        <v>37876.725161330003</v>
      </c>
      <c r="P29" s="50">
        <f t="shared" si="20"/>
        <v>34476.761266009999</v>
      </c>
      <c r="Q29" s="50">
        <f t="shared" si="20"/>
        <v>41537.042030080003</v>
      </c>
      <c r="R29" s="50">
        <f t="shared" si="20"/>
        <v>39382.586922149996</v>
      </c>
      <c r="S29" s="50">
        <f t="shared" si="20"/>
        <v>44235.408455609992</v>
      </c>
      <c r="T29" s="50">
        <f t="shared" si="20"/>
        <v>71836.672925709994</v>
      </c>
      <c r="U29" s="50">
        <f t="shared" si="20"/>
        <v>107820.87914045001</v>
      </c>
      <c r="V29" s="50">
        <f t="shared" si="20"/>
        <v>165804.88306844002</v>
      </c>
      <c r="W29" s="50">
        <f t="shared" si="20"/>
        <v>156328.97685337003</v>
      </c>
      <c r="X29" s="50">
        <f t="shared" si="20"/>
        <v>103640.03743631</v>
      </c>
      <c r="Y29" s="28">
        <f t="shared" si="20"/>
        <v>78935.194497119999</v>
      </c>
      <c r="Z29" s="28">
        <f t="shared" si="20"/>
        <v>79593.051280900007</v>
      </c>
      <c r="AA29" s="28">
        <f t="shared" si="20"/>
        <v>37876.725161330003</v>
      </c>
      <c r="AB29" s="28">
        <f t="shared" si="20"/>
        <v>34476.761266009999</v>
      </c>
      <c r="AC29" s="28">
        <f t="shared" si="20"/>
        <v>41537.042030080003</v>
      </c>
      <c r="AD29" s="28">
        <f t="shared" si="20"/>
        <v>39382.586922149996</v>
      </c>
      <c r="AE29" s="28">
        <f t="shared" si="20"/>
        <v>44235.408455609992</v>
      </c>
      <c r="AF29" s="28">
        <f t="shared" si="20"/>
        <v>71836.672925709994</v>
      </c>
      <c r="AG29" s="28">
        <f t="shared" si="20"/>
        <v>107820.87914045001</v>
      </c>
      <c r="AH29" s="28">
        <f t="shared" si="20"/>
        <v>165804.88306844002</v>
      </c>
      <c r="AI29" s="28">
        <f t="shared" si="20"/>
        <v>156328.97685337003</v>
      </c>
      <c r="AJ29" s="28">
        <f t="shared" si="20"/>
        <v>103640.03743631</v>
      </c>
      <c r="AK29" s="50">
        <f t="shared" si="20"/>
        <v>78935.194497119999</v>
      </c>
      <c r="AL29" s="50">
        <f t="shared" si="20"/>
        <v>79593.051280900007</v>
      </c>
      <c r="AM29" s="50">
        <f t="shared" si="20"/>
        <v>37876.725161330003</v>
      </c>
      <c r="AN29" s="50">
        <f t="shared" si="20"/>
        <v>34476.761266009999</v>
      </c>
      <c r="AO29" s="50">
        <f t="shared" si="20"/>
        <v>41537.042030080003</v>
      </c>
      <c r="AP29" s="50">
        <f t="shared" si="20"/>
        <v>39382.586922149996</v>
      </c>
      <c r="AQ29" s="50">
        <f t="shared" si="20"/>
        <v>44235.408455609992</v>
      </c>
      <c r="AR29" s="50">
        <f t="shared" si="20"/>
        <v>71836.672925709994</v>
      </c>
      <c r="AS29" s="50">
        <f t="shared" si="20"/>
        <v>107820.87914045001</v>
      </c>
      <c r="AT29" s="50">
        <f t="shared" si="20"/>
        <v>165804.88306844002</v>
      </c>
      <c r="AU29" s="50">
        <f t="shared" si="20"/>
        <v>156328.97685337003</v>
      </c>
      <c r="AV29" s="50">
        <f t="shared" si="20"/>
        <v>103640.03743631</v>
      </c>
      <c r="AW29" s="50">
        <f t="shared" si="20"/>
        <v>78935.194497119999</v>
      </c>
      <c r="AX29" s="50">
        <f t="shared" si="20"/>
        <v>79593.051280900007</v>
      </c>
      <c r="AY29" s="50">
        <f t="shared" si="20"/>
        <v>37876.725161330003</v>
      </c>
      <c r="AZ29" s="50">
        <f t="shared" si="20"/>
        <v>34476.761266009999</v>
      </c>
      <c r="BA29" s="50">
        <f t="shared" si="20"/>
        <v>41537.042030080003</v>
      </c>
      <c r="BB29" s="50">
        <f t="shared" si="20"/>
        <v>39382.586922149996</v>
      </c>
      <c r="BC29" s="50">
        <f t="shared" si="20"/>
        <v>44235.408455609992</v>
      </c>
      <c r="BD29" s="50">
        <f t="shared" si="20"/>
        <v>71836.672925709994</v>
      </c>
      <c r="BE29" s="50">
        <f t="shared" si="20"/>
        <v>107820.87914045001</v>
      </c>
      <c r="BF29" s="50">
        <f t="shared" si="20"/>
        <v>165804.88306844002</v>
      </c>
      <c r="BG29" s="50">
        <f t="shared" si="20"/>
        <v>156328.97685337003</v>
      </c>
      <c r="BH29" s="50">
        <f t="shared" si="20"/>
        <v>103640.03743631</v>
      </c>
      <c r="BI29" s="50">
        <f t="shared" si="20"/>
        <v>78935.194497119999</v>
      </c>
      <c r="BJ29" s="50">
        <f t="shared" si="20"/>
        <v>79593.051280900007</v>
      </c>
      <c r="BK29" s="50">
        <f t="shared" si="20"/>
        <v>37876.725161330003</v>
      </c>
      <c r="BL29" s="50">
        <f t="shared" si="20"/>
        <v>34476.761266009999</v>
      </c>
      <c r="BM29" s="50">
        <f t="shared" si="20"/>
        <v>41537.042030080003</v>
      </c>
      <c r="BN29" s="50">
        <f t="shared" si="20"/>
        <v>39382.586922149996</v>
      </c>
      <c r="BO29" s="50">
        <f t="shared" si="20"/>
        <v>44235.408455609992</v>
      </c>
      <c r="BP29" s="50">
        <f t="shared" si="20"/>
        <v>71836.672925709994</v>
      </c>
      <c r="BQ29" s="50">
        <f t="shared" ref="BQ29:CG29" si="21">BQ30*$C$30+BQ31*$C$31+BQ32*$C$32+BQ33*$C$33</f>
        <v>107820.87914045001</v>
      </c>
      <c r="BR29" s="50">
        <f t="shared" si="21"/>
        <v>165804.88306844002</v>
      </c>
      <c r="BS29" s="50">
        <f t="shared" si="21"/>
        <v>156328.97685337003</v>
      </c>
      <c r="BT29" s="50">
        <f t="shared" si="21"/>
        <v>103640.03743631</v>
      </c>
      <c r="BU29" s="50">
        <f t="shared" si="21"/>
        <v>78935.194497119999</v>
      </c>
      <c r="BV29" s="50">
        <f t="shared" si="21"/>
        <v>79593.051280900007</v>
      </c>
      <c r="BW29" s="50">
        <f t="shared" si="21"/>
        <v>37876.725161330003</v>
      </c>
      <c r="BX29" s="50">
        <f t="shared" si="21"/>
        <v>34476.761266009999</v>
      </c>
      <c r="BY29" s="50">
        <f t="shared" si="21"/>
        <v>41537.042030080003</v>
      </c>
      <c r="BZ29" s="50">
        <f t="shared" si="21"/>
        <v>39382.586922149996</v>
      </c>
      <c r="CA29" s="50">
        <f t="shared" si="21"/>
        <v>44235.408455609992</v>
      </c>
      <c r="CB29" s="50">
        <f t="shared" si="21"/>
        <v>71836.672925709994</v>
      </c>
      <c r="CC29" s="50">
        <f t="shared" si="21"/>
        <v>107820.87914045001</v>
      </c>
      <c r="CD29" s="50">
        <f t="shared" si="21"/>
        <v>165804.88306844002</v>
      </c>
      <c r="CE29" s="50">
        <f t="shared" si="21"/>
        <v>156328.97685337003</v>
      </c>
      <c r="CF29" s="50">
        <f t="shared" si="21"/>
        <v>103640.03743631</v>
      </c>
      <c r="CG29" s="50">
        <f t="shared" si="21"/>
        <v>78935.194497119999</v>
      </c>
      <c r="CH29" s="50">
        <f>CH30*$C$30+CH31*$C$31+CH32*$C$32+CH33*$C$33</f>
        <v>79593.051280900007</v>
      </c>
      <c r="CI29" s="50">
        <f>CI30*$C$30+CI31*$C$31+CI32*$C$32+CI33*$C$33</f>
        <v>37876.725161330003</v>
      </c>
      <c r="CJ29" s="291"/>
      <c r="CK29" s="291"/>
      <c r="CL29" s="291"/>
    </row>
    <row r="30" spans="1:90">
      <c r="A30" s="2">
        <v>20</v>
      </c>
      <c r="B30" s="2" t="s">
        <v>22</v>
      </c>
      <c r="C30" s="440">
        <f>C21</f>
        <v>66</v>
      </c>
      <c r="D30" s="6">
        <f>'Bill Frequency'!C27+'Contract &amp; Vol Adj'!C27</f>
        <v>203</v>
      </c>
      <c r="E30" s="6">
        <f>'Bill Frequency'!D27+'Contract &amp; Vol Adj'!D27</f>
        <v>215</v>
      </c>
      <c r="F30" s="6">
        <f>'Bill Frequency'!E27+'Contract &amp; Vol Adj'!E27</f>
        <v>208</v>
      </c>
      <c r="G30" s="6">
        <f>'Bill Frequency'!F27+'Contract &amp; Vol Adj'!F27</f>
        <v>210</v>
      </c>
      <c r="H30" s="6">
        <f>'Bill Frequency'!G27+'Contract &amp; Vol Adj'!G27</f>
        <v>213</v>
      </c>
      <c r="I30" s="6">
        <f>'Bill Frequency'!H27+'Contract &amp; Vol Adj'!H27</f>
        <v>208</v>
      </c>
      <c r="J30" s="6">
        <f>'Bill Frequency'!I27+'Contract &amp; Vol Adj'!I27</f>
        <v>205</v>
      </c>
      <c r="K30" s="6">
        <f>'Bill Frequency'!J27+'Contract &amp; Vol Adj'!J27</f>
        <v>212</v>
      </c>
      <c r="L30" s="6">
        <f>'Bill Frequency'!K27+'Contract &amp; Vol Adj'!K27</f>
        <v>215</v>
      </c>
      <c r="M30" s="6">
        <f>'Bill Frequency'!L27+'Contract &amp; Vol Adj'!L27</f>
        <v>213</v>
      </c>
      <c r="N30" s="6">
        <f>'Bill Frequency'!M27+'Contract &amp; Vol Adj'!M27</f>
        <v>212</v>
      </c>
      <c r="O30" s="6">
        <f>'Bill Frequency'!N27+'Contract &amp; Vol Adj'!N27</f>
        <v>210</v>
      </c>
      <c r="P30" s="6">
        <f t="shared" ref="P30:Y33" si="22">D30</f>
        <v>203</v>
      </c>
      <c r="Q30" s="6">
        <f t="shared" si="22"/>
        <v>215</v>
      </c>
      <c r="R30" s="6">
        <f t="shared" si="22"/>
        <v>208</v>
      </c>
      <c r="S30" s="6">
        <f t="shared" si="22"/>
        <v>210</v>
      </c>
      <c r="T30" s="6">
        <f t="shared" si="22"/>
        <v>213</v>
      </c>
      <c r="U30" s="6">
        <f t="shared" si="22"/>
        <v>208</v>
      </c>
      <c r="V30" s="6">
        <f t="shared" si="22"/>
        <v>205</v>
      </c>
      <c r="W30" s="6">
        <f t="shared" si="22"/>
        <v>212</v>
      </c>
      <c r="X30" s="6">
        <f t="shared" si="22"/>
        <v>215</v>
      </c>
      <c r="Y30" s="6">
        <f t="shared" si="22"/>
        <v>213</v>
      </c>
      <c r="Z30" s="6">
        <f t="shared" ref="Z30:AI33" si="23">N30</f>
        <v>212</v>
      </c>
      <c r="AA30" s="6">
        <f t="shared" si="23"/>
        <v>210</v>
      </c>
      <c r="AB30" s="6">
        <f t="shared" si="23"/>
        <v>203</v>
      </c>
      <c r="AC30" s="6">
        <f t="shared" si="23"/>
        <v>215</v>
      </c>
      <c r="AD30" s="6">
        <f t="shared" si="23"/>
        <v>208</v>
      </c>
      <c r="AE30" s="6">
        <f t="shared" si="23"/>
        <v>210</v>
      </c>
      <c r="AF30" s="6">
        <f t="shared" si="23"/>
        <v>213</v>
      </c>
      <c r="AG30" s="6">
        <f t="shared" si="23"/>
        <v>208</v>
      </c>
      <c r="AH30" s="6">
        <f t="shared" si="23"/>
        <v>205</v>
      </c>
      <c r="AI30" s="6">
        <f t="shared" si="23"/>
        <v>212</v>
      </c>
      <c r="AJ30" s="6">
        <f t="shared" ref="AJ30:AS33" si="24">X30</f>
        <v>215</v>
      </c>
      <c r="AK30" s="6">
        <f t="shared" si="24"/>
        <v>213</v>
      </c>
      <c r="AL30" s="6">
        <f t="shared" si="24"/>
        <v>212</v>
      </c>
      <c r="AM30" s="6">
        <f t="shared" si="24"/>
        <v>210</v>
      </c>
      <c r="AN30" s="6">
        <f t="shared" si="24"/>
        <v>203</v>
      </c>
      <c r="AO30" s="6">
        <f t="shared" si="24"/>
        <v>215</v>
      </c>
      <c r="AP30" s="6">
        <f t="shared" si="24"/>
        <v>208</v>
      </c>
      <c r="AQ30" s="6">
        <f t="shared" si="24"/>
        <v>210</v>
      </c>
      <c r="AR30" s="6">
        <f t="shared" si="24"/>
        <v>213</v>
      </c>
      <c r="AS30" s="6">
        <f t="shared" si="24"/>
        <v>208</v>
      </c>
      <c r="AT30" s="6">
        <f t="shared" ref="AT30:BC33" si="25">AH30</f>
        <v>205</v>
      </c>
      <c r="AU30" s="6">
        <f t="shared" si="25"/>
        <v>212</v>
      </c>
      <c r="AV30" s="6">
        <f t="shared" si="25"/>
        <v>215</v>
      </c>
      <c r="AW30" s="6">
        <f t="shared" si="25"/>
        <v>213</v>
      </c>
      <c r="AX30" s="6">
        <f t="shared" si="25"/>
        <v>212</v>
      </c>
      <c r="AY30" s="6">
        <f t="shared" si="25"/>
        <v>210</v>
      </c>
      <c r="AZ30" s="6">
        <f t="shared" si="25"/>
        <v>203</v>
      </c>
      <c r="BA30" s="6">
        <f t="shared" si="25"/>
        <v>215</v>
      </c>
      <c r="BB30" s="6">
        <f t="shared" si="25"/>
        <v>208</v>
      </c>
      <c r="BC30" s="6">
        <f t="shared" si="25"/>
        <v>210</v>
      </c>
      <c r="BD30" s="6">
        <f t="shared" ref="BD30:BS33" si="26">AR30</f>
        <v>213</v>
      </c>
      <c r="BE30" s="6">
        <f t="shared" si="26"/>
        <v>208</v>
      </c>
      <c r="BF30" s="6">
        <f t="shared" si="26"/>
        <v>205</v>
      </c>
      <c r="BG30" s="6">
        <f t="shared" si="26"/>
        <v>212</v>
      </c>
      <c r="BH30" s="6">
        <f t="shared" si="26"/>
        <v>215</v>
      </c>
      <c r="BI30" s="6">
        <f t="shared" si="26"/>
        <v>213</v>
      </c>
      <c r="BJ30" s="6">
        <f t="shared" si="26"/>
        <v>212</v>
      </c>
      <c r="BK30" s="6">
        <f t="shared" si="26"/>
        <v>210</v>
      </c>
      <c r="BL30" s="6">
        <f t="shared" si="26"/>
        <v>203</v>
      </c>
      <c r="BM30" s="6">
        <f t="shared" si="26"/>
        <v>215</v>
      </c>
      <c r="BN30" s="6">
        <f t="shared" si="26"/>
        <v>208</v>
      </c>
      <c r="BO30" s="6">
        <f t="shared" si="26"/>
        <v>210</v>
      </c>
      <c r="BP30" s="6">
        <f t="shared" si="26"/>
        <v>213</v>
      </c>
      <c r="BQ30" s="6">
        <f t="shared" si="26"/>
        <v>208</v>
      </c>
      <c r="BR30" s="6">
        <f t="shared" si="26"/>
        <v>205</v>
      </c>
      <c r="BS30" s="6">
        <f t="shared" si="26"/>
        <v>212</v>
      </c>
      <c r="BT30" s="6">
        <f t="shared" ref="BT30:BW33" si="27">BH30</f>
        <v>215</v>
      </c>
      <c r="BU30" s="6">
        <f t="shared" si="27"/>
        <v>213</v>
      </c>
      <c r="BV30" s="6">
        <f t="shared" si="27"/>
        <v>212</v>
      </c>
      <c r="BW30" s="6">
        <f t="shared" si="27"/>
        <v>210</v>
      </c>
      <c r="BX30" s="6">
        <f t="shared" ref="BX30:CI33" si="28">BL30</f>
        <v>203</v>
      </c>
      <c r="BY30" s="6">
        <f t="shared" si="28"/>
        <v>215</v>
      </c>
      <c r="BZ30" s="6">
        <f t="shared" si="28"/>
        <v>208</v>
      </c>
      <c r="CA30" s="6">
        <f t="shared" si="28"/>
        <v>210</v>
      </c>
      <c r="CB30" s="6">
        <f t="shared" si="28"/>
        <v>213</v>
      </c>
      <c r="CC30" s="6">
        <f t="shared" si="28"/>
        <v>208</v>
      </c>
      <c r="CD30" s="6">
        <f t="shared" si="28"/>
        <v>205</v>
      </c>
      <c r="CE30" s="6">
        <f t="shared" si="28"/>
        <v>212</v>
      </c>
      <c r="CF30" s="6">
        <f t="shared" si="28"/>
        <v>215</v>
      </c>
      <c r="CG30" s="6">
        <f t="shared" si="28"/>
        <v>213</v>
      </c>
      <c r="CH30" s="6">
        <f t="shared" si="28"/>
        <v>212</v>
      </c>
      <c r="CI30" s="6">
        <f t="shared" si="28"/>
        <v>210</v>
      </c>
      <c r="CJ30" s="287"/>
      <c r="CK30" s="287"/>
      <c r="CL30" s="287"/>
    </row>
    <row r="31" spans="1:90">
      <c r="A31" s="2">
        <v>21</v>
      </c>
      <c r="B31" s="2" t="s">
        <v>23</v>
      </c>
      <c r="C31" s="13">
        <f>C22</f>
        <v>1.5483</v>
      </c>
      <c r="D31" s="6">
        <f>'Bill Frequency'!C28+'Contract &amp; Vol Adj'!C28</f>
        <v>8454.1347000000005</v>
      </c>
      <c r="E31" s="6">
        <f>'Bill Frequency'!D28+'Contract &amp; Vol Adj'!D28</f>
        <v>8648.4575999999997</v>
      </c>
      <c r="F31" s="6">
        <f>'Bill Frequency'!E28+'Contract &amp; Vol Adj'!E28</f>
        <v>9242.5805</v>
      </c>
      <c r="G31" s="6">
        <f>'Bill Frequency'!F28+'Contract &amp; Vol Adj'!F28</f>
        <v>10822.866699999995</v>
      </c>
      <c r="H31" s="6">
        <f>'Bill Frequency'!G28+'Contract &amp; Vol Adj'!G28</f>
        <v>23510.049699999996</v>
      </c>
      <c r="I31" s="6">
        <f>'Bill Frequency'!H28+'Contract &amp; Vol Adj'!H28</f>
        <v>34112.761500000008</v>
      </c>
      <c r="J31" s="6">
        <f>'Bill Frequency'!I28+'Contract &amp; Vol Adj'!I28</f>
        <v>43948.126800000005</v>
      </c>
      <c r="K31" s="6">
        <f>'Bill Frequency'!J28+'Contract &amp; Vol Adj'!J28</f>
        <v>45008.453900000015</v>
      </c>
      <c r="L31" s="6">
        <f>'Bill Frequency'!K28+'Contract &amp; Vol Adj'!K28</f>
        <v>34440.155699999996</v>
      </c>
      <c r="M31" s="6">
        <f>'Bill Frequency'!L28+'Contract &amp; Vol Adj'!L28</f>
        <v>27357.7264</v>
      </c>
      <c r="N31" s="6">
        <f>'Bill Frequency'!M28+'Contract &amp; Vol Adj'!M28</f>
        <v>16429.903000000002</v>
      </c>
      <c r="O31" s="6">
        <f>'Bill Frequency'!N28+'Contract &amp; Vol Adj'!N28</f>
        <v>9573.3551000000007</v>
      </c>
      <c r="P31" s="6">
        <f t="shared" si="22"/>
        <v>8454.1347000000005</v>
      </c>
      <c r="Q31" s="6">
        <f t="shared" si="22"/>
        <v>8648.4575999999997</v>
      </c>
      <c r="R31" s="6">
        <f t="shared" si="22"/>
        <v>9242.5805</v>
      </c>
      <c r="S31" s="6">
        <f t="shared" si="22"/>
        <v>10822.866699999995</v>
      </c>
      <c r="T31" s="6">
        <f t="shared" si="22"/>
        <v>23510.049699999996</v>
      </c>
      <c r="U31" s="6">
        <f t="shared" si="22"/>
        <v>34112.761500000008</v>
      </c>
      <c r="V31" s="6">
        <f t="shared" si="22"/>
        <v>43948.126800000005</v>
      </c>
      <c r="W31" s="6">
        <f t="shared" si="22"/>
        <v>45008.453900000015</v>
      </c>
      <c r="X31" s="6">
        <f t="shared" si="22"/>
        <v>34440.155699999996</v>
      </c>
      <c r="Y31" s="6">
        <f t="shared" si="22"/>
        <v>27357.7264</v>
      </c>
      <c r="Z31" s="6">
        <f t="shared" si="23"/>
        <v>16429.903000000002</v>
      </c>
      <c r="AA31" s="6">
        <f t="shared" si="23"/>
        <v>9573.3551000000007</v>
      </c>
      <c r="AB31" s="6">
        <f t="shared" si="23"/>
        <v>8454.1347000000005</v>
      </c>
      <c r="AC31" s="6">
        <f t="shared" si="23"/>
        <v>8648.4575999999997</v>
      </c>
      <c r="AD31" s="6">
        <f t="shared" si="23"/>
        <v>9242.5805</v>
      </c>
      <c r="AE31" s="6">
        <f t="shared" si="23"/>
        <v>10822.866699999995</v>
      </c>
      <c r="AF31" s="6">
        <f t="shared" si="23"/>
        <v>23510.049699999996</v>
      </c>
      <c r="AG31" s="6">
        <f t="shared" si="23"/>
        <v>34112.761500000008</v>
      </c>
      <c r="AH31" s="6">
        <f t="shared" si="23"/>
        <v>43948.126800000005</v>
      </c>
      <c r="AI31" s="6">
        <f t="shared" si="23"/>
        <v>45008.453900000015</v>
      </c>
      <c r="AJ31" s="6">
        <f t="shared" si="24"/>
        <v>34440.155699999996</v>
      </c>
      <c r="AK31" s="6">
        <f t="shared" si="24"/>
        <v>27357.7264</v>
      </c>
      <c r="AL31" s="6">
        <f t="shared" si="24"/>
        <v>16429.903000000002</v>
      </c>
      <c r="AM31" s="6">
        <f t="shared" si="24"/>
        <v>9573.3551000000007</v>
      </c>
      <c r="AN31" s="6">
        <f t="shared" si="24"/>
        <v>8454.1347000000005</v>
      </c>
      <c r="AO31" s="6">
        <f t="shared" si="24"/>
        <v>8648.4575999999997</v>
      </c>
      <c r="AP31" s="6">
        <f t="shared" si="24"/>
        <v>9242.5805</v>
      </c>
      <c r="AQ31" s="6">
        <f t="shared" si="24"/>
        <v>10822.866699999995</v>
      </c>
      <c r="AR31" s="6">
        <f t="shared" si="24"/>
        <v>23510.049699999996</v>
      </c>
      <c r="AS31" s="6">
        <f t="shared" si="24"/>
        <v>34112.761500000008</v>
      </c>
      <c r="AT31" s="6">
        <f t="shared" si="25"/>
        <v>43948.126800000005</v>
      </c>
      <c r="AU31" s="6">
        <f t="shared" si="25"/>
        <v>45008.453900000015</v>
      </c>
      <c r="AV31" s="6">
        <f t="shared" si="25"/>
        <v>34440.155699999996</v>
      </c>
      <c r="AW31" s="6">
        <f t="shared" si="25"/>
        <v>27357.7264</v>
      </c>
      <c r="AX31" s="6">
        <f t="shared" si="25"/>
        <v>16429.903000000002</v>
      </c>
      <c r="AY31" s="6">
        <f t="shared" si="25"/>
        <v>9573.3551000000007</v>
      </c>
      <c r="AZ31" s="6">
        <f t="shared" si="25"/>
        <v>8454.1347000000005</v>
      </c>
      <c r="BA31" s="6">
        <f t="shared" si="25"/>
        <v>8648.4575999999997</v>
      </c>
      <c r="BB31" s="6">
        <f t="shared" si="25"/>
        <v>9242.5805</v>
      </c>
      <c r="BC31" s="6">
        <f t="shared" si="25"/>
        <v>10822.866699999995</v>
      </c>
      <c r="BD31" s="6">
        <f t="shared" si="26"/>
        <v>23510.049699999996</v>
      </c>
      <c r="BE31" s="6">
        <f t="shared" si="26"/>
        <v>34112.761500000008</v>
      </c>
      <c r="BF31" s="6">
        <f t="shared" si="26"/>
        <v>43948.126800000005</v>
      </c>
      <c r="BG31" s="6">
        <f t="shared" si="26"/>
        <v>45008.453900000015</v>
      </c>
      <c r="BH31" s="6">
        <f t="shared" si="26"/>
        <v>34440.155699999996</v>
      </c>
      <c r="BI31" s="6">
        <f t="shared" si="26"/>
        <v>27357.7264</v>
      </c>
      <c r="BJ31" s="6">
        <f t="shared" si="26"/>
        <v>16429.903000000002</v>
      </c>
      <c r="BK31" s="6">
        <f t="shared" si="26"/>
        <v>9573.3551000000007</v>
      </c>
      <c r="BL31" s="6">
        <f t="shared" si="26"/>
        <v>8454.1347000000005</v>
      </c>
      <c r="BM31" s="6">
        <f t="shared" si="26"/>
        <v>8648.4575999999997</v>
      </c>
      <c r="BN31" s="6">
        <f t="shared" si="26"/>
        <v>9242.5805</v>
      </c>
      <c r="BO31" s="6">
        <f t="shared" si="26"/>
        <v>10822.866699999995</v>
      </c>
      <c r="BP31" s="6">
        <f t="shared" si="26"/>
        <v>23510.049699999996</v>
      </c>
      <c r="BQ31" s="6">
        <f t="shared" si="26"/>
        <v>34112.761500000008</v>
      </c>
      <c r="BR31" s="6">
        <f t="shared" si="26"/>
        <v>43948.126800000005</v>
      </c>
      <c r="BS31" s="6">
        <f t="shared" si="26"/>
        <v>45008.453900000015</v>
      </c>
      <c r="BT31" s="6">
        <f t="shared" si="27"/>
        <v>34440.155699999996</v>
      </c>
      <c r="BU31" s="6">
        <f t="shared" si="27"/>
        <v>27357.7264</v>
      </c>
      <c r="BV31" s="6">
        <f t="shared" si="27"/>
        <v>16429.903000000002</v>
      </c>
      <c r="BW31" s="6">
        <f t="shared" si="27"/>
        <v>9573.3551000000007</v>
      </c>
      <c r="BX31" s="6">
        <f t="shared" si="28"/>
        <v>8454.1347000000005</v>
      </c>
      <c r="BY31" s="6">
        <f t="shared" si="28"/>
        <v>8648.4575999999997</v>
      </c>
      <c r="BZ31" s="6">
        <f t="shared" si="28"/>
        <v>9242.5805</v>
      </c>
      <c r="CA31" s="6">
        <f t="shared" si="28"/>
        <v>10822.866699999995</v>
      </c>
      <c r="CB31" s="6">
        <f t="shared" si="28"/>
        <v>23510.049699999996</v>
      </c>
      <c r="CC31" s="6">
        <f t="shared" si="28"/>
        <v>34112.761500000008</v>
      </c>
      <c r="CD31" s="6">
        <f t="shared" si="28"/>
        <v>43948.126800000005</v>
      </c>
      <c r="CE31" s="6">
        <f t="shared" si="28"/>
        <v>45008.453900000015</v>
      </c>
      <c r="CF31" s="6">
        <f t="shared" si="28"/>
        <v>34440.155699999996</v>
      </c>
      <c r="CG31" s="6">
        <f t="shared" si="28"/>
        <v>27357.7264</v>
      </c>
      <c r="CH31" s="6">
        <f t="shared" si="28"/>
        <v>16429.903000000002</v>
      </c>
      <c r="CI31" s="6">
        <f t="shared" si="28"/>
        <v>9573.3551000000007</v>
      </c>
      <c r="CJ31" s="287"/>
      <c r="CK31" s="287"/>
      <c r="CL31" s="287"/>
    </row>
    <row r="32" spans="1:90">
      <c r="A32" s="2">
        <v>22</v>
      </c>
      <c r="B32" s="2" t="s">
        <v>24</v>
      </c>
      <c r="C32" s="13">
        <f>C23</f>
        <v>1.0762</v>
      </c>
      <c r="D32" s="6">
        <f>'Bill Frequency'!C29+'Contract &amp; Vol Adj'!C29</f>
        <v>7423.55</v>
      </c>
      <c r="E32" s="6">
        <f>'Bill Frequency'!D29+'Contract &amp; Vol Adj'!D29</f>
        <v>12968.44</v>
      </c>
      <c r="F32" s="6">
        <f>'Bill Frequency'!E29+'Contract &amp; Vol Adj'!E29</f>
        <v>10541.07</v>
      </c>
      <c r="G32" s="6">
        <f>'Bill Frequency'!F29+'Contract &amp; Vol Adj'!F29</f>
        <v>12654.12</v>
      </c>
      <c r="H32" s="6">
        <f>'Bill Frequency'!G29+'Contract &amp; Vol Adj'!G29</f>
        <v>19864.396000000001</v>
      </c>
      <c r="I32" s="6">
        <f>'Bill Frequency'!H29+'Contract &amp; Vol Adj'!H29</f>
        <v>38353.549999999996</v>
      </c>
      <c r="J32" s="6">
        <f>'Bill Frequency'!I29+'Contract &amp; Vol Adj'!I29</f>
        <v>78266.12</v>
      </c>
      <c r="K32" s="6">
        <f>'Bill Frequency'!J29+'Contract &amp; Vol Adj'!J29</f>
        <v>67506.399999999994</v>
      </c>
      <c r="L32" s="6">
        <f>'Bill Frequency'!K29+'Contract &amp; Vol Adj'!K29</f>
        <v>33568.43</v>
      </c>
      <c r="M32" s="6">
        <f>'Bill Frequency'!L29+'Contract &amp; Vol Adj'!L29</f>
        <v>20924.759999999998</v>
      </c>
      <c r="N32" s="6">
        <f>'Bill Frequency'!M29+'Contract &amp; Vol Adj'!M29</f>
        <v>37318.93</v>
      </c>
      <c r="O32" s="6">
        <f>'Bill Frequency'!N29+'Contract &amp; Vol Adj'!N29</f>
        <v>8543.2999999999993</v>
      </c>
      <c r="P32" s="6">
        <f t="shared" si="22"/>
        <v>7423.55</v>
      </c>
      <c r="Q32" s="6">
        <f t="shared" si="22"/>
        <v>12968.44</v>
      </c>
      <c r="R32" s="6">
        <f t="shared" si="22"/>
        <v>10541.07</v>
      </c>
      <c r="S32" s="6">
        <f t="shared" si="22"/>
        <v>12654.12</v>
      </c>
      <c r="T32" s="6">
        <f t="shared" si="22"/>
        <v>19864.396000000001</v>
      </c>
      <c r="U32" s="6">
        <f t="shared" si="22"/>
        <v>38353.549999999996</v>
      </c>
      <c r="V32" s="6">
        <f t="shared" si="22"/>
        <v>78266.12</v>
      </c>
      <c r="W32" s="6">
        <f t="shared" si="22"/>
        <v>67506.399999999994</v>
      </c>
      <c r="X32" s="6">
        <f t="shared" si="22"/>
        <v>33568.43</v>
      </c>
      <c r="Y32" s="6">
        <f t="shared" si="22"/>
        <v>20924.759999999998</v>
      </c>
      <c r="Z32" s="6">
        <f t="shared" si="23"/>
        <v>37318.93</v>
      </c>
      <c r="AA32" s="6">
        <f t="shared" si="23"/>
        <v>8543.2999999999993</v>
      </c>
      <c r="AB32" s="6">
        <f t="shared" si="23"/>
        <v>7423.55</v>
      </c>
      <c r="AC32" s="6">
        <f t="shared" si="23"/>
        <v>12968.44</v>
      </c>
      <c r="AD32" s="6">
        <f t="shared" si="23"/>
        <v>10541.07</v>
      </c>
      <c r="AE32" s="6">
        <f t="shared" si="23"/>
        <v>12654.12</v>
      </c>
      <c r="AF32" s="6">
        <f t="shared" si="23"/>
        <v>19864.396000000001</v>
      </c>
      <c r="AG32" s="6">
        <f t="shared" si="23"/>
        <v>38353.549999999996</v>
      </c>
      <c r="AH32" s="6">
        <f t="shared" si="23"/>
        <v>78266.12</v>
      </c>
      <c r="AI32" s="6">
        <f t="shared" si="23"/>
        <v>67506.399999999994</v>
      </c>
      <c r="AJ32" s="6">
        <f t="shared" si="24"/>
        <v>33568.43</v>
      </c>
      <c r="AK32" s="6">
        <f t="shared" si="24"/>
        <v>20924.759999999998</v>
      </c>
      <c r="AL32" s="6">
        <f t="shared" si="24"/>
        <v>37318.93</v>
      </c>
      <c r="AM32" s="6">
        <f t="shared" si="24"/>
        <v>8543.2999999999993</v>
      </c>
      <c r="AN32" s="6">
        <f t="shared" si="24"/>
        <v>7423.55</v>
      </c>
      <c r="AO32" s="6">
        <f t="shared" si="24"/>
        <v>12968.44</v>
      </c>
      <c r="AP32" s="6">
        <f t="shared" si="24"/>
        <v>10541.07</v>
      </c>
      <c r="AQ32" s="6">
        <f t="shared" si="24"/>
        <v>12654.12</v>
      </c>
      <c r="AR32" s="6">
        <f t="shared" si="24"/>
        <v>19864.396000000001</v>
      </c>
      <c r="AS32" s="6">
        <f t="shared" si="24"/>
        <v>38353.549999999996</v>
      </c>
      <c r="AT32" s="6">
        <f t="shared" si="25"/>
        <v>78266.12</v>
      </c>
      <c r="AU32" s="6">
        <f t="shared" si="25"/>
        <v>67506.399999999994</v>
      </c>
      <c r="AV32" s="6">
        <f t="shared" si="25"/>
        <v>33568.43</v>
      </c>
      <c r="AW32" s="6">
        <f t="shared" si="25"/>
        <v>20924.759999999998</v>
      </c>
      <c r="AX32" s="6">
        <f t="shared" si="25"/>
        <v>37318.93</v>
      </c>
      <c r="AY32" s="6">
        <f t="shared" si="25"/>
        <v>8543.2999999999993</v>
      </c>
      <c r="AZ32" s="6">
        <f t="shared" si="25"/>
        <v>7423.55</v>
      </c>
      <c r="BA32" s="6">
        <f t="shared" si="25"/>
        <v>12968.44</v>
      </c>
      <c r="BB32" s="6">
        <f t="shared" si="25"/>
        <v>10541.07</v>
      </c>
      <c r="BC32" s="6">
        <f t="shared" si="25"/>
        <v>12654.12</v>
      </c>
      <c r="BD32" s="6">
        <f t="shared" si="26"/>
        <v>19864.396000000001</v>
      </c>
      <c r="BE32" s="6">
        <f t="shared" si="26"/>
        <v>38353.549999999996</v>
      </c>
      <c r="BF32" s="6">
        <f t="shared" si="26"/>
        <v>78266.12</v>
      </c>
      <c r="BG32" s="6">
        <f t="shared" si="26"/>
        <v>67506.399999999994</v>
      </c>
      <c r="BH32" s="6">
        <f t="shared" si="26"/>
        <v>33568.43</v>
      </c>
      <c r="BI32" s="6">
        <f t="shared" si="26"/>
        <v>20924.759999999998</v>
      </c>
      <c r="BJ32" s="6">
        <f t="shared" si="26"/>
        <v>37318.93</v>
      </c>
      <c r="BK32" s="6">
        <f t="shared" si="26"/>
        <v>8543.2999999999993</v>
      </c>
      <c r="BL32" s="6">
        <f t="shared" si="26"/>
        <v>7423.55</v>
      </c>
      <c r="BM32" s="6">
        <f t="shared" si="26"/>
        <v>12968.44</v>
      </c>
      <c r="BN32" s="6">
        <f t="shared" si="26"/>
        <v>10541.07</v>
      </c>
      <c r="BO32" s="6">
        <f t="shared" si="26"/>
        <v>12654.12</v>
      </c>
      <c r="BP32" s="6">
        <f t="shared" si="26"/>
        <v>19864.396000000001</v>
      </c>
      <c r="BQ32" s="6">
        <f t="shared" si="26"/>
        <v>38353.549999999996</v>
      </c>
      <c r="BR32" s="6">
        <f t="shared" si="26"/>
        <v>78266.12</v>
      </c>
      <c r="BS32" s="6">
        <f t="shared" si="26"/>
        <v>67506.399999999994</v>
      </c>
      <c r="BT32" s="6">
        <f t="shared" si="27"/>
        <v>33568.43</v>
      </c>
      <c r="BU32" s="6">
        <f t="shared" si="27"/>
        <v>20924.759999999998</v>
      </c>
      <c r="BV32" s="6">
        <f t="shared" si="27"/>
        <v>37318.93</v>
      </c>
      <c r="BW32" s="6">
        <f t="shared" si="27"/>
        <v>8543.2999999999993</v>
      </c>
      <c r="BX32" s="6">
        <f t="shared" si="28"/>
        <v>7423.55</v>
      </c>
      <c r="BY32" s="6">
        <f t="shared" si="28"/>
        <v>12968.44</v>
      </c>
      <c r="BZ32" s="6">
        <f t="shared" si="28"/>
        <v>10541.07</v>
      </c>
      <c r="CA32" s="6">
        <f t="shared" si="28"/>
        <v>12654.12</v>
      </c>
      <c r="CB32" s="6">
        <f t="shared" si="28"/>
        <v>19864.396000000001</v>
      </c>
      <c r="CC32" s="6">
        <f t="shared" si="28"/>
        <v>38353.549999999996</v>
      </c>
      <c r="CD32" s="6">
        <f t="shared" si="28"/>
        <v>78266.12</v>
      </c>
      <c r="CE32" s="6">
        <f t="shared" si="28"/>
        <v>67506.399999999994</v>
      </c>
      <c r="CF32" s="6">
        <f t="shared" si="28"/>
        <v>33568.43</v>
      </c>
      <c r="CG32" s="6">
        <f t="shared" si="28"/>
        <v>20924.759999999998</v>
      </c>
      <c r="CH32" s="6">
        <f t="shared" si="28"/>
        <v>37318.93</v>
      </c>
      <c r="CI32" s="6">
        <f t="shared" si="28"/>
        <v>8543.2999999999993</v>
      </c>
      <c r="CJ32" s="287"/>
      <c r="CK32" s="287"/>
      <c r="CL32" s="287"/>
    </row>
    <row r="33" spans="1:90">
      <c r="A33" s="2">
        <v>23</v>
      </c>
      <c r="B33" s="2" t="s">
        <v>55</v>
      </c>
      <c r="C33" s="13">
        <f>C24</f>
        <v>0.88880000000000003</v>
      </c>
      <c r="D33" s="6">
        <f>'Bill Frequency'!C30+'Contract &amp; Vol Adj'!C30</f>
        <v>0</v>
      </c>
      <c r="E33" s="6">
        <f>'Bill Frequency'!D30+'Contract &amp; Vol Adj'!D30</f>
        <v>0</v>
      </c>
      <c r="F33" s="6">
        <f>'Bill Frequency'!E30+'Contract &amp; Vol Adj'!E30</f>
        <v>0</v>
      </c>
      <c r="G33" s="6">
        <f>'Bill Frequency'!F30+'Contract &amp; Vol Adj'!F30</f>
        <v>0</v>
      </c>
      <c r="H33" s="6">
        <f>'Bill Frequency'!G30+'Contract &amp; Vol Adj'!G30</f>
        <v>0</v>
      </c>
      <c r="I33" s="6">
        <f>'Bill Frequency'!H30+'Contract &amp; Vol Adj'!H30</f>
        <v>0</v>
      </c>
      <c r="J33" s="6">
        <f>'Bill Frequency'!I30+'Contract &amp; Vol Adj'!I30</f>
        <v>0</v>
      </c>
      <c r="K33" s="6">
        <f>'Bill Frequency'!J30+'Contract &amp; Vol Adj'!J30</f>
        <v>0</v>
      </c>
      <c r="L33" s="6">
        <f>'Bill Frequency'!K30+'Contract &amp; Vol Adj'!K30</f>
        <v>0</v>
      </c>
      <c r="M33" s="6">
        <f>'Bill Frequency'!L30+'Contract &amp; Vol Adj'!L30</f>
        <v>0</v>
      </c>
      <c r="N33" s="6">
        <f>'Bill Frequency'!M30+'Contract &amp; Vol Adj'!M30</f>
        <v>0</v>
      </c>
      <c r="O33" s="6">
        <f>'Bill Frequency'!N30+'Contract &amp; Vol Adj'!N30</f>
        <v>0</v>
      </c>
      <c r="P33" s="6">
        <f t="shared" si="22"/>
        <v>0</v>
      </c>
      <c r="Q33" s="6">
        <f t="shared" si="22"/>
        <v>0</v>
      </c>
      <c r="R33" s="6">
        <f t="shared" si="22"/>
        <v>0</v>
      </c>
      <c r="S33" s="6">
        <f t="shared" si="22"/>
        <v>0</v>
      </c>
      <c r="T33" s="6">
        <f t="shared" si="22"/>
        <v>0</v>
      </c>
      <c r="U33" s="6">
        <f t="shared" si="22"/>
        <v>0</v>
      </c>
      <c r="V33" s="6">
        <f t="shared" si="22"/>
        <v>0</v>
      </c>
      <c r="W33" s="6">
        <f t="shared" si="22"/>
        <v>0</v>
      </c>
      <c r="X33" s="6">
        <f t="shared" si="22"/>
        <v>0</v>
      </c>
      <c r="Y33" s="6">
        <f t="shared" si="22"/>
        <v>0</v>
      </c>
      <c r="Z33" s="6">
        <f t="shared" si="23"/>
        <v>0</v>
      </c>
      <c r="AA33" s="6">
        <f t="shared" si="23"/>
        <v>0</v>
      </c>
      <c r="AB33" s="6">
        <f t="shared" si="23"/>
        <v>0</v>
      </c>
      <c r="AC33" s="6">
        <f t="shared" si="23"/>
        <v>0</v>
      </c>
      <c r="AD33" s="6">
        <f t="shared" si="23"/>
        <v>0</v>
      </c>
      <c r="AE33" s="6">
        <f t="shared" si="23"/>
        <v>0</v>
      </c>
      <c r="AF33" s="6">
        <f t="shared" si="23"/>
        <v>0</v>
      </c>
      <c r="AG33" s="6">
        <f t="shared" si="23"/>
        <v>0</v>
      </c>
      <c r="AH33" s="6">
        <f t="shared" si="23"/>
        <v>0</v>
      </c>
      <c r="AI33" s="6">
        <f t="shared" si="23"/>
        <v>0</v>
      </c>
      <c r="AJ33" s="6">
        <f t="shared" si="24"/>
        <v>0</v>
      </c>
      <c r="AK33" s="6">
        <f t="shared" si="24"/>
        <v>0</v>
      </c>
      <c r="AL33" s="6">
        <f t="shared" si="24"/>
        <v>0</v>
      </c>
      <c r="AM33" s="6">
        <f t="shared" si="24"/>
        <v>0</v>
      </c>
      <c r="AN33" s="6">
        <f t="shared" si="24"/>
        <v>0</v>
      </c>
      <c r="AO33" s="6">
        <f t="shared" si="24"/>
        <v>0</v>
      </c>
      <c r="AP33" s="6">
        <f t="shared" si="24"/>
        <v>0</v>
      </c>
      <c r="AQ33" s="6">
        <f t="shared" si="24"/>
        <v>0</v>
      </c>
      <c r="AR33" s="6">
        <f t="shared" si="24"/>
        <v>0</v>
      </c>
      <c r="AS33" s="6">
        <f t="shared" si="24"/>
        <v>0</v>
      </c>
      <c r="AT33" s="6">
        <f t="shared" si="25"/>
        <v>0</v>
      </c>
      <c r="AU33" s="6">
        <f t="shared" si="25"/>
        <v>0</v>
      </c>
      <c r="AV33" s="6">
        <f t="shared" si="25"/>
        <v>0</v>
      </c>
      <c r="AW33" s="6">
        <f t="shared" si="25"/>
        <v>0</v>
      </c>
      <c r="AX33" s="6">
        <f t="shared" si="25"/>
        <v>0</v>
      </c>
      <c r="AY33" s="6">
        <f t="shared" si="25"/>
        <v>0</v>
      </c>
      <c r="AZ33" s="6">
        <f t="shared" si="25"/>
        <v>0</v>
      </c>
      <c r="BA33" s="6">
        <f t="shared" si="25"/>
        <v>0</v>
      </c>
      <c r="BB33" s="6">
        <f t="shared" si="25"/>
        <v>0</v>
      </c>
      <c r="BC33" s="6">
        <f t="shared" si="25"/>
        <v>0</v>
      </c>
      <c r="BD33" s="6">
        <f t="shared" si="26"/>
        <v>0</v>
      </c>
      <c r="BE33" s="6">
        <f t="shared" si="26"/>
        <v>0</v>
      </c>
      <c r="BF33" s="6">
        <f t="shared" si="26"/>
        <v>0</v>
      </c>
      <c r="BG33" s="6">
        <f t="shared" si="26"/>
        <v>0</v>
      </c>
      <c r="BH33" s="6">
        <f t="shared" si="26"/>
        <v>0</v>
      </c>
      <c r="BI33" s="6">
        <f t="shared" si="26"/>
        <v>0</v>
      </c>
      <c r="BJ33" s="6">
        <f t="shared" si="26"/>
        <v>0</v>
      </c>
      <c r="BK33" s="6">
        <f t="shared" si="26"/>
        <v>0</v>
      </c>
      <c r="BL33" s="6">
        <f t="shared" si="26"/>
        <v>0</v>
      </c>
      <c r="BM33" s="6">
        <f t="shared" si="26"/>
        <v>0</v>
      </c>
      <c r="BN33" s="6">
        <f t="shared" si="26"/>
        <v>0</v>
      </c>
      <c r="BO33" s="6">
        <f t="shared" si="26"/>
        <v>0</v>
      </c>
      <c r="BP33" s="6">
        <f t="shared" si="26"/>
        <v>0</v>
      </c>
      <c r="BQ33" s="6">
        <f t="shared" si="26"/>
        <v>0</v>
      </c>
      <c r="BR33" s="6">
        <f t="shared" si="26"/>
        <v>0</v>
      </c>
      <c r="BS33" s="6">
        <f t="shared" si="26"/>
        <v>0</v>
      </c>
      <c r="BT33" s="6">
        <f t="shared" si="27"/>
        <v>0</v>
      </c>
      <c r="BU33" s="6">
        <f t="shared" si="27"/>
        <v>0</v>
      </c>
      <c r="BV33" s="6">
        <f t="shared" si="27"/>
        <v>0</v>
      </c>
      <c r="BW33" s="6">
        <f t="shared" si="27"/>
        <v>0</v>
      </c>
      <c r="BX33" s="6">
        <f t="shared" si="28"/>
        <v>0</v>
      </c>
      <c r="BY33" s="6">
        <f t="shared" si="28"/>
        <v>0</v>
      </c>
      <c r="BZ33" s="6">
        <f t="shared" si="28"/>
        <v>0</v>
      </c>
      <c r="CA33" s="6">
        <f t="shared" si="28"/>
        <v>0</v>
      </c>
      <c r="CB33" s="6">
        <f t="shared" si="28"/>
        <v>0</v>
      </c>
      <c r="CC33" s="6">
        <f t="shared" si="28"/>
        <v>0</v>
      </c>
      <c r="CD33" s="6">
        <f t="shared" si="28"/>
        <v>0</v>
      </c>
      <c r="CE33" s="6">
        <f t="shared" si="28"/>
        <v>0</v>
      </c>
      <c r="CF33" s="6">
        <f t="shared" si="28"/>
        <v>0</v>
      </c>
      <c r="CG33" s="6">
        <f t="shared" si="28"/>
        <v>0</v>
      </c>
      <c r="CH33" s="6">
        <f t="shared" si="28"/>
        <v>0</v>
      </c>
      <c r="CI33" s="6">
        <f t="shared" si="28"/>
        <v>0</v>
      </c>
      <c r="CJ33" s="287"/>
      <c r="CK33" s="287"/>
      <c r="CL33" s="287"/>
    </row>
    <row r="34" spans="1:90">
      <c r="A34" s="2">
        <v>24</v>
      </c>
      <c r="B34" s="21" t="s">
        <v>53</v>
      </c>
      <c r="C34" s="21"/>
      <c r="D34" s="20">
        <f t="shared" ref="D34:AI34" si="29">D31+D32+D33</f>
        <v>15877.684700000002</v>
      </c>
      <c r="E34" s="20">
        <f t="shared" si="29"/>
        <v>21616.8976</v>
      </c>
      <c r="F34" s="20">
        <f t="shared" si="29"/>
        <v>19783.6505</v>
      </c>
      <c r="G34" s="20">
        <f t="shared" si="29"/>
        <v>23476.986699999994</v>
      </c>
      <c r="H34" s="20">
        <f t="shared" si="29"/>
        <v>43374.445699999997</v>
      </c>
      <c r="I34" s="20">
        <f t="shared" si="29"/>
        <v>72466.311500000011</v>
      </c>
      <c r="J34" s="20">
        <f t="shared" si="29"/>
        <v>122214.24679999999</v>
      </c>
      <c r="K34" s="20">
        <f t="shared" si="29"/>
        <v>112514.85390000002</v>
      </c>
      <c r="L34" s="20">
        <f t="shared" si="29"/>
        <v>68008.585699999996</v>
      </c>
      <c r="M34" s="20">
        <f t="shared" si="29"/>
        <v>48282.486399999994</v>
      </c>
      <c r="N34" s="20">
        <f t="shared" si="29"/>
        <v>53748.832999999999</v>
      </c>
      <c r="O34" s="20">
        <f t="shared" si="29"/>
        <v>18116.6551</v>
      </c>
      <c r="P34" s="20">
        <f t="shared" si="29"/>
        <v>15877.684700000002</v>
      </c>
      <c r="Q34" s="20">
        <f t="shared" si="29"/>
        <v>21616.8976</v>
      </c>
      <c r="R34" s="20">
        <f t="shared" si="29"/>
        <v>19783.6505</v>
      </c>
      <c r="S34" s="20">
        <f t="shared" si="29"/>
        <v>23476.986699999994</v>
      </c>
      <c r="T34" s="20">
        <f t="shared" si="29"/>
        <v>43374.445699999997</v>
      </c>
      <c r="U34" s="20">
        <f t="shared" si="29"/>
        <v>72466.311500000011</v>
      </c>
      <c r="V34" s="20">
        <f t="shared" si="29"/>
        <v>122214.24679999999</v>
      </c>
      <c r="W34" s="20">
        <f t="shared" si="29"/>
        <v>112514.85390000002</v>
      </c>
      <c r="X34" s="20">
        <f t="shared" si="29"/>
        <v>68008.585699999996</v>
      </c>
      <c r="Y34" s="20">
        <f t="shared" si="29"/>
        <v>48282.486399999994</v>
      </c>
      <c r="Z34" s="20">
        <f t="shared" si="29"/>
        <v>53748.832999999999</v>
      </c>
      <c r="AA34" s="20">
        <f t="shared" si="29"/>
        <v>18116.6551</v>
      </c>
      <c r="AB34" s="20">
        <f t="shared" si="29"/>
        <v>15877.684700000002</v>
      </c>
      <c r="AC34" s="20">
        <f t="shared" si="29"/>
        <v>21616.8976</v>
      </c>
      <c r="AD34" s="20">
        <f t="shared" si="29"/>
        <v>19783.6505</v>
      </c>
      <c r="AE34" s="20">
        <f t="shared" si="29"/>
        <v>23476.986699999994</v>
      </c>
      <c r="AF34" s="20">
        <f t="shared" si="29"/>
        <v>43374.445699999997</v>
      </c>
      <c r="AG34" s="20">
        <f t="shared" si="29"/>
        <v>72466.311500000011</v>
      </c>
      <c r="AH34" s="20">
        <f t="shared" si="29"/>
        <v>122214.24679999999</v>
      </c>
      <c r="AI34" s="20">
        <f t="shared" si="29"/>
        <v>112514.85390000002</v>
      </c>
      <c r="AJ34" s="20">
        <f t="shared" ref="AJ34:BW34" si="30">AJ31+AJ32+AJ33</f>
        <v>68008.585699999996</v>
      </c>
      <c r="AK34" s="20">
        <f t="shared" si="30"/>
        <v>48282.486399999994</v>
      </c>
      <c r="AL34" s="20">
        <f t="shared" si="30"/>
        <v>53748.832999999999</v>
      </c>
      <c r="AM34" s="20">
        <f t="shared" si="30"/>
        <v>18116.6551</v>
      </c>
      <c r="AN34" s="20">
        <f t="shared" si="30"/>
        <v>15877.684700000002</v>
      </c>
      <c r="AO34" s="20">
        <f t="shared" si="30"/>
        <v>21616.8976</v>
      </c>
      <c r="AP34" s="20">
        <f t="shared" si="30"/>
        <v>19783.6505</v>
      </c>
      <c r="AQ34" s="20">
        <f t="shared" si="30"/>
        <v>23476.986699999994</v>
      </c>
      <c r="AR34" s="20">
        <f t="shared" si="30"/>
        <v>43374.445699999997</v>
      </c>
      <c r="AS34" s="20">
        <f t="shared" si="30"/>
        <v>72466.311500000011</v>
      </c>
      <c r="AT34" s="20">
        <f t="shared" si="30"/>
        <v>122214.24679999999</v>
      </c>
      <c r="AU34" s="20">
        <f t="shared" si="30"/>
        <v>112514.85390000002</v>
      </c>
      <c r="AV34" s="20">
        <f t="shared" si="30"/>
        <v>68008.585699999996</v>
      </c>
      <c r="AW34" s="20">
        <f t="shared" si="30"/>
        <v>48282.486399999994</v>
      </c>
      <c r="AX34" s="20">
        <f t="shared" si="30"/>
        <v>53748.832999999999</v>
      </c>
      <c r="AY34" s="20">
        <f t="shared" si="30"/>
        <v>18116.6551</v>
      </c>
      <c r="AZ34" s="20">
        <f t="shared" si="30"/>
        <v>15877.684700000002</v>
      </c>
      <c r="BA34" s="20">
        <f t="shared" si="30"/>
        <v>21616.8976</v>
      </c>
      <c r="BB34" s="20">
        <f t="shared" si="30"/>
        <v>19783.6505</v>
      </c>
      <c r="BC34" s="20">
        <f t="shared" si="30"/>
        <v>23476.986699999994</v>
      </c>
      <c r="BD34" s="20">
        <f t="shared" si="30"/>
        <v>43374.445699999997</v>
      </c>
      <c r="BE34" s="20">
        <f t="shared" si="30"/>
        <v>72466.311500000011</v>
      </c>
      <c r="BF34" s="20">
        <f t="shared" si="30"/>
        <v>122214.24679999999</v>
      </c>
      <c r="BG34" s="20">
        <f t="shared" si="30"/>
        <v>112514.85390000002</v>
      </c>
      <c r="BH34" s="20">
        <f t="shared" si="30"/>
        <v>68008.585699999996</v>
      </c>
      <c r="BI34" s="20">
        <f t="shared" si="30"/>
        <v>48282.486399999994</v>
      </c>
      <c r="BJ34" s="20">
        <f t="shared" si="30"/>
        <v>53748.832999999999</v>
      </c>
      <c r="BK34" s="20">
        <f t="shared" si="30"/>
        <v>18116.6551</v>
      </c>
      <c r="BL34" s="20">
        <f t="shared" si="30"/>
        <v>15877.684700000002</v>
      </c>
      <c r="BM34" s="20">
        <f t="shared" si="30"/>
        <v>21616.8976</v>
      </c>
      <c r="BN34" s="20">
        <f t="shared" si="30"/>
        <v>19783.6505</v>
      </c>
      <c r="BO34" s="20">
        <f t="shared" si="30"/>
        <v>23476.986699999994</v>
      </c>
      <c r="BP34" s="20">
        <f t="shared" si="30"/>
        <v>43374.445699999997</v>
      </c>
      <c r="BQ34" s="20">
        <f t="shared" si="30"/>
        <v>72466.311500000011</v>
      </c>
      <c r="BR34" s="20">
        <f t="shared" si="30"/>
        <v>122214.24679999999</v>
      </c>
      <c r="BS34" s="20">
        <f t="shared" si="30"/>
        <v>112514.85390000002</v>
      </c>
      <c r="BT34" s="20">
        <f t="shared" si="30"/>
        <v>68008.585699999996</v>
      </c>
      <c r="BU34" s="20">
        <f t="shared" si="30"/>
        <v>48282.486399999994</v>
      </c>
      <c r="BV34" s="20">
        <f t="shared" si="30"/>
        <v>53748.832999999999</v>
      </c>
      <c r="BW34" s="20">
        <f t="shared" si="30"/>
        <v>18116.6551</v>
      </c>
      <c r="BX34" s="20">
        <f t="shared" ref="BX34:CI34" si="31">BX31+BX32+BX33</f>
        <v>15877.684700000002</v>
      </c>
      <c r="BY34" s="20">
        <f t="shared" si="31"/>
        <v>21616.8976</v>
      </c>
      <c r="BZ34" s="20">
        <f t="shared" si="31"/>
        <v>19783.6505</v>
      </c>
      <c r="CA34" s="20">
        <f t="shared" si="31"/>
        <v>23476.986699999994</v>
      </c>
      <c r="CB34" s="20">
        <f t="shared" si="31"/>
        <v>43374.445699999997</v>
      </c>
      <c r="CC34" s="20">
        <f t="shared" si="31"/>
        <v>72466.311500000011</v>
      </c>
      <c r="CD34" s="20">
        <f t="shared" si="31"/>
        <v>122214.24679999999</v>
      </c>
      <c r="CE34" s="20">
        <f t="shared" si="31"/>
        <v>112514.85390000002</v>
      </c>
      <c r="CF34" s="20">
        <f t="shared" si="31"/>
        <v>68008.585699999996</v>
      </c>
      <c r="CG34" s="20">
        <f t="shared" si="31"/>
        <v>48282.486399999994</v>
      </c>
      <c r="CH34" s="20">
        <f t="shared" si="31"/>
        <v>53748.832999999999</v>
      </c>
      <c r="CI34" s="20">
        <f t="shared" si="31"/>
        <v>18116.6551</v>
      </c>
      <c r="CJ34" s="288"/>
      <c r="CK34" s="288"/>
      <c r="CL34" s="288"/>
    </row>
    <row r="35" spans="1:90">
      <c r="A35" s="2">
        <v>25</v>
      </c>
      <c r="B35" s="2" t="s">
        <v>196</v>
      </c>
      <c r="D35" s="11">
        <f>D26</f>
        <v>4.3225999999999996</v>
      </c>
      <c r="E35" s="11">
        <f t="shared" ref="E35:P35" si="32">E26</f>
        <v>3.2031999999999998</v>
      </c>
      <c r="F35" s="11">
        <f t="shared" si="32"/>
        <v>3.2031999999999998</v>
      </c>
      <c r="G35" s="11">
        <f t="shared" si="32"/>
        <v>3.2031999999999998</v>
      </c>
      <c r="H35" s="11">
        <f t="shared" si="32"/>
        <v>3.8712</v>
      </c>
      <c r="I35" s="11">
        <f t="shared" si="32"/>
        <v>3.8712</v>
      </c>
      <c r="J35" s="11">
        <f t="shared" si="32"/>
        <v>3.8712</v>
      </c>
      <c r="K35" s="11">
        <f t="shared" si="32"/>
        <v>3.5292000000000003</v>
      </c>
      <c r="L35" s="11">
        <f t="shared" si="32"/>
        <v>3.5292000000000003</v>
      </c>
      <c r="M35" s="11">
        <f t="shared" si="32"/>
        <v>3.5292000000000003</v>
      </c>
      <c r="N35" s="11">
        <f t="shared" si="32"/>
        <v>3.2274000000000003</v>
      </c>
      <c r="O35" s="11">
        <f t="shared" si="32"/>
        <v>3.2274000000000003</v>
      </c>
      <c r="P35" s="11">
        <f t="shared" si="32"/>
        <v>3.2274000000000003</v>
      </c>
      <c r="Q35" s="11">
        <f t="shared" ref="Q35:BW35" si="33">Q26</f>
        <v>4.0815000000000001</v>
      </c>
      <c r="R35" s="11">
        <f t="shared" si="33"/>
        <v>4.0815000000000001</v>
      </c>
      <c r="S35" s="11">
        <f t="shared" si="33"/>
        <v>4.0815000000000001</v>
      </c>
      <c r="T35" s="11">
        <f t="shared" si="33"/>
        <v>3.2488557934427784</v>
      </c>
      <c r="U35" s="11">
        <f t="shared" si="33"/>
        <v>3.2488557934427784</v>
      </c>
      <c r="V35" s="11">
        <f t="shared" si="33"/>
        <v>3.2488557934427784</v>
      </c>
      <c r="W35" s="11">
        <f t="shared" si="33"/>
        <v>4.5812916609737586</v>
      </c>
      <c r="X35" s="11">
        <f t="shared" si="33"/>
        <v>4.5812916609737586</v>
      </c>
      <c r="Y35" s="11">
        <f t="shared" si="33"/>
        <v>4.5812916609737586</v>
      </c>
      <c r="Z35" s="11">
        <f t="shared" si="33"/>
        <v>4.9331682240840156</v>
      </c>
      <c r="AA35" s="11">
        <f t="shared" si="33"/>
        <v>4.9331682240840156</v>
      </c>
      <c r="AB35" s="11">
        <f t="shared" si="33"/>
        <v>4.9331682240840156</v>
      </c>
      <c r="AC35" s="11">
        <f t="shared" si="33"/>
        <v>5.2989478814284547</v>
      </c>
      <c r="AD35" s="11">
        <f t="shared" si="33"/>
        <v>5.2989478814284547</v>
      </c>
      <c r="AE35" s="11">
        <f t="shared" si="33"/>
        <v>5.2989478814284547</v>
      </c>
      <c r="AF35" s="11">
        <f t="shared" si="33"/>
        <v>5.329817872818098</v>
      </c>
      <c r="AG35" s="11">
        <f t="shared" si="33"/>
        <v>5.329817872818098</v>
      </c>
      <c r="AH35" s="11">
        <f t="shared" si="33"/>
        <v>5.329817872818098</v>
      </c>
      <c r="AI35" s="11">
        <f t="shared" si="33"/>
        <v>4.8926337200932446</v>
      </c>
      <c r="AJ35" s="11">
        <f t="shared" si="33"/>
        <v>4.8926337200932446</v>
      </c>
      <c r="AK35" s="11">
        <f t="shared" si="33"/>
        <v>4.8926337200932446</v>
      </c>
      <c r="AL35" s="11">
        <f t="shared" si="33"/>
        <v>5.2942237383950923</v>
      </c>
      <c r="AM35" s="11">
        <f t="shared" si="33"/>
        <v>5.2942237383950923</v>
      </c>
      <c r="AN35" s="11">
        <f t="shared" si="33"/>
        <v>5.2942237383950923</v>
      </c>
      <c r="AO35" s="11">
        <f t="shared" si="33"/>
        <v>5.5154857501809937</v>
      </c>
      <c r="AP35" s="11">
        <f t="shared" si="33"/>
        <v>5.5154857501809937</v>
      </c>
      <c r="AQ35" s="11">
        <f t="shared" si="33"/>
        <v>5.5154857501809937</v>
      </c>
      <c r="AR35" s="11">
        <f t="shared" si="33"/>
        <v>5.5193777878303756</v>
      </c>
      <c r="AS35" s="11">
        <f t="shared" si="33"/>
        <v>5.5193777878303756</v>
      </c>
      <c r="AT35" s="11">
        <f t="shared" si="33"/>
        <v>5.5193777878303756</v>
      </c>
      <c r="AU35" s="11">
        <f t="shared" si="33"/>
        <v>5.0393774049891711</v>
      </c>
      <c r="AV35" s="11">
        <f t="shared" si="33"/>
        <v>5.0393774049891711</v>
      </c>
      <c r="AW35" s="11">
        <f t="shared" si="33"/>
        <v>5.0393774049891711</v>
      </c>
      <c r="AX35" s="11">
        <f t="shared" si="33"/>
        <v>5.2575068685197071</v>
      </c>
      <c r="AY35" s="11">
        <f t="shared" si="33"/>
        <v>5.2575068685197071</v>
      </c>
      <c r="AZ35" s="11">
        <f t="shared" si="33"/>
        <v>5.2575068685197071</v>
      </c>
      <c r="BA35" s="11">
        <f t="shared" si="33"/>
        <v>5.4807109052526153</v>
      </c>
      <c r="BB35" s="11">
        <f t="shared" si="33"/>
        <v>5.4807109052526153</v>
      </c>
      <c r="BC35" s="11">
        <f t="shared" si="33"/>
        <v>5.4807109052526153</v>
      </c>
      <c r="BD35" s="11">
        <f t="shared" si="33"/>
        <v>5.5030405335494681</v>
      </c>
      <c r="BE35" s="11">
        <f t="shared" si="33"/>
        <v>5.5030405335494681</v>
      </c>
      <c r="BF35" s="11">
        <f t="shared" si="33"/>
        <v>5.5030405335494681</v>
      </c>
      <c r="BG35" s="11">
        <f t="shared" si="33"/>
        <v>5.0068251804991943</v>
      </c>
      <c r="BH35" s="11">
        <f t="shared" si="33"/>
        <v>5.0068251804991943</v>
      </c>
      <c r="BI35" s="11">
        <f t="shared" si="33"/>
        <v>5.0068251804991943</v>
      </c>
      <c r="BJ35" s="11">
        <f t="shared" si="33"/>
        <v>5.1605900652510286</v>
      </c>
      <c r="BK35" s="11">
        <f t="shared" si="33"/>
        <v>5.1605900652510286</v>
      </c>
      <c r="BL35" s="11">
        <f t="shared" si="33"/>
        <v>5.1605900652510286</v>
      </c>
      <c r="BM35" s="11">
        <f t="shared" si="33"/>
        <v>5.3918447061691781</v>
      </c>
      <c r="BN35" s="11">
        <f t="shared" si="33"/>
        <v>5.3918447061691781</v>
      </c>
      <c r="BO35" s="11">
        <f t="shared" si="33"/>
        <v>5.3918447061691781</v>
      </c>
      <c r="BP35" s="11">
        <f t="shared" si="33"/>
        <v>5.4421044849788194</v>
      </c>
      <c r="BQ35" s="11">
        <f t="shared" si="33"/>
        <v>5.4421044849788194</v>
      </c>
      <c r="BR35" s="11">
        <f t="shared" si="33"/>
        <v>5.4421044849788194</v>
      </c>
      <c r="BS35" s="11">
        <f t="shared" si="33"/>
        <v>4.9566474120420656</v>
      </c>
      <c r="BT35" s="11">
        <f t="shared" si="33"/>
        <v>4.9566474120420656</v>
      </c>
      <c r="BU35" s="11">
        <f t="shared" si="33"/>
        <v>4.9566474120420656</v>
      </c>
      <c r="BV35" s="11">
        <f t="shared" si="33"/>
        <v>5.1409863183259938</v>
      </c>
      <c r="BW35" s="11">
        <f t="shared" si="33"/>
        <v>5.1409863183259938</v>
      </c>
      <c r="BX35" s="11">
        <f t="shared" ref="BX35:CI35" si="34">BX26</f>
        <v>5.1409863183259938</v>
      </c>
      <c r="BY35" s="11">
        <f t="shared" si="34"/>
        <v>5.3835560455584055</v>
      </c>
      <c r="BZ35" s="11">
        <f t="shared" si="34"/>
        <v>5.3835560455584055</v>
      </c>
      <c r="CA35" s="11">
        <f t="shared" si="34"/>
        <v>5.3835560455584055</v>
      </c>
      <c r="CB35" s="11">
        <f t="shared" si="34"/>
        <v>5.3747965077238442</v>
      </c>
      <c r="CC35" s="11">
        <f t="shared" si="34"/>
        <v>5.3747965077238442</v>
      </c>
      <c r="CD35" s="11">
        <f t="shared" si="34"/>
        <v>5.3747965077238442</v>
      </c>
      <c r="CE35" s="11">
        <f t="shared" si="34"/>
        <v>7.858832250491564</v>
      </c>
      <c r="CF35" s="11">
        <f t="shared" si="34"/>
        <v>7.858832250491564</v>
      </c>
      <c r="CG35" s="11">
        <f t="shared" si="34"/>
        <v>7.858832250491564</v>
      </c>
      <c r="CH35" s="11">
        <f t="shared" si="34"/>
        <v>7.9841447259155158</v>
      </c>
      <c r="CI35" s="11">
        <f t="shared" si="34"/>
        <v>7.9841447259155158</v>
      </c>
      <c r="CJ35" s="289"/>
      <c r="CK35" s="289"/>
      <c r="CL35" s="289"/>
    </row>
    <row r="36" spans="1:90">
      <c r="A36" s="2">
        <v>26</v>
      </c>
      <c r="B36" s="2" t="s">
        <v>188</v>
      </c>
      <c r="D36" s="3">
        <f t="shared" ref="D36:AI36" si="35">D35*D34</f>
        <v>68632.879884220005</v>
      </c>
      <c r="E36" s="3">
        <f t="shared" si="35"/>
        <v>69243.246392319998</v>
      </c>
      <c r="F36" s="3">
        <f t="shared" si="35"/>
        <v>63370.989281599999</v>
      </c>
      <c r="G36" s="3">
        <f t="shared" si="35"/>
        <v>75201.483797439971</v>
      </c>
      <c r="H36" s="3">
        <f t="shared" si="35"/>
        <v>167911.15419383999</v>
      </c>
      <c r="I36" s="3">
        <f t="shared" si="35"/>
        <v>280531.58507880004</v>
      </c>
      <c r="J36" s="3">
        <f t="shared" si="35"/>
        <v>473115.79221215995</v>
      </c>
      <c r="K36" s="3">
        <f t="shared" si="35"/>
        <v>397087.42238388007</v>
      </c>
      <c r="L36" s="3">
        <f t="shared" si="35"/>
        <v>240015.90065244</v>
      </c>
      <c r="M36" s="3">
        <f t="shared" si="35"/>
        <v>170398.55100288001</v>
      </c>
      <c r="N36" s="3">
        <f t="shared" si="35"/>
        <v>173468.98362420002</v>
      </c>
      <c r="O36" s="3">
        <f t="shared" si="35"/>
        <v>58469.692669740005</v>
      </c>
      <c r="P36" s="3">
        <f t="shared" si="35"/>
        <v>51243.639600780007</v>
      </c>
      <c r="Q36" s="3">
        <f t="shared" si="35"/>
        <v>88229.3675544</v>
      </c>
      <c r="R36" s="3">
        <f t="shared" si="35"/>
        <v>80746.969515749995</v>
      </c>
      <c r="S36" s="3">
        <f t="shared" si="35"/>
        <v>95821.321216049982</v>
      </c>
      <c r="T36" s="3">
        <f t="shared" si="35"/>
        <v>140917.3191998142</v>
      </c>
      <c r="U36" s="3">
        <f t="shared" si="35"/>
        <v>235432.59594620406</v>
      </c>
      <c r="V36" s="3">
        <f t="shared" si="35"/>
        <v>397056.46375742555</v>
      </c>
      <c r="W36" s="3">
        <f t="shared" si="35"/>
        <v>515463.36190775083</v>
      </c>
      <c r="X36" s="3">
        <f t="shared" si="35"/>
        <v>311567.16654202918</v>
      </c>
      <c r="Y36" s="28">
        <f t="shared" si="35"/>
        <v>221196.15231539888</v>
      </c>
      <c r="Z36" s="28">
        <f t="shared" si="35"/>
        <v>265152.03503719834</v>
      </c>
      <c r="AA36" s="28">
        <f t="shared" si="35"/>
        <v>89372.507266009619</v>
      </c>
      <c r="AB36" s="28">
        <f t="shared" si="35"/>
        <v>78327.28963406496</v>
      </c>
      <c r="AC36" s="28">
        <f t="shared" si="35"/>
        <v>114546.81374057585</v>
      </c>
      <c r="AD36" s="28">
        <f t="shared" si="35"/>
        <v>104832.53290389599</v>
      </c>
      <c r="AE36" s="28">
        <f t="shared" si="35"/>
        <v>124403.32893628898</v>
      </c>
      <c r="AF36" s="28">
        <f t="shared" si="35"/>
        <v>231177.89591543807</v>
      </c>
      <c r="AG36" s="28">
        <f t="shared" si="35"/>
        <v>386232.24220990372</v>
      </c>
      <c r="AH36" s="28">
        <f t="shared" si="35"/>
        <v>651379.67690764205</v>
      </c>
      <c r="AI36" s="28">
        <f t="shared" si="35"/>
        <v>550493.96820250503</v>
      </c>
      <c r="AJ36" s="28">
        <f t="shared" ref="AJ36:BW36" si="36">AJ35*AJ34</f>
        <v>332741.09965167119</v>
      </c>
      <c r="AK36" s="3">
        <f t="shared" si="36"/>
        <v>236228.52105058345</v>
      </c>
      <c r="AL36" s="3">
        <f t="shared" si="36"/>
        <v>284558.34757963353</v>
      </c>
      <c r="AM36" s="3">
        <f t="shared" si="36"/>
        <v>95913.625490736507</v>
      </c>
      <c r="AN36" s="3">
        <f t="shared" si="36"/>
        <v>84060.015249492571</v>
      </c>
      <c r="AO36" s="3">
        <f t="shared" si="36"/>
        <v>119227.69067592172</v>
      </c>
      <c r="AP36" s="3">
        <f t="shared" si="36"/>
        <v>109116.44241931109</v>
      </c>
      <c r="AQ36" s="3">
        <f t="shared" si="36"/>
        <v>129486.98560103869</v>
      </c>
      <c r="AR36" s="3">
        <f t="shared" si="36"/>
        <v>239399.95215603473</v>
      </c>
      <c r="AS36" s="3">
        <f t="shared" si="36"/>
        <v>399968.95005909697</v>
      </c>
      <c r="AT36" s="3">
        <f t="shared" si="36"/>
        <v>674546.59914433956</v>
      </c>
      <c r="AU36" s="3">
        <f t="shared" si="36"/>
        <v>567004.81246931781</v>
      </c>
      <c r="AV36" s="3">
        <f t="shared" si="36"/>
        <v>342720.93012184964</v>
      </c>
      <c r="AW36" s="3">
        <f t="shared" si="36"/>
        <v>243313.67102085691</v>
      </c>
      <c r="AX36" s="3">
        <f t="shared" si="36"/>
        <v>282584.85867241869</v>
      </c>
      <c r="AY36" s="3">
        <f t="shared" si="36"/>
        <v>95248.438622852584</v>
      </c>
      <c r="AZ36" s="3">
        <f t="shared" si="36"/>
        <v>83477.036366440268</v>
      </c>
      <c r="BA36" s="3">
        <f t="shared" si="36"/>
        <v>118475.96641404909</v>
      </c>
      <c r="BB36" s="3">
        <f t="shared" si="36"/>
        <v>108428.46904105635</v>
      </c>
      <c r="BC36" s="3">
        <f t="shared" si="36"/>
        <v>128670.57702916057</v>
      </c>
      <c r="BD36" s="3">
        <f t="shared" si="36"/>
        <v>238691.33280734043</v>
      </c>
      <c r="BE36" s="3">
        <f t="shared" si="36"/>
        <v>398785.04950132204</v>
      </c>
      <c r="BF36" s="3">
        <f t="shared" si="36"/>
        <v>672549.95391761838</v>
      </c>
      <c r="BG36" s="3">
        <f t="shared" si="36"/>
        <v>563342.20368670812</v>
      </c>
      <c r="BH36" s="3">
        <f t="shared" si="36"/>
        <v>340507.09937289741</v>
      </c>
      <c r="BI36" s="3">
        <f t="shared" si="36"/>
        <v>241741.96868462986</v>
      </c>
      <c r="BJ36" s="3">
        <f t="shared" si="36"/>
        <v>277375.69359863666</v>
      </c>
      <c r="BK36" s="3">
        <f t="shared" si="36"/>
        <v>93492.63032463938</v>
      </c>
      <c r="BL36" s="3">
        <f t="shared" si="36"/>
        <v>81938.221922008262</v>
      </c>
      <c r="BM36" s="3">
        <f t="shared" si="36"/>
        <v>116554.95488836122</v>
      </c>
      <c r="BN36" s="3">
        <f t="shared" si="36"/>
        <v>106670.37121712622</v>
      </c>
      <c r="BO36" s="3">
        <f t="shared" si="36"/>
        <v>126584.26645519918</v>
      </c>
      <c r="BP36" s="3">
        <f t="shared" si="36"/>
        <v>236048.26547744026</v>
      </c>
      <c r="BQ36" s="3">
        <f t="shared" si="36"/>
        <v>394369.23882402224</v>
      </c>
      <c r="BR36" s="3">
        <f t="shared" si="36"/>
        <v>665102.70063858829</v>
      </c>
      <c r="BS36" s="3">
        <f t="shared" si="36"/>
        <v>557696.45939972624</v>
      </c>
      <c r="BT36" s="3">
        <f t="shared" si="36"/>
        <v>337094.58030654601</v>
      </c>
      <c r="BU36" s="3">
        <f t="shared" si="36"/>
        <v>239319.26126151619</v>
      </c>
      <c r="BV36" s="3">
        <f t="shared" si="36"/>
        <v>276322.01507898868</v>
      </c>
      <c r="BW36" s="3">
        <f t="shared" si="36"/>
        <v>93137.476002930838</v>
      </c>
      <c r="BX36" s="3">
        <f t="shared" ref="BX36:CI36" si="37">BX35*BX34</f>
        <v>81626.959809393971</v>
      </c>
      <c r="BY36" s="3">
        <f t="shared" si="37"/>
        <v>116375.77976069698</v>
      </c>
      <c r="BZ36" s="3">
        <f t="shared" si="37"/>
        <v>106506.39125248957</v>
      </c>
      <c r="CA36" s="3">
        <f t="shared" si="37"/>
        <v>126389.67368027924</v>
      </c>
      <c r="CB36" s="3">
        <f t="shared" si="37"/>
        <v>233128.81927281749</v>
      </c>
      <c r="CC36" s="3">
        <f t="shared" si="37"/>
        <v>389491.67797782831</v>
      </c>
      <c r="CD36" s="3">
        <f t="shared" si="37"/>
        <v>656876.70689474</v>
      </c>
      <c r="CE36" s="3">
        <f t="shared" si="37"/>
        <v>884235.36248866667</v>
      </c>
      <c r="CF36" s="3">
        <f t="shared" si="37"/>
        <v>534468.06660947937</v>
      </c>
      <c r="CG36" s="3">
        <f t="shared" si="37"/>
        <v>379443.9612542403</v>
      </c>
      <c r="CH36" s="3">
        <f t="shared" si="37"/>
        <v>429138.46152106381</v>
      </c>
      <c r="CI36" s="3">
        <f t="shared" si="37"/>
        <v>144645.99626789542</v>
      </c>
      <c r="CJ36" s="286"/>
      <c r="CK36" s="286"/>
      <c r="CL36" s="286"/>
    </row>
    <row r="37" spans="1:90">
      <c r="A37" s="2">
        <v>27</v>
      </c>
      <c r="Y37" s="77"/>
    </row>
    <row r="38" spans="1:90">
      <c r="A38" s="2">
        <v>28</v>
      </c>
      <c r="B38" s="23" t="s">
        <v>56</v>
      </c>
      <c r="C38" s="13"/>
      <c r="D38" s="50">
        <f t="shared" ref="D38:BO38" si="38">D39*$C$30+D40*$C$31+D41*$C$32+D42*$C$33</f>
        <v>134369.27134303504</v>
      </c>
      <c r="E38" s="50">
        <f t="shared" si="38"/>
        <v>134662.91799551688</v>
      </c>
      <c r="F38" s="50">
        <f t="shared" si="38"/>
        <v>136292.81380518057</v>
      </c>
      <c r="G38" s="50">
        <f t="shared" si="38"/>
        <v>152710.23816017646</v>
      </c>
      <c r="H38" s="50">
        <f t="shared" si="38"/>
        <v>222737.48146009745</v>
      </c>
      <c r="I38" s="50">
        <f t="shared" si="38"/>
        <v>294189.55237250286</v>
      </c>
      <c r="J38" s="50">
        <f t="shared" si="38"/>
        <v>326569.95819705608</v>
      </c>
      <c r="K38" s="50">
        <f t="shared" si="38"/>
        <v>341394.85353320831</v>
      </c>
      <c r="L38" s="50">
        <f t="shared" si="38"/>
        <v>277957.98794074007</v>
      </c>
      <c r="M38" s="50">
        <f t="shared" si="38"/>
        <v>219639.18656260933</v>
      </c>
      <c r="N38" s="50">
        <f t="shared" si="38"/>
        <v>167990.47939980321</v>
      </c>
      <c r="O38" s="50">
        <f t="shared" si="38"/>
        <v>136710.06063752872</v>
      </c>
      <c r="P38" s="50">
        <f t="shared" si="38"/>
        <v>134369.27134303504</v>
      </c>
      <c r="Q38" s="50">
        <f t="shared" si="38"/>
        <v>134662.91799551688</v>
      </c>
      <c r="R38" s="50">
        <f t="shared" si="38"/>
        <v>136292.81380518057</v>
      </c>
      <c r="S38" s="50">
        <f t="shared" si="38"/>
        <v>152710.23816017646</v>
      </c>
      <c r="T38" s="50">
        <f t="shared" si="38"/>
        <v>222737.48146009745</v>
      </c>
      <c r="U38" s="50">
        <f t="shared" si="38"/>
        <v>294189.55237250286</v>
      </c>
      <c r="V38" s="50">
        <f t="shared" si="38"/>
        <v>326569.95819705608</v>
      </c>
      <c r="W38" s="50">
        <f t="shared" si="38"/>
        <v>341394.85353320831</v>
      </c>
      <c r="X38" s="50">
        <f t="shared" si="38"/>
        <v>277957.98794074007</v>
      </c>
      <c r="Y38" s="50">
        <f t="shared" si="38"/>
        <v>219639.18656260933</v>
      </c>
      <c r="Z38" s="50">
        <f t="shared" si="38"/>
        <v>167990.47939980321</v>
      </c>
      <c r="AA38" s="50">
        <f t="shared" si="38"/>
        <v>136710.06063752872</v>
      </c>
      <c r="AB38" s="50">
        <f t="shared" si="38"/>
        <v>134369.27134303504</v>
      </c>
      <c r="AC38" s="50">
        <f t="shared" si="38"/>
        <v>134662.91799551688</v>
      </c>
      <c r="AD38" s="50">
        <f t="shared" si="38"/>
        <v>136292.81380518057</v>
      </c>
      <c r="AE38" s="50">
        <f t="shared" si="38"/>
        <v>152710.23816017646</v>
      </c>
      <c r="AF38" s="50">
        <f t="shared" si="38"/>
        <v>222737.48146009745</v>
      </c>
      <c r="AG38" s="50">
        <f t="shared" si="38"/>
        <v>294189.55237250286</v>
      </c>
      <c r="AH38" s="50">
        <f t="shared" si="38"/>
        <v>326569.95819705608</v>
      </c>
      <c r="AI38" s="50">
        <f t="shared" si="38"/>
        <v>341394.85353320831</v>
      </c>
      <c r="AJ38" s="50">
        <f t="shared" si="38"/>
        <v>277957.98794074007</v>
      </c>
      <c r="AK38" s="50">
        <f t="shared" si="38"/>
        <v>219639.18656260933</v>
      </c>
      <c r="AL38" s="50">
        <f t="shared" si="38"/>
        <v>167990.47939980321</v>
      </c>
      <c r="AM38" s="50">
        <f t="shared" si="38"/>
        <v>136710.06063752872</v>
      </c>
      <c r="AN38" s="50">
        <f t="shared" si="38"/>
        <v>134369.27134303504</v>
      </c>
      <c r="AO38" s="50">
        <f t="shared" si="38"/>
        <v>134662.91799551688</v>
      </c>
      <c r="AP38" s="50">
        <f t="shared" si="38"/>
        <v>136292.81380518057</v>
      </c>
      <c r="AQ38" s="50">
        <f t="shared" si="38"/>
        <v>152710.23816017646</v>
      </c>
      <c r="AR38" s="50">
        <f t="shared" si="38"/>
        <v>222737.48146009745</v>
      </c>
      <c r="AS38" s="50">
        <f t="shared" si="38"/>
        <v>294189.55237250286</v>
      </c>
      <c r="AT38" s="50">
        <f t="shared" si="38"/>
        <v>326569.95819705608</v>
      </c>
      <c r="AU38" s="50">
        <f t="shared" si="38"/>
        <v>341394.85353320831</v>
      </c>
      <c r="AV38" s="50">
        <f t="shared" si="38"/>
        <v>277957.98794074007</v>
      </c>
      <c r="AW38" s="50">
        <f t="shared" si="38"/>
        <v>219639.18656260933</v>
      </c>
      <c r="AX38" s="50">
        <f t="shared" si="38"/>
        <v>167990.47939980321</v>
      </c>
      <c r="AY38" s="50">
        <f t="shared" si="38"/>
        <v>136710.06063752872</v>
      </c>
      <c r="AZ38" s="50">
        <f t="shared" si="38"/>
        <v>134369.27134303504</v>
      </c>
      <c r="BA38" s="50">
        <f t="shared" si="38"/>
        <v>134662.91799551688</v>
      </c>
      <c r="BB38" s="50">
        <f t="shared" si="38"/>
        <v>136292.81380518057</v>
      </c>
      <c r="BC38" s="50">
        <f t="shared" si="38"/>
        <v>152710.23816017646</v>
      </c>
      <c r="BD38" s="50">
        <f t="shared" si="38"/>
        <v>222737.48146009745</v>
      </c>
      <c r="BE38" s="50">
        <f t="shared" si="38"/>
        <v>294189.55237250286</v>
      </c>
      <c r="BF38" s="50">
        <f t="shared" si="38"/>
        <v>326569.95819705608</v>
      </c>
      <c r="BG38" s="50">
        <f t="shared" si="38"/>
        <v>341394.85353320831</v>
      </c>
      <c r="BH38" s="50">
        <f t="shared" si="38"/>
        <v>277957.98794074007</v>
      </c>
      <c r="BI38" s="50">
        <f t="shared" si="38"/>
        <v>219639.18656260933</v>
      </c>
      <c r="BJ38" s="50">
        <f t="shared" si="38"/>
        <v>167990.47939980321</v>
      </c>
      <c r="BK38" s="50">
        <f t="shared" si="38"/>
        <v>136710.06063752872</v>
      </c>
      <c r="BL38" s="50">
        <f t="shared" si="38"/>
        <v>134369.27134303504</v>
      </c>
      <c r="BM38" s="50">
        <f t="shared" si="38"/>
        <v>134662.91799551688</v>
      </c>
      <c r="BN38" s="50">
        <f t="shared" si="38"/>
        <v>136292.81380518057</v>
      </c>
      <c r="BO38" s="50">
        <f t="shared" si="38"/>
        <v>152710.23816017646</v>
      </c>
      <c r="BP38" s="50">
        <f t="shared" ref="BP38:CI38" si="39">BP39*$C$30+BP40*$C$31+BP41*$C$32+BP42*$C$33</f>
        <v>222737.48146009745</v>
      </c>
      <c r="BQ38" s="50">
        <f t="shared" si="39"/>
        <v>294189.55237250286</v>
      </c>
      <c r="BR38" s="50">
        <f t="shared" si="39"/>
        <v>326569.95819705608</v>
      </c>
      <c r="BS38" s="50">
        <f t="shared" si="39"/>
        <v>341394.85353320831</v>
      </c>
      <c r="BT38" s="50">
        <f t="shared" si="39"/>
        <v>277957.98794074007</v>
      </c>
      <c r="BU38" s="50">
        <f t="shared" si="39"/>
        <v>219639.18656260933</v>
      </c>
      <c r="BV38" s="50">
        <f t="shared" si="39"/>
        <v>167990.47939980321</v>
      </c>
      <c r="BW38" s="50">
        <f t="shared" si="39"/>
        <v>136710.06063752872</v>
      </c>
      <c r="BX38" s="50">
        <f t="shared" si="39"/>
        <v>134369.27134303504</v>
      </c>
      <c r="BY38" s="50">
        <f t="shared" si="39"/>
        <v>134662.91799551688</v>
      </c>
      <c r="BZ38" s="50">
        <f t="shared" si="39"/>
        <v>136292.81380518057</v>
      </c>
      <c r="CA38" s="50">
        <f t="shared" si="39"/>
        <v>152710.23816017646</v>
      </c>
      <c r="CB38" s="50">
        <f t="shared" si="39"/>
        <v>222737.48146009745</v>
      </c>
      <c r="CC38" s="50">
        <f t="shared" si="39"/>
        <v>294189.55237250286</v>
      </c>
      <c r="CD38" s="50">
        <f t="shared" si="39"/>
        <v>326569.95819705608</v>
      </c>
      <c r="CE38" s="50">
        <f t="shared" si="39"/>
        <v>341394.85353320831</v>
      </c>
      <c r="CF38" s="50">
        <f t="shared" si="39"/>
        <v>277957.98794074007</v>
      </c>
      <c r="CG38" s="50">
        <f t="shared" si="39"/>
        <v>219639.18656260933</v>
      </c>
      <c r="CH38" s="50">
        <f t="shared" si="39"/>
        <v>167990.47939980321</v>
      </c>
      <c r="CI38" s="50">
        <f t="shared" si="39"/>
        <v>136710.06063752872</v>
      </c>
      <c r="CJ38" s="291"/>
      <c r="CK38" s="291"/>
      <c r="CL38" s="291"/>
    </row>
    <row r="39" spans="1:90">
      <c r="A39" s="2">
        <v>29</v>
      </c>
      <c r="B39" s="2" t="s">
        <v>22</v>
      </c>
      <c r="C39" s="440">
        <f>C30</f>
        <v>66</v>
      </c>
      <c r="D39" s="6">
        <f>WNA!C84</f>
        <v>1490</v>
      </c>
      <c r="E39" s="6">
        <f>WNA!D84</f>
        <v>1493</v>
      </c>
      <c r="F39" s="6">
        <f>WNA!E84</f>
        <v>1496</v>
      </c>
      <c r="G39" s="6">
        <f>WNA!F84</f>
        <v>1504</v>
      </c>
      <c r="H39" s="6">
        <f>WNA!G84</f>
        <v>1502</v>
      </c>
      <c r="I39" s="6">
        <f>WNA!H84</f>
        <v>1507</v>
      </c>
      <c r="J39" s="6">
        <f>WNA!I84</f>
        <v>1516</v>
      </c>
      <c r="K39" s="6">
        <f>WNA!J84</f>
        <v>1503</v>
      </c>
      <c r="L39" s="6">
        <f>WNA!K84</f>
        <v>1507</v>
      </c>
      <c r="M39" s="6">
        <f>WNA!L84</f>
        <v>1504</v>
      </c>
      <c r="N39" s="6">
        <f>WNA!M84</f>
        <v>1513</v>
      </c>
      <c r="O39" s="6">
        <f>WNA!N84</f>
        <v>1483</v>
      </c>
      <c r="P39" s="6">
        <f>WNA!O84</f>
        <v>1490</v>
      </c>
      <c r="Q39" s="6">
        <f>WNA!P84</f>
        <v>1493</v>
      </c>
      <c r="R39" s="6">
        <f>WNA!Q84</f>
        <v>1496</v>
      </c>
      <c r="S39" s="6">
        <f>WNA!R84</f>
        <v>1504</v>
      </c>
      <c r="T39" s="6">
        <f>WNA!S84</f>
        <v>1502</v>
      </c>
      <c r="U39" s="6">
        <f>WNA!T84</f>
        <v>1507</v>
      </c>
      <c r="V39" s="6">
        <f>WNA!U84</f>
        <v>1516</v>
      </c>
      <c r="W39" s="6">
        <f>WNA!V84</f>
        <v>1503</v>
      </c>
      <c r="X39" s="6">
        <f>WNA!W84</f>
        <v>1507</v>
      </c>
      <c r="Y39" s="6">
        <f>WNA!X84</f>
        <v>1504</v>
      </c>
      <c r="Z39" s="6">
        <f>WNA!Y84</f>
        <v>1513</v>
      </c>
      <c r="AA39" s="6">
        <f>WNA!Z84</f>
        <v>1483</v>
      </c>
      <c r="AB39" s="6">
        <f>WNA!AA84</f>
        <v>1490</v>
      </c>
      <c r="AC39" s="6">
        <f>WNA!AB84</f>
        <v>1493</v>
      </c>
      <c r="AD39" s="6">
        <f>WNA!AC84</f>
        <v>1496</v>
      </c>
      <c r="AE39" s="6">
        <f>WNA!AD84</f>
        <v>1504</v>
      </c>
      <c r="AF39" s="6">
        <f>WNA!AE84</f>
        <v>1502</v>
      </c>
      <c r="AG39" s="6">
        <f>WNA!AF84</f>
        <v>1507</v>
      </c>
      <c r="AH39" s="6">
        <f>WNA!AG84</f>
        <v>1516</v>
      </c>
      <c r="AI39" s="6">
        <f>WNA!AH84</f>
        <v>1503</v>
      </c>
      <c r="AJ39" s="6">
        <f>WNA!AI84</f>
        <v>1507</v>
      </c>
      <c r="AK39" s="6">
        <f>WNA!AJ84</f>
        <v>1504</v>
      </c>
      <c r="AL39" s="6">
        <f>WNA!AK84</f>
        <v>1513</v>
      </c>
      <c r="AM39" s="6">
        <f>WNA!AL84</f>
        <v>1483</v>
      </c>
      <c r="AN39" s="6">
        <f>WNA!AM84</f>
        <v>1490</v>
      </c>
      <c r="AO39" s="6">
        <f>WNA!AN84</f>
        <v>1493</v>
      </c>
      <c r="AP39" s="6">
        <f>WNA!AO84</f>
        <v>1496</v>
      </c>
      <c r="AQ39" s="6">
        <f>WNA!AP84</f>
        <v>1504</v>
      </c>
      <c r="AR39" s="6">
        <f>WNA!AQ84</f>
        <v>1502</v>
      </c>
      <c r="AS39" s="6">
        <f>WNA!AR84</f>
        <v>1507</v>
      </c>
      <c r="AT39" s="6">
        <f>WNA!AS84</f>
        <v>1516</v>
      </c>
      <c r="AU39" s="6">
        <f>WNA!AT84</f>
        <v>1503</v>
      </c>
      <c r="AV39" s="6">
        <f>WNA!AU84</f>
        <v>1507</v>
      </c>
      <c r="AW39" s="6">
        <f>WNA!AV84</f>
        <v>1504</v>
      </c>
      <c r="AX39" s="6">
        <f>WNA!AW84</f>
        <v>1513</v>
      </c>
      <c r="AY39" s="6">
        <f>WNA!AX84</f>
        <v>1483</v>
      </c>
      <c r="AZ39" s="6">
        <f>WNA!AY84</f>
        <v>1490</v>
      </c>
      <c r="BA39" s="6">
        <f>WNA!AZ84</f>
        <v>1493</v>
      </c>
      <c r="BB39" s="6">
        <f>WNA!BA84</f>
        <v>1496</v>
      </c>
      <c r="BC39" s="6">
        <f>WNA!BB84</f>
        <v>1504</v>
      </c>
      <c r="BD39" s="6">
        <f>WNA!BC84</f>
        <v>1502</v>
      </c>
      <c r="BE39" s="6">
        <f>WNA!BD84</f>
        <v>1507</v>
      </c>
      <c r="BF39" s="6">
        <f>WNA!BE84</f>
        <v>1516</v>
      </c>
      <c r="BG39" s="6">
        <f>WNA!BF84</f>
        <v>1503</v>
      </c>
      <c r="BH39" s="6">
        <f>WNA!BG84</f>
        <v>1507</v>
      </c>
      <c r="BI39" s="6">
        <f>WNA!BH84</f>
        <v>1504</v>
      </c>
      <c r="BJ39" s="6">
        <f>WNA!BI84</f>
        <v>1513</v>
      </c>
      <c r="BK39" s="6">
        <f>WNA!BJ84</f>
        <v>1483</v>
      </c>
      <c r="BL39" s="6">
        <f>WNA!BK84</f>
        <v>1490</v>
      </c>
      <c r="BM39" s="6">
        <f>WNA!BL84</f>
        <v>1493</v>
      </c>
      <c r="BN39" s="6">
        <f>WNA!BM84</f>
        <v>1496</v>
      </c>
      <c r="BO39" s="6">
        <f>WNA!BN84</f>
        <v>1504</v>
      </c>
      <c r="BP39" s="6">
        <f>WNA!BO84</f>
        <v>1502</v>
      </c>
      <c r="BQ39" s="6">
        <f>WNA!BP84</f>
        <v>1507</v>
      </c>
      <c r="BR39" s="6">
        <f>WNA!BQ84</f>
        <v>1516</v>
      </c>
      <c r="BS39" s="6">
        <f>WNA!BR84</f>
        <v>1503</v>
      </c>
      <c r="BT39" s="6">
        <f>WNA!BS84</f>
        <v>1507</v>
      </c>
      <c r="BU39" s="6">
        <f>WNA!BT84</f>
        <v>1504</v>
      </c>
      <c r="BV39" s="6">
        <f>WNA!BU84</f>
        <v>1513</v>
      </c>
      <c r="BW39" s="6">
        <f>WNA!BV84</f>
        <v>1483</v>
      </c>
      <c r="BX39" s="6">
        <f>WNA!BW84</f>
        <v>1490</v>
      </c>
      <c r="BY39" s="6">
        <f>WNA!BX84</f>
        <v>1493</v>
      </c>
      <c r="BZ39" s="6">
        <f>WNA!BY84</f>
        <v>1496</v>
      </c>
      <c r="CA39" s="6">
        <f>WNA!BZ84</f>
        <v>1504</v>
      </c>
      <c r="CB39" s="6">
        <f>WNA!CA84</f>
        <v>1502</v>
      </c>
      <c r="CC39" s="6">
        <f>WNA!CB84</f>
        <v>1507</v>
      </c>
      <c r="CD39" s="6">
        <f>WNA!CC84</f>
        <v>1516</v>
      </c>
      <c r="CE39" s="6">
        <f>WNA!CD84</f>
        <v>1503</v>
      </c>
      <c r="CF39" s="6">
        <f>WNA!CE84</f>
        <v>1507</v>
      </c>
      <c r="CG39" s="6">
        <f>WNA!CF84</f>
        <v>1504</v>
      </c>
      <c r="CH39" s="6">
        <f>WNA!CG84</f>
        <v>1513</v>
      </c>
      <c r="CI39" s="6">
        <f>WNA!CH84</f>
        <v>1483</v>
      </c>
      <c r="CJ39" s="290"/>
      <c r="CK39" s="290"/>
      <c r="CL39" s="290"/>
    </row>
    <row r="40" spans="1:90">
      <c r="A40" s="2">
        <v>30</v>
      </c>
      <c r="B40" s="2" t="s">
        <v>23</v>
      </c>
      <c r="C40" s="13">
        <f>C31</f>
        <v>1.5483</v>
      </c>
      <c r="D40" s="6">
        <f>'Bill Frequency'!C35+WNA!C92+'Contract &amp; Vol Adj'!C35</f>
        <v>21359.171345509516</v>
      </c>
      <c r="E40" s="6">
        <f>'Bill Frequency'!D35+WNA!D92+'Contract &amp; Vol Adj'!D35</f>
        <v>21453.343795799363</v>
      </c>
      <c r="F40" s="6">
        <f>'Bill Frequency'!E35+WNA!E92+'Contract &amp; Vol Adj'!E35</f>
        <v>23642.721399916503</v>
      </c>
      <c r="G40" s="6">
        <f>'Bill Frequency'!F35+WNA!F92+'Contract &amp; Vol Adj'!F35</f>
        <v>31613.699163898465</v>
      </c>
      <c r="H40" s="6">
        <f>'Bill Frequency'!G35+WNA!G92+'Contract &amp; Vol Adj'!G35</f>
        <v>73414.031412576674</v>
      </c>
      <c r="I40" s="6">
        <f>'Bill Frequency'!H35+WNA!H92+'Contract &amp; Vol Adj'!H35</f>
        <v>114685.50792167516</v>
      </c>
      <c r="J40" s="6">
        <f>'Bill Frequency'!I35+WNA!I92+'Contract &amp; Vol Adj'!I35</f>
        <v>124978.36002113133</v>
      </c>
      <c r="K40" s="6">
        <f>'Bill Frequency'!J35+WNA!J92+'Contract &amp; Vol Adj'!J35</f>
        <v>134401.31441577696</v>
      </c>
      <c r="L40" s="6">
        <f>'Bill Frequency'!K35+WNA!K92+'Contract &amp; Vol Adj'!K35</f>
        <v>105739.11486968872</v>
      </c>
      <c r="M40" s="6">
        <f>'Bill Frequency'!L35+WNA!L92+'Contract &amp; Vol Adj'!L35</f>
        <v>72573.374250856432</v>
      </c>
      <c r="N40" s="6">
        <f>'Bill Frequency'!M35+WNA!M92+'Contract &amp; Vol Adj'!M35</f>
        <v>39286.905960354146</v>
      </c>
      <c r="O40" s="6">
        <f>'Bill Frequency'!N35+WNA!N92+'Contract &amp; Vol Adj'!N35</f>
        <v>22475.558414676387</v>
      </c>
      <c r="P40" s="6">
        <f>D40+WNA!O92</f>
        <v>21359.171345509516</v>
      </c>
      <c r="Q40" s="6">
        <f>E40+WNA!P92</f>
        <v>21453.343795799363</v>
      </c>
      <c r="R40" s="6">
        <f>F40+WNA!Q92</f>
        <v>23642.721399916503</v>
      </c>
      <c r="S40" s="6">
        <f>G40+WNA!R92</f>
        <v>31613.699163898465</v>
      </c>
      <c r="T40" s="6">
        <f>H40+WNA!S92</f>
        <v>73414.031412576674</v>
      </c>
      <c r="U40" s="6">
        <f>I40+WNA!T92</f>
        <v>114685.50792167516</v>
      </c>
      <c r="V40" s="6">
        <f>J40+WNA!U92</f>
        <v>124978.36002113133</v>
      </c>
      <c r="W40" s="6">
        <f>K40+WNA!V92</f>
        <v>134401.31441577696</v>
      </c>
      <c r="X40" s="6">
        <f>L40+WNA!W92</f>
        <v>105739.11486968872</v>
      </c>
      <c r="Y40" s="6">
        <f>M40+WNA!X92</f>
        <v>72573.374250856432</v>
      </c>
      <c r="Z40" s="6">
        <f>N40+WNA!Y92</f>
        <v>39286.905960354146</v>
      </c>
      <c r="AA40" s="6">
        <f>O40+WNA!Z92</f>
        <v>22475.558414676387</v>
      </c>
      <c r="AB40" s="6">
        <f>P40+WNA!AA92</f>
        <v>21359.171345509516</v>
      </c>
      <c r="AC40" s="6">
        <f>Q40+WNA!AB92</f>
        <v>21453.343795799363</v>
      </c>
      <c r="AD40" s="6">
        <f>R40+WNA!AC92</f>
        <v>23642.721399916503</v>
      </c>
      <c r="AE40" s="6">
        <f>S40+WNA!AD92</f>
        <v>31613.699163898465</v>
      </c>
      <c r="AF40" s="6">
        <f>T40+WNA!AE92</f>
        <v>73414.031412576674</v>
      </c>
      <c r="AG40" s="6">
        <f>U40+WNA!AF92</f>
        <v>114685.50792167516</v>
      </c>
      <c r="AH40" s="6">
        <f>V40+WNA!AG92</f>
        <v>124978.36002113133</v>
      </c>
      <c r="AI40" s="6">
        <f>W40+WNA!AH92</f>
        <v>134401.31441577696</v>
      </c>
      <c r="AJ40" s="6">
        <f>X40+WNA!AI92</f>
        <v>105739.11486968872</v>
      </c>
      <c r="AK40" s="6">
        <f>Y40+WNA!AJ92</f>
        <v>72573.374250856432</v>
      </c>
      <c r="AL40" s="6">
        <f>Z40+WNA!AK92</f>
        <v>39286.905960354146</v>
      </c>
      <c r="AM40" s="6">
        <f>AA40+WNA!AL92</f>
        <v>22475.558414676387</v>
      </c>
      <c r="AN40" s="6">
        <f>AB40+WNA!AM92</f>
        <v>21359.171345509516</v>
      </c>
      <c r="AO40" s="6">
        <f>AC40+WNA!AN92</f>
        <v>21453.343795799363</v>
      </c>
      <c r="AP40" s="6">
        <f>AD40+WNA!AO92</f>
        <v>23642.721399916503</v>
      </c>
      <c r="AQ40" s="6">
        <f>AE40+WNA!AP92</f>
        <v>31613.699163898465</v>
      </c>
      <c r="AR40" s="6">
        <f>AF40+WNA!AQ92</f>
        <v>73414.031412576674</v>
      </c>
      <c r="AS40" s="6">
        <f>AG40+WNA!AR92</f>
        <v>114685.50792167516</v>
      </c>
      <c r="AT40" s="6">
        <f>AH40+WNA!AS92</f>
        <v>124978.36002113133</v>
      </c>
      <c r="AU40" s="6">
        <f>AI40+WNA!AT92</f>
        <v>134401.31441577696</v>
      </c>
      <c r="AV40" s="6">
        <f>AJ40+WNA!AU92</f>
        <v>105739.11486968872</v>
      </c>
      <c r="AW40" s="6">
        <f>AK40+WNA!AV92</f>
        <v>72573.374250856432</v>
      </c>
      <c r="AX40" s="6">
        <f>AL40+WNA!AW92</f>
        <v>39286.905960354146</v>
      </c>
      <c r="AY40" s="6">
        <f>AM40+WNA!AX92</f>
        <v>22475.558414676387</v>
      </c>
      <c r="AZ40" s="6">
        <f>AN40+WNA!AY92</f>
        <v>21359.171345509516</v>
      </c>
      <c r="BA40" s="6">
        <f>AO40+WNA!AZ92</f>
        <v>21453.343795799363</v>
      </c>
      <c r="BB40" s="6">
        <f>AP40+WNA!BA92</f>
        <v>23642.721399916503</v>
      </c>
      <c r="BC40" s="6">
        <f>AQ40+WNA!BB92</f>
        <v>31613.699163898465</v>
      </c>
      <c r="BD40" s="6">
        <f>AR40+WNA!BC92</f>
        <v>73414.031412576674</v>
      </c>
      <c r="BE40" s="6">
        <f>AS40+WNA!BD92</f>
        <v>114685.50792167516</v>
      </c>
      <c r="BF40" s="6">
        <f>AT40+WNA!BE92</f>
        <v>124978.36002113133</v>
      </c>
      <c r="BG40" s="6">
        <f>AU40+WNA!BF92</f>
        <v>134401.31441577696</v>
      </c>
      <c r="BH40" s="6">
        <f>AV40+WNA!BG92</f>
        <v>105739.11486968872</v>
      </c>
      <c r="BI40" s="6">
        <f>AW40+WNA!BH92</f>
        <v>72573.374250856432</v>
      </c>
      <c r="BJ40" s="6">
        <f>AX40+WNA!BI92</f>
        <v>39286.905960354146</v>
      </c>
      <c r="BK40" s="6">
        <f>AY40+WNA!BJ92</f>
        <v>22475.558414676387</v>
      </c>
      <c r="BL40" s="6">
        <f>AZ40+WNA!BK92</f>
        <v>21359.171345509516</v>
      </c>
      <c r="BM40" s="6">
        <f>BA40+WNA!BL92</f>
        <v>21453.343795799363</v>
      </c>
      <c r="BN40" s="6">
        <f>BB40+WNA!BM92</f>
        <v>23642.721399916503</v>
      </c>
      <c r="BO40" s="6">
        <f>BC40+WNA!BN92</f>
        <v>31613.699163898465</v>
      </c>
      <c r="BP40" s="6">
        <f>BD40+WNA!BO92</f>
        <v>73414.031412576674</v>
      </c>
      <c r="BQ40" s="6">
        <f>BE40+WNA!BP92</f>
        <v>114685.50792167516</v>
      </c>
      <c r="BR40" s="6">
        <f>BF40+WNA!BQ92</f>
        <v>124978.36002113133</v>
      </c>
      <c r="BS40" s="6">
        <f>BG40+WNA!BR92</f>
        <v>134401.31441577696</v>
      </c>
      <c r="BT40" s="6">
        <f>BH40+WNA!BS92</f>
        <v>105739.11486968872</v>
      </c>
      <c r="BU40" s="6">
        <f>BI40+WNA!BT92</f>
        <v>72573.374250856432</v>
      </c>
      <c r="BV40" s="6">
        <f>BJ40+WNA!BU92</f>
        <v>39286.905960354146</v>
      </c>
      <c r="BW40" s="6">
        <f>BK40+WNA!BV92</f>
        <v>22475.558414676387</v>
      </c>
      <c r="BX40" s="6">
        <f>BL40+WNA!BW92</f>
        <v>21359.171345509516</v>
      </c>
      <c r="BY40" s="6">
        <f>BM40+WNA!BX92</f>
        <v>21453.343795799363</v>
      </c>
      <c r="BZ40" s="6">
        <f>BN40+WNA!BY92</f>
        <v>23642.721399916503</v>
      </c>
      <c r="CA40" s="6">
        <f>BO40+WNA!BZ92</f>
        <v>31613.699163898465</v>
      </c>
      <c r="CB40" s="6">
        <f>BP40+WNA!CA92</f>
        <v>73414.031412576674</v>
      </c>
      <c r="CC40" s="6">
        <f>BQ40+WNA!CB92</f>
        <v>114685.50792167516</v>
      </c>
      <c r="CD40" s="6">
        <f>BR40+WNA!CC92</f>
        <v>124978.36002113133</v>
      </c>
      <c r="CE40" s="6">
        <f>BS40+WNA!CD92</f>
        <v>134401.31441577696</v>
      </c>
      <c r="CF40" s="6">
        <f>BT40+WNA!CE92</f>
        <v>105739.11486968872</v>
      </c>
      <c r="CG40" s="6">
        <f>BU40+WNA!CF92</f>
        <v>72573.374250856432</v>
      </c>
      <c r="CH40" s="6">
        <f>BV40+WNA!CG92</f>
        <v>39286.905960354146</v>
      </c>
      <c r="CI40" s="6">
        <f>BW40+WNA!CH92</f>
        <v>22475.558414676387</v>
      </c>
      <c r="CJ40" s="290"/>
      <c r="CK40" s="290"/>
      <c r="CL40" s="290"/>
    </row>
    <row r="41" spans="1:90">
      <c r="A41" s="2">
        <v>31</v>
      </c>
      <c r="B41" s="2" t="s">
        <v>24</v>
      </c>
      <c r="C41" s="13">
        <f>C32</f>
        <v>1.0762</v>
      </c>
      <c r="D41" s="6">
        <f>'Bill Frequency'!C36+WNA!C93+'Contract &amp; Vol Adj'!C36</f>
        <v>2749.3647544904838</v>
      </c>
      <c r="E41" s="6">
        <f>'Bill Frequency'!D36+WNA!D93+'Contract &amp; Vol Adj'!D36</f>
        <v>2702.7558042006376</v>
      </c>
      <c r="F41" s="6">
        <f>'Bill Frequency'!E36+WNA!E93+'Contract &amp; Vol Adj'!E36</f>
        <v>883.46800008349476</v>
      </c>
      <c r="G41" s="6">
        <f>'Bill Frequency'!F36+WNA!F93+'Contract &amp; Vol Adj'!F36</f>
        <v>4180.2153361015362</v>
      </c>
      <c r="H41" s="6">
        <f>'Bill Frequency'!G36+WNA!G93+'Contract &amp; Vol Adj'!G36</f>
        <v>9234.8416874233153</v>
      </c>
      <c r="I41" s="6">
        <f>'Bill Frequency'!H36+WNA!H93+'Contract &amp; Vol Adj'!H36</f>
        <v>15944.973478324855</v>
      </c>
      <c r="J41" s="6">
        <f>'Bill Frequency'!I36+WNA!I93+'Contract &amp; Vol Adj'!I36</f>
        <v>30672.703378868671</v>
      </c>
      <c r="K41" s="6">
        <f>'Bill Frequency'!J36+WNA!J93+'Contract &amp; Vol Adj'!J36</f>
        <v>31688.625184223063</v>
      </c>
      <c r="L41" s="6">
        <f>'Bill Frequency'!K36+WNA!K93+'Contract &amp; Vol Adj'!K36</f>
        <v>13733.614930311276</v>
      </c>
      <c r="M41" s="6">
        <f>'Bill Frequency'!L36+WNA!L93+'Contract &amp; Vol Adj'!L36</f>
        <v>7442.6976491435726</v>
      </c>
      <c r="N41" s="6">
        <f>'Bill Frequency'!M36+WNA!M93+'Contract &amp; Vol Adj'!M36</f>
        <v>6787.3656396458537</v>
      </c>
      <c r="O41" s="6">
        <f>'Bill Frequency'!N36+WNA!N93+'Contract &amp; Vol Adj'!N36</f>
        <v>3747.5873853236103</v>
      </c>
      <c r="P41" s="6">
        <f>D41+WNA!O93</f>
        <v>2749.3647544904838</v>
      </c>
      <c r="Q41" s="6">
        <f>E41+WNA!P93</f>
        <v>2702.7558042006376</v>
      </c>
      <c r="R41" s="6">
        <f>F41+WNA!Q93</f>
        <v>883.46800008349476</v>
      </c>
      <c r="S41" s="6">
        <f>G41+WNA!R93</f>
        <v>4180.2153361015362</v>
      </c>
      <c r="T41" s="6">
        <f>H41+WNA!S93</f>
        <v>9234.8416874233153</v>
      </c>
      <c r="U41" s="6">
        <f>I41+WNA!T93</f>
        <v>15944.973478324855</v>
      </c>
      <c r="V41" s="6">
        <f>J41+WNA!U93</f>
        <v>30672.703378868671</v>
      </c>
      <c r="W41" s="6">
        <f>K41+WNA!V93</f>
        <v>31688.625184223063</v>
      </c>
      <c r="X41" s="6">
        <f>L41+WNA!W93</f>
        <v>13733.614930311276</v>
      </c>
      <c r="Y41" s="6">
        <f>M41+WNA!X93</f>
        <v>7442.6976491435726</v>
      </c>
      <c r="Z41" s="6">
        <f>N41+WNA!Y93</f>
        <v>6787.3656396458537</v>
      </c>
      <c r="AA41" s="6">
        <f>O41+WNA!Z93</f>
        <v>3747.5873853236103</v>
      </c>
      <c r="AB41" s="6">
        <f>P41+WNA!AA93</f>
        <v>2749.3647544904838</v>
      </c>
      <c r="AC41" s="6">
        <f>Q41+WNA!AB93</f>
        <v>2702.7558042006376</v>
      </c>
      <c r="AD41" s="6">
        <f>R41+WNA!AC93</f>
        <v>883.46800008349476</v>
      </c>
      <c r="AE41" s="6">
        <f>S41+WNA!AD93</f>
        <v>4180.2153361015362</v>
      </c>
      <c r="AF41" s="6">
        <f>T41+WNA!AE93</f>
        <v>9234.8416874233153</v>
      </c>
      <c r="AG41" s="6">
        <f>U41+WNA!AF93</f>
        <v>15944.973478324855</v>
      </c>
      <c r="AH41" s="6">
        <f>V41+WNA!AG93</f>
        <v>30672.703378868671</v>
      </c>
      <c r="AI41" s="6">
        <f>W41+WNA!AH93</f>
        <v>31688.625184223063</v>
      </c>
      <c r="AJ41" s="6">
        <f>X41+WNA!AI93</f>
        <v>13733.614930311276</v>
      </c>
      <c r="AK41" s="6">
        <f>Y41+WNA!AJ93</f>
        <v>7442.6976491435726</v>
      </c>
      <c r="AL41" s="6">
        <f>Z41+WNA!AK93</f>
        <v>6787.3656396458537</v>
      </c>
      <c r="AM41" s="6">
        <f>AA41+WNA!AL93</f>
        <v>3747.5873853236103</v>
      </c>
      <c r="AN41" s="6">
        <f>AB41+WNA!AM93</f>
        <v>2749.3647544904838</v>
      </c>
      <c r="AO41" s="6">
        <f>AC41+WNA!AN93</f>
        <v>2702.7558042006376</v>
      </c>
      <c r="AP41" s="6">
        <f>AD41+WNA!AO93</f>
        <v>883.46800008349476</v>
      </c>
      <c r="AQ41" s="6">
        <f>AE41+WNA!AP93</f>
        <v>4180.2153361015362</v>
      </c>
      <c r="AR41" s="6">
        <f>AF41+WNA!AQ93</f>
        <v>9234.8416874233153</v>
      </c>
      <c r="AS41" s="6">
        <f>AG41+WNA!AR93</f>
        <v>15944.973478324855</v>
      </c>
      <c r="AT41" s="6">
        <f>AH41+WNA!AS93</f>
        <v>30672.703378868671</v>
      </c>
      <c r="AU41" s="6">
        <f>AI41+WNA!AT93</f>
        <v>31688.625184223063</v>
      </c>
      <c r="AV41" s="6">
        <f>AJ41+WNA!AU93</f>
        <v>13733.614930311276</v>
      </c>
      <c r="AW41" s="6">
        <f>AK41+WNA!AV93</f>
        <v>7442.6976491435726</v>
      </c>
      <c r="AX41" s="6">
        <f>AL41+WNA!AW93</f>
        <v>6787.3656396458537</v>
      </c>
      <c r="AY41" s="6">
        <f>AM41+WNA!AX93</f>
        <v>3747.5873853236103</v>
      </c>
      <c r="AZ41" s="6">
        <f>AN41+WNA!AY93</f>
        <v>2749.3647544904838</v>
      </c>
      <c r="BA41" s="6">
        <f>AO41+WNA!AZ93</f>
        <v>2702.7558042006376</v>
      </c>
      <c r="BB41" s="6">
        <f>AP41+WNA!BA93</f>
        <v>883.46800008349476</v>
      </c>
      <c r="BC41" s="6">
        <f>AQ41+WNA!BB93</f>
        <v>4180.2153361015362</v>
      </c>
      <c r="BD41" s="6">
        <f>AR41+WNA!BC93</f>
        <v>9234.8416874233153</v>
      </c>
      <c r="BE41" s="6">
        <f>AS41+WNA!BD93</f>
        <v>15944.973478324855</v>
      </c>
      <c r="BF41" s="6">
        <f>AT41+WNA!BE93</f>
        <v>30672.703378868671</v>
      </c>
      <c r="BG41" s="6">
        <f>AU41+WNA!BF93</f>
        <v>31688.625184223063</v>
      </c>
      <c r="BH41" s="6">
        <f>AV41+WNA!BG93</f>
        <v>13733.614930311276</v>
      </c>
      <c r="BI41" s="6">
        <f>AW41+WNA!BH93</f>
        <v>7442.6976491435726</v>
      </c>
      <c r="BJ41" s="6">
        <f>AX41+WNA!BI93</f>
        <v>6787.3656396458537</v>
      </c>
      <c r="BK41" s="6">
        <f>AY41+WNA!BJ93</f>
        <v>3747.5873853236103</v>
      </c>
      <c r="BL41" s="6">
        <f>AZ41+WNA!BK93</f>
        <v>2749.3647544904838</v>
      </c>
      <c r="BM41" s="6">
        <f>BA41+WNA!BL93</f>
        <v>2702.7558042006376</v>
      </c>
      <c r="BN41" s="6">
        <f>BB41+WNA!BM93</f>
        <v>883.46800008349476</v>
      </c>
      <c r="BO41" s="6">
        <f>BC41+WNA!BN93</f>
        <v>4180.2153361015362</v>
      </c>
      <c r="BP41" s="6">
        <f>BD41+WNA!BO93</f>
        <v>9234.8416874233153</v>
      </c>
      <c r="BQ41" s="6">
        <f>BE41+WNA!BP93</f>
        <v>15944.973478324855</v>
      </c>
      <c r="BR41" s="6">
        <f>BF41+WNA!BQ93</f>
        <v>30672.703378868671</v>
      </c>
      <c r="BS41" s="6">
        <f>BG41+WNA!BR93</f>
        <v>31688.625184223063</v>
      </c>
      <c r="BT41" s="6">
        <f>BH41+WNA!BS93</f>
        <v>13733.614930311276</v>
      </c>
      <c r="BU41" s="6">
        <f>BI41+WNA!BT93</f>
        <v>7442.6976491435726</v>
      </c>
      <c r="BV41" s="6">
        <f>BJ41+WNA!BU93</f>
        <v>6787.3656396458537</v>
      </c>
      <c r="BW41" s="6">
        <f>BK41+WNA!BV93</f>
        <v>3747.5873853236103</v>
      </c>
      <c r="BX41" s="6">
        <f>BL41+WNA!BW93</f>
        <v>2749.3647544904838</v>
      </c>
      <c r="BY41" s="6">
        <f>BM41+WNA!BX93</f>
        <v>2702.7558042006376</v>
      </c>
      <c r="BZ41" s="6">
        <f>BN41+WNA!BY93</f>
        <v>883.46800008349476</v>
      </c>
      <c r="CA41" s="6">
        <f>BO41+WNA!BZ93</f>
        <v>4180.2153361015362</v>
      </c>
      <c r="CB41" s="6">
        <f>BP41+WNA!CA93</f>
        <v>9234.8416874233153</v>
      </c>
      <c r="CC41" s="6">
        <f>BQ41+WNA!CB93</f>
        <v>15944.973478324855</v>
      </c>
      <c r="CD41" s="6">
        <f>BR41+WNA!CC93</f>
        <v>30672.703378868671</v>
      </c>
      <c r="CE41" s="6">
        <f>BS41+WNA!CD93</f>
        <v>31688.625184223063</v>
      </c>
      <c r="CF41" s="6">
        <f>BT41+WNA!CE93</f>
        <v>13733.614930311276</v>
      </c>
      <c r="CG41" s="6">
        <f>BU41+WNA!CF93</f>
        <v>7442.6976491435726</v>
      </c>
      <c r="CH41" s="6">
        <f>BV41+WNA!CG93</f>
        <v>6787.3656396458537</v>
      </c>
      <c r="CI41" s="6">
        <f>BW41+WNA!CH93</f>
        <v>3747.5873853236103</v>
      </c>
      <c r="CJ41" s="290"/>
      <c r="CK41" s="290"/>
      <c r="CL41" s="290"/>
    </row>
    <row r="42" spans="1:90">
      <c r="A42" s="2">
        <v>32</v>
      </c>
      <c r="B42" s="2" t="s">
        <v>55</v>
      </c>
      <c r="C42" s="13">
        <f>C33</f>
        <v>0.88880000000000003</v>
      </c>
      <c r="D42" s="6">
        <f>'Bill Frequency'!C37+WNA!C94+'Contract &amp; Vol Adj'!C37</f>
        <v>0</v>
      </c>
      <c r="E42" s="6">
        <f>'Bill Frequency'!D37+WNA!D94+'Contract &amp; Vol Adj'!D37</f>
        <v>0</v>
      </c>
      <c r="F42" s="6">
        <f>'Bill Frequency'!E37+WNA!E94+'Contract &amp; Vol Adj'!E37</f>
        <v>0</v>
      </c>
      <c r="G42" s="6">
        <f>'Bill Frequency'!F37+WNA!F94+'Contract &amp; Vol Adj'!F37</f>
        <v>0</v>
      </c>
      <c r="H42" s="6">
        <f>'Bill Frequency'!G37+WNA!G94+'Contract &amp; Vol Adj'!G37</f>
        <v>0</v>
      </c>
      <c r="I42" s="6">
        <f>'Bill Frequency'!H37+WNA!H94+'Contract &amp; Vol Adj'!H37</f>
        <v>0</v>
      </c>
      <c r="J42" s="6">
        <f>'Bill Frequency'!I37+WNA!I94+'Contract &amp; Vol Adj'!I37</f>
        <v>0</v>
      </c>
      <c r="K42" s="6">
        <f>'Bill Frequency'!J37+WNA!J94+'Contract &amp; Vol Adj'!J37</f>
        <v>0</v>
      </c>
      <c r="L42" s="6">
        <f>'Bill Frequency'!K37+WNA!K94+'Contract &amp; Vol Adj'!K37</f>
        <v>0</v>
      </c>
      <c r="M42" s="6">
        <f>'Bill Frequency'!L37+WNA!L94+'Contract &amp; Vol Adj'!L37</f>
        <v>0</v>
      </c>
      <c r="N42" s="6">
        <f>'Bill Frequency'!M37+WNA!M94+'Contract &amp; Vol Adj'!M37</f>
        <v>0</v>
      </c>
      <c r="O42" s="6">
        <f>'Bill Frequency'!N37+WNA!N94+'Contract &amp; Vol Adj'!N37</f>
        <v>0</v>
      </c>
      <c r="P42" s="6">
        <f>D42+WNA!O94</f>
        <v>0</v>
      </c>
      <c r="Q42" s="6">
        <f>E42+WNA!P94</f>
        <v>0</v>
      </c>
      <c r="R42" s="6">
        <f>F42+WNA!Q94</f>
        <v>0</v>
      </c>
      <c r="S42" s="6">
        <f>G42+WNA!R94</f>
        <v>0</v>
      </c>
      <c r="T42" s="6">
        <f>H42+WNA!S94</f>
        <v>0</v>
      </c>
      <c r="U42" s="6">
        <f>I42+WNA!T94</f>
        <v>0</v>
      </c>
      <c r="V42" s="6">
        <f>J42+WNA!U94</f>
        <v>0</v>
      </c>
      <c r="W42" s="6">
        <f>K42+WNA!V94</f>
        <v>0</v>
      </c>
      <c r="X42" s="6">
        <f>L42+WNA!W94</f>
        <v>0</v>
      </c>
      <c r="Y42" s="6">
        <f>M42+WNA!X94</f>
        <v>0</v>
      </c>
      <c r="Z42" s="6">
        <f>N42+WNA!Y94</f>
        <v>0</v>
      </c>
      <c r="AA42" s="6">
        <f>O42+WNA!Z94</f>
        <v>0</v>
      </c>
      <c r="AB42" s="6">
        <f>P42+WNA!AA94</f>
        <v>0</v>
      </c>
      <c r="AC42" s="6">
        <f>Q42+WNA!AB94</f>
        <v>0</v>
      </c>
      <c r="AD42" s="6">
        <f>R42+WNA!AC94</f>
        <v>0</v>
      </c>
      <c r="AE42" s="6">
        <f>S42+WNA!AD94</f>
        <v>0</v>
      </c>
      <c r="AF42" s="6">
        <f>T42+WNA!AE94</f>
        <v>0</v>
      </c>
      <c r="AG42" s="6">
        <f>U42+WNA!AF94</f>
        <v>0</v>
      </c>
      <c r="AH42" s="6">
        <f>V42+WNA!AG94</f>
        <v>0</v>
      </c>
      <c r="AI42" s="6">
        <f>W42+WNA!AH94</f>
        <v>0</v>
      </c>
      <c r="AJ42" s="6">
        <f>X42+WNA!AI94</f>
        <v>0</v>
      </c>
      <c r="AK42" s="6">
        <f>Y42+WNA!AJ94</f>
        <v>0</v>
      </c>
      <c r="AL42" s="6">
        <f>Z42+WNA!AK94</f>
        <v>0</v>
      </c>
      <c r="AM42" s="6">
        <f>AA42+WNA!AL94</f>
        <v>0</v>
      </c>
      <c r="AN42" s="6">
        <f>AB42+WNA!AM94</f>
        <v>0</v>
      </c>
      <c r="AO42" s="6">
        <f>AC42+WNA!AN94</f>
        <v>0</v>
      </c>
      <c r="AP42" s="6">
        <f>AD42+WNA!AO94</f>
        <v>0</v>
      </c>
      <c r="AQ42" s="6">
        <f>AE42+WNA!AP94</f>
        <v>0</v>
      </c>
      <c r="AR42" s="6">
        <f>AF42+WNA!AQ94</f>
        <v>0</v>
      </c>
      <c r="AS42" s="6">
        <f>AG42+WNA!AR94</f>
        <v>0</v>
      </c>
      <c r="AT42" s="6">
        <f>AH42+WNA!AS94</f>
        <v>0</v>
      </c>
      <c r="AU42" s="6">
        <f>AI42+WNA!AT94</f>
        <v>0</v>
      </c>
      <c r="AV42" s="6">
        <f>AJ42+WNA!AU94</f>
        <v>0</v>
      </c>
      <c r="AW42" s="6">
        <f>AK42+WNA!AV94</f>
        <v>0</v>
      </c>
      <c r="AX42" s="6">
        <f>AL42+WNA!AW94</f>
        <v>0</v>
      </c>
      <c r="AY42" s="6">
        <f>AM42+WNA!AX94</f>
        <v>0</v>
      </c>
      <c r="AZ42" s="6">
        <f>AN42+WNA!AY94</f>
        <v>0</v>
      </c>
      <c r="BA42" s="6">
        <f>AO42+WNA!AZ94</f>
        <v>0</v>
      </c>
      <c r="BB42" s="6">
        <f>AP42+WNA!BA94</f>
        <v>0</v>
      </c>
      <c r="BC42" s="6">
        <f>AQ42+WNA!BB94</f>
        <v>0</v>
      </c>
      <c r="BD42" s="6">
        <f>AR42+WNA!BC94</f>
        <v>0</v>
      </c>
      <c r="BE42" s="6">
        <f>AS42+WNA!BD94</f>
        <v>0</v>
      </c>
      <c r="BF42" s="6">
        <f>AT42+WNA!BE94</f>
        <v>0</v>
      </c>
      <c r="BG42" s="6">
        <f>AU42+WNA!BF94</f>
        <v>0</v>
      </c>
      <c r="BH42" s="6">
        <f>AV42+WNA!BG94</f>
        <v>0</v>
      </c>
      <c r="BI42" s="6">
        <f>AW42+WNA!BH94</f>
        <v>0</v>
      </c>
      <c r="BJ42" s="6">
        <f>AX42+WNA!BI94</f>
        <v>0</v>
      </c>
      <c r="BK42" s="6">
        <f>AY42+WNA!BJ94</f>
        <v>0</v>
      </c>
      <c r="BL42" s="6">
        <f>AZ42+WNA!BK94</f>
        <v>0</v>
      </c>
      <c r="BM42" s="6">
        <f>BA42+WNA!BL94</f>
        <v>0</v>
      </c>
      <c r="BN42" s="6">
        <f>BB42+WNA!BM94</f>
        <v>0</v>
      </c>
      <c r="BO42" s="6">
        <f>BC42+WNA!BN94</f>
        <v>0</v>
      </c>
      <c r="BP42" s="6">
        <f>BD42+WNA!BO94</f>
        <v>0</v>
      </c>
      <c r="BQ42" s="6">
        <f>BE42+WNA!BP94</f>
        <v>0</v>
      </c>
      <c r="BR42" s="6">
        <f>BF42+WNA!BQ94</f>
        <v>0</v>
      </c>
      <c r="BS42" s="6">
        <f>BG42+WNA!BR94</f>
        <v>0</v>
      </c>
      <c r="BT42" s="6">
        <f>BH42+WNA!BS94</f>
        <v>0</v>
      </c>
      <c r="BU42" s="6">
        <f>BI42+WNA!BT94</f>
        <v>0</v>
      </c>
      <c r="BV42" s="6">
        <f>BJ42+WNA!BU94</f>
        <v>0</v>
      </c>
      <c r="BW42" s="6">
        <f>BK42+WNA!BV94</f>
        <v>0</v>
      </c>
      <c r="BX42" s="6">
        <f>BL42+WNA!BW94</f>
        <v>0</v>
      </c>
      <c r="BY42" s="6">
        <f>BM42+WNA!BX94</f>
        <v>0</v>
      </c>
      <c r="BZ42" s="6">
        <f>BN42+WNA!BY94</f>
        <v>0</v>
      </c>
      <c r="CA42" s="6">
        <f>BO42+WNA!BZ94</f>
        <v>0</v>
      </c>
      <c r="CB42" s="6">
        <f>BP42+WNA!CA94</f>
        <v>0</v>
      </c>
      <c r="CC42" s="6">
        <f>BQ42+WNA!CB94</f>
        <v>0</v>
      </c>
      <c r="CD42" s="6">
        <f>BR42+WNA!CC94</f>
        <v>0</v>
      </c>
      <c r="CE42" s="6">
        <f>BS42+WNA!CD94</f>
        <v>0</v>
      </c>
      <c r="CF42" s="6">
        <f>BT42+WNA!CE94</f>
        <v>0</v>
      </c>
      <c r="CG42" s="6">
        <f>BU42+WNA!CF94</f>
        <v>0</v>
      </c>
      <c r="CH42" s="6">
        <f>BV42+WNA!CG94</f>
        <v>0</v>
      </c>
      <c r="CI42" s="6">
        <f>BW42+WNA!CH94</f>
        <v>0</v>
      </c>
      <c r="CJ42" s="290"/>
      <c r="CK42" s="290"/>
      <c r="CL42" s="290"/>
    </row>
    <row r="43" spans="1:90">
      <c r="A43" s="2">
        <v>33</v>
      </c>
      <c r="B43" s="21" t="s">
        <v>53</v>
      </c>
      <c r="C43" s="21"/>
      <c r="D43" s="20">
        <f t="shared" ref="D43:AI43" si="40">D40+D41+D42</f>
        <v>24108.536100000001</v>
      </c>
      <c r="E43" s="20">
        <f t="shared" si="40"/>
        <v>24156.099600000001</v>
      </c>
      <c r="F43" s="20">
        <f t="shared" si="40"/>
        <v>24526.189399999999</v>
      </c>
      <c r="G43" s="20">
        <f t="shared" si="40"/>
        <v>35793.914499999999</v>
      </c>
      <c r="H43" s="20">
        <f t="shared" si="40"/>
        <v>82648.873099999997</v>
      </c>
      <c r="I43" s="20">
        <f t="shared" si="40"/>
        <v>130630.48140000002</v>
      </c>
      <c r="J43" s="20">
        <f t="shared" si="40"/>
        <v>155651.06340000001</v>
      </c>
      <c r="K43" s="20">
        <f t="shared" si="40"/>
        <v>166089.93960000001</v>
      </c>
      <c r="L43" s="20">
        <f t="shared" si="40"/>
        <v>119472.7298</v>
      </c>
      <c r="M43" s="20">
        <f t="shared" si="40"/>
        <v>80016.07190000001</v>
      </c>
      <c r="N43" s="20">
        <f t="shared" si="40"/>
        <v>46074.2716</v>
      </c>
      <c r="O43" s="20">
        <f t="shared" si="40"/>
        <v>26223.145799999998</v>
      </c>
      <c r="P43" s="20">
        <f t="shared" si="40"/>
        <v>24108.536100000001</v>
      </c>
      <c r="Q43" s="20">
        <f t="shared" si="40"/>
        <v>24156.099600000001</v>
      </c>
      <c r="R43" s="20">
        <f t="shared" si="40"/>
        <v>24526.189399999999</v>
      </c>
      <c r="S43" s="20">
        <f t="shared" si="40"/>
        <v>35793.914499999999</v>
      </c>
      <c r="T43" s="20">
        <f t="shared" si="40"/>
        <v>82648.873099999997</v>
      </c>
      <c r="U43" s="20">
        <f t="shared" si="40"/>
        <v>130630.48140000002</v>
      </c>
      <c r="V43" s="20">
        <f t="shared" si="40"/>
        <v>155651.06340000001</v>
      </c>
      <c r="W43" s="20">
        <f t="shared" si="40"/>
        <v>166089.93960000001</v>
      </c>
      <c r="X43" s="20">
        <f t="shared" si="40"/>
        <v>119472.7298</v>
      </c>
      <c r="Y43" s="20">
        <f t="shared" si="40"/>
        <v>80016.07190000001</v>
      </c>
      <c r="Z43" s="20">
        <f t="shared" si="40"/>
        <v>46074.2716</v>
      </c>
      <c r="AA43" s="20">
        <f t="shared" si="40"/>
        <v>26223.145799999998</v>
      </c>
      <c r="AB43" s="20">
        <f t="shared" si="40"/>
        <v>24108.536100000001</v>
      </c>
      <c r="AC43" s="20">
        <f t="shared" si="40"/>
        <v>24156.099600000001</v>
      </c>
      <c r="AD43" s="20">
        <f t="shared" si="40"/>
        <v>24526.189399999999</v>
      </c>
      <c r="AE43" s="20">
        <f t="shared" si="40"/>
        <v>35793.914499999999</v>
      </c>
      <c r="AF43" s="20">
        <f t="shared" si="40"/>
        <v>82648.873099999997</v>
      </c>
      <c r="AG43" s="20">
        <f t="shared" si="40"/>
        <v>130630.48140000002</v>
      </c>
      <c r="AH43" s="20">
        <f t="shared" si="40"/>
        <v>155651.06340000001</v>
      </c>
      <c r="AI43" s="20">
        <f t="shared" si="40"/>
        <v>166089.93960000001</v>
      </c>
      <c r="AJ43" s="20">
        <f t="shared" ref="AJ43:BW43" si="41">AJ40+AJ41+AJ42</f>
        <v>119472.7298</v>
      </c>
      <c r="AK43" s="20">
        <f t="shared" si="41"/>
        <v>80016.07190000001</v>
      </c>
      <c r="AL43" s="20">
        <f t="shared" si="41"/>
        <v>46074.2716</v>
      </c>
      <c r="AM43" s="20">
        <f t="shared" si="41"/>
        <v>26223.145799999998</v>
      </c>
      <c r="AN43" s="20">
        <f t="shared" si="41"/>
        <v>24108.536100000001</v>
      </c>
      <c r="AO43" s="20">
        <f t="shared" si="41"/>
        <v>24156.099600000001</v>
      </c>
      <c r="AP43" s="20">
        <f t="shared" si="41"/>
        <v>24526.189399999999</v>
      </c>
      <c r="AQ43" s="20">
        <f t="shared" si="41"/>
        <v>35793.914499999999</v>
      </c>
      <c r="AR43" s="20">
        <f t="shared" si="41"/>
        <v>82648.873099999997</v>
      </c>
      <c r="AS43" s="20">
        <f t="shared" si="41"/>
        <v>130630.48140000002</v>
      </c>
      <c r="AT43" s="20">
        <f t="shared" si="41"/>
        <v>155651.06340000001</v>
      </c>
      <c r="AU43" s="20">
        <f t="shared" si="41"/>
        <v>166089.93960000001</v>
      </c>
      <c r="AV43" s="20">
        <f t="shared" si="41"/>
        <v>119472.7298</v>
      </c>
      <c r="AW43" s="20">
        <f t="shared" si="41"/>
        <v>80016.07190000001</v>
      </c>
      <c r="AX43" s="20">
        <f t="shared" si="41"/>
        <v>46074.2716</v>
      </c>
      <c r="AY43" s="20">
        <f t="shared" si="41"/>
        <v>26223.145799999998</v>
      </c>
      <c r="AZ43" s="20">
        <f t="shared" si="41"/>
        <v>24108.536100000001</v>
      </c>
      <c r="BA43" s="20">
        <f t="shared" si="41"/>
        <v>24156.099600000001</v>
      </c>
      <c r="BB43" s="20">
        <f t="shared" si="41"/>
        <v>24526.189399999999</v>
      </c>
      <c r="BC43" s="20">
        <f t="shared" si="41"/>
        <v>35793.914499999999</v>
      </c>
      <c r="BD43" s="20">
        <f t="shared" si="41"/>
        <v>82648.873099999997</v>
      </c>
      <c r="BE43" s="20">
        <f t="shared" si="41"/>
        <v>130630.48140000002</v>
      </c>
      <c r="BF43" s="20">
        <f t="shared" si="41"/>
        <v>155651.06340000001</v>
      </c>
      <c r="BG43" s="20">
        <f t="shared" si="41"/>
        <v>166089.93960000001</v>
      </c>
      <c r="BH43" s="20">
        <f t="shared" si="41"/>
        <v>119472.7298</v>
      </c>
      <c r="BI43" s="20">
        <f t="shared" si="41"/>
        <v>80016.07190000001</v>
      </c>
      <c r="BJ43" s="20">
        <f t="shared" si="41"/>
        <v>46074.2716</v>
      </c>
      <c r="BK43" s="20">
        <f t="shared" si="41"/>
        <v>26223.145799999998</v>
      </c>
      <c r="BL43" s="20">
        <f t="shared" si="41"/>
        <v>24108.536100000001</v>
      </c>
      <c r="BM43" s="20">
        <f t="shared" si="41"/>
        <v>24156.099600000001</v>
      </c>
      <c r="BN43" s="20">
        <f t="shared" si="41"/>
        <v>24526.189399999999</v>
      </c>
      <c r="BO43" s="20">
        <f t="shared" si="41"/>
        <v>35793.914499999999</v>
      </c>
      <c r="BP43" s="20">
        <f t="shared" si="41"/>
        <v>82648.873099999997</v>
      </c>
      <c r="BQ43" s="20">
        <f t="shared" si="41"/>
        <v>130630.48140000002</v>
      </c>
      <c r="BR43" s="20">
        <f t="shared" si="41"/>
        <v>155651.06340000001</v>
      </c>
      <c r="BS43" s="20">
        <f t="shared" si="41"/>
        <v>166089.93960000001</v>
      </c>
      <c r="BT43" s="20">
        <f t="shared" si="41"/>
        <v>119472.7298</v>
      </c>
      <c r="BU43" s="20">
        <f t="shared" si="41"/>
        <v>80016.07190000001</v>
      </c>
      <c r="BV43" s="20">
        <f t="shared" si="41"/>
        <v>46074.2716</v>
      </c>
      <c r="BW43" s="20">
        <f t="shared" si="41"/>
        <v>26223.145799999998</v>
      </c>
      <c r="BX43" s="20">
        <f t="shared" ref="BX43:CI43" si="42">BX40+BX41+BX42</f>
        <v>24108.536100000001</v>
      </c>
      <c r="BY43" s="20">
        <f t="shared" si="42"/>
        <v>24156.099600000001</v>
      </c>
      <c r="BZ43" s="20">
        <f t="shared" si="42"/>
        <v>24526.189399999999</v>
      </c>
      <c r="CA43" s="20">
        <f t="shared" si="42"/>
        <v>35793.914499999999</v>
      </c>
      <c r="CB43" s="20">
        <f t="shared" si="42"/>
        <v>82648.873099999997</v>
      </c>
      <c r="CC43" s="20">
        <f t="shared" si="42"/>
        <v>130630.48140000002</v>
      </c>
      <c r="CD43" s="20">
        <f t="shared" si="42"/>
        <v>155651.06340000001</v>
      </c>
      <c r="CE43" s="20">
        <f t="shared" si="42"/>
        <v>166089.93960000001</v>
      </c>
      <c r="CF43" s="20">
        <f t="shared" si="42"/>
        <v>119472.7298</v>
      </c>
      <c r="CG43" s="20">
        <f t="shared" si="42"/>
        <v>80016.07190000001</v>
      </c>
      <c r="CH43" s="20">
        <f t="shared" si="42"/>
        <v>46074.2716</v>
      </c>
      <c r="CI43" s="20">
        <f t="shared" si="42"/>
        <v>26223.145799999998</v>
      </c>
      <c r="CJ43" s="288"/>
      <c r="CK43" s="288"/>
      <c r="CL43" s="288"/>
    </row>
    <row r="44" spans="1:90">
      <c r="A44" s="2">
        <v>34</v>
      </c>
      <c r="B44" s="2" t="s">
        <v>196</v>
      </c>
      <c r="D44" s="11">
        <f>D35</f>
        <v>4.3225999999999996</v>
      </c>
      <c r="E44" s="11">
        <f t="shared" ref="E44:P44" si="43">E35</f>
        <v>3.2031999999999998</v>
      </c>
      <c r="F44" s="11">
        <f t="shared" si="43"/>
        <v>3.2031999999999998</v>
      </c>
      <c r="G44" s="11">
        <f t="shared" si="43"/>
        <v>3.2031999999999998</v>
      </c>
      <c r="H44" s="11">
        <f t="shared" si="43"/>
        <v>3.8712</v>
      </c>
      <c r="I44" s="11">
        <f t="shared" si="43"/>
        <v>3.8712</v>
      </c>
      <c r="J44" s="11">
        <f t="shared" si="43"/>
        <v>3.8712</v>
      </c>
      <c r="K44" s="11">
        <f t="shared" si="43"/>
        <v>3.5292000000000003</v>
      </c>
      <c r="L44" s="11">
        <f t="shared" si="43"/>
        <v>3.5292000000000003</v>
      </c>
      <c r="M44" s="11">
        <f t="shared" si="43"/>
        <v>3.5292000000000003</v>
      </c>
      <c r="N44" s="11">
        <f t="shared" si="43"/>
        <v>3.2274000000000003</v>
      </c>
      <c r="O44" s="11">
        <f t="shared" si="43"/>
        <v>3.2274000000000003</v>
      </c>
      <c r="P44" s="11">
        <f t="shared" si="43"/>
        <v>3.2274000000000003</v>
      </c>
      <c r="Q44" s="11">
        <f t="shared" ref="Q44:BW44" si="44">Q35</f>
        <v>4.0815000000000001</v>
      </c>
      <c r="R44" s="11">
        <f t="shared" si="44"/>
        <v>4.0815000000000001</v>
      </c>
      <c r="S44" s="11">
        <f t="shared" si="44"/>
        <v>4.0815000000000001</v>
      </c>
      <c r="T44" s="11">
        <f t="shared" si="44"/>
        <v>3.2488557934427784</v>
      </c>
      <c r="U44" s="11">
        <f t="shared" si="44"/>
        <v>3.2488557934427784</v>
      </c>
      <c r="V44" s="11">
        <f t="shared" si="44"/>
        <v>3.2488557934427784</v>
      </c>
      <c r="W44" s="11">
        <f t="shared" si="44"/>
        <v>4.5812916609737586</v>
      </c>
      <c r="X44" s="11">
        <f t="shared" si="44"/>
        <v>4.5812916609737586</v>
      </c>
      <c r="Y44" s="11">
        <f t="shared" si="44"/>
        <v>4.5812916609737586</v>
      </c>
      <c r="Z44" s="11">
        <f t="shared" si="44"/>
        <v>4.9331682240840156</v>
      </c>
      <c r="AA44" s="11">
        <f t="shared" si="44"/>
        <v>4.9331682240840156</v>
      </c>
      <c r="AB44" s="11">
        <f t="shared" si="44"/>
        <v>4.9331682240840156</v>
      </c>
      <c r="AC44" s="11">
        <f t="shared" si="44"/>
        <v>5.2989478814284547</v>
      </c>
      <c r="AD44" s="11">
        <f t="shared" si="44"/>
        <v>5.2989478814284547</v>
      </c>
      <c r="AE44" s="11">
        <f t="shared" si="44"/>
        <v>5.2989478814284547</v>
      </c>
      <c r="AF44" s="11">
        <f t="shared" si="44"/>
        <v>5.329817872818098</v>
      </c>
      <c r="AG44" s="11">
        <f t="shared" si="44"/>
        <v>5.329817872818098</v>
      </c>
      <c r="AH44" s="11">
        <f t="shared" si="44"/>
        <v>5.329817872818098</v>
      </c>
      <c r="AI44" s="11">
        <f t="shared" si="44"/>
        <v>4.8926337200932446</v>
      </c>
      <c r="AJ44" s="11">
        <f t="shared" si="44"/>
        <v>4.8926337200932446</v>
      </c>
      <c r="AK44" s="11">
        <f t="shared" si="44"/>
        <v>4.8926337200932446</v>
      </c>
      <c r="AL44" s="11">
        <f t="shared" si="44"/>
        <v>5.2942237383950923</v>
      </c>
      <c r="AM44" s="11">
        <f t="shared" si="44"/>
        <v>5.2942237383950923</v>
      </c>
      <c r="AN44" s="11">
        <f t="shared" si="44"/>
        <v>5.2942237383950923</v>
      </c>
      <c r="AO44" s="11">
        <f t="shared" si="44"/>
        <v>5.5154857501809937</v>
      </c>
      <c r="AP44" s="11">
        <f t="shared" si="44"/>
        <v>5.5154857501809937</v>
      </c>
      <c r="AQ44" s="11">
        <f t="shared" si="44"/>
        <v>5.5154857501809937</v>
      </c>
      <c r="AR44" s="11">
        <f t="shared" si="44"/>
        <v>5.5193777878303756</v>
      </c>
      <c r="AS44" s="11">
        <f t="shared" si="44"/>
        <v>5.5193777878303756</v>
      </c>
      <c r="AT44" s="11">
        <f t="shared" si="44"/>
        <v>5.5193777878303756</v>
      </c>
      <c r="AU44" s="11">
        <f t="shared" si="44"/>
        <v>5.0393774049891711</v>
      </c>
      <c r="AV44" s="11">
        <f t="shared" si="44"/>
        <v>5.0393774049891711</v>
      </c>
      <c r="AW44" s="11">
        <f t="shared" si="44"/>
        <v>5.0393774049891711</v>
      </c>
      <c r="AX44" s="11">
        <f t="shared" si="44"/>
        <v>5.2575068685197071</v>
      </c>
      <c r="AY44" s="11">
        <f t="shared" si="44"/>
        <v>5.2575068685197071</v>
      </c>
      <c r="AZ44" s="11">
        <f t="shared" si="44"/>
        <v>5.2575068685197071</v>
      </c>
      <c r="BA44" s="11">
        <f t="shared" si="44"/>
        <v>5.4807109052526153</v>
      </c>
      <c r="BB44" s="11">
        <f t="shared" si="44"/>
        <v>5.4807109052526153</v>
      </c>
      <c r="BC44" s="11">
        <f t="shared" si="44"/>
        <v>5.4807109052526153</v>
      </c>
      <c r="BD44" s="11">
        <f t="shared" si="44"/>
        <v>5.5030405335494681</v>
      </c>
      <c r="BE44" s="11">
        <f t="shared" si="44"/>
        <v>5.5030405335494681</v>
      </c>
      <c r="BF44" s="11">
        <f t="shared" si="44"/>
        <v>5.5030405335494681</v>
      </c>
      <c r="BG44" s="11">
        <f t="shared" si="44"/>
        <v>5.0068251804991943</v>
      </c>
      <c r="BH44" s="11">
        <f t="shared" si="44"/>
        <v>5.0068251804991943</v>
      </c>
      <c r="BI44" s="11">
        <f t="shared" si="44"/>
        <v>5.0068251804991943</v>
      </c>
      <c r="BJ44" s="11">
        <f t="shared" si="44"/>
        <v>5.1605900652510286</v>
      </c>
      <c r="BK44" s="11">
        <f t="shared" si="44"/>
        <v>5.1605900652510286</v>
      </c>
      <c r="BL44" s="11">
        <f t="shared" si="44"/>
        <v>5.1605900652510286</v>
      </c>
      <c r="BM44" s="11">
        <f t="shared" si="44"/>
        <v>5.3918447061691781</v>
      </c>
      <c r="BN44" s="11">
        <f t="shared" si="44"/>
        <v>5.3918447061691781</v>
      </c>
      <c r="BO44" s="11">
        <f t="shared" si="44"/>
        <v>5.3918447061691781</v>
      </c>
      <c r="BP44" s="11">
        <f t="shared" si="44"/>
        <v>5.4421044849788194</v>
      </c>
      <c r="BQ44" s="11">
        <f t="shared" si="44"/>
        <v>5.4421044849788194</v>
      </c>
      <c r="BR44" s="11">
        <f t="shared" si="44"/>
        <v>5.4421044849788194</v>
      </c>
      <c r="BS44" s="11">
        <f t="shared" si="44"/>
        <v>4.9566474120420656</v>
      </c>
      <c r="BT44" s="11">
        <f t="shared" si="44"/>
        <v>4.9566474120420656</v>
      </c>
      <c r="BU44" s="11">
        <f t="shared" si="44"/>
        <v>4.9566474120420656</v>
      </c>
      <c r="BV44" s="11">
        <f t="shared" si="44"/>
        <v>5.1409863183259938</v>
      </c>
      <c r="BW44" s="11">
        <f t="shared" si="44"/>
        <v>5.1409863183259938</v>
      </c>
      <c r="BX44" s="11">
        <f t="shared" ref="BX44:CI44" si="45">BX35</f>
        <v>5.1409863183259938</v>
      </c>
      <c r="BY44" s="11">
        <f t="shared" si="45"/>
        <v>5.3835560455584055</v>
      </c>
      <c r="BZ44" s="11">
        <f t="shared" si="45"/>
        <v>5.3835560455584055</v>
      </c>
      <c r="CA44" s="11">
        <f t="shared" si="45"/>
        <v>5.3835560455584055</v>
      </c>
      <c r="CB44" s="11">
        <f t="shared" si="45"/>
        <v>5.3747965077238442</v>
      </c>
      <c r="CC44" s="11">
        <f t="shared" si="45"/>
        <v>5.3747965077238442</v>
      </c>
      <c r="CD44" s="11">
        <f t="shared" si="45"/>
        <v>5.3747965077238442</v>
      </c>
      <c r="CE44" s="11">
        <f t="shared" si="45"/>
        <v>7.858832250491564</v>
      </c>
      <c r="CF44" s="11">
        <f t="shared" si="45"/>
        <v>7.858832250491564</v>
      </c>
      <c r="CG44" s="11">
        <f t="shared" si="45"/>
        <v>7.858832250491564</v>
      </c>
      <c r="CH44" s="11">
        <f t="shared" si="45"/>
        <v>7.9841447259155158</v>
      </c>
      <c r="CI44" s="11">
        <f t="shared" si="45"/>
        <v>7.9841447259155158</v>
      </c>
      <c r="CJ44" s="289"/>
      <c r="CK44" s="289"/>
      <c r="CL44" s="289"/>
    </row>
    <row r="45" spans="1:90">
      <c r="A45" s="2">
        <v>35</v>
      </c>
      <c r="B45" s="2" t="s">
        <v>188</v>
      </c>
      <c r="D45" s="3">
        <f t="shared" ref="D45:AI45" si="46">D44*D43</f>
        <v>104211.55814585999</v>
      </c>
      <c r="E45" s="3">
        <f t="shared" si="46"/>
        <v>77376.818238720007</v>
      </c>
      <c r="F45" s="3">
        <f t="shared" si="46"/>
        <v>78562.289886079991</v>
      </c>
      <c r="G45" s="3">
        <f t="shared" si="46"/>
        <v>114655.06692639999</v>
      </c>
      <c r="H45" s="3">
        <f t="shared" si="46"/>
        <v>319950.31754471996</v>
      </c>
      <c r="I45" s="3">
        <f t="shared" si="46"/>
        <v>505696.71959568007</v>
      </c>
      <c r="J45" s="3">
        <f t="shared" si="46"/>
        <v>602556.3966340801</v>
      </c>
      <c r="K45" s="3">
        <f t="shared" si="46"/>
        <v>586164.61483632005</v>
      </c>
      <c r="L45" s="3">
        <f t="shared" si="46"/>
        <v>421643.15801016003</v>
      </c>
      <c r="M45" s="3">
        <f t="shared" si="46"/>
        <v>282392.72094948008</v>
      </c>
      <c r="N45" s="3">
        <f t="shared" si="46"/>
        <v>148700.10416184002</v>
      </c>
      <c r="O45" s="3">
        <f t="shared" si="46"/>
        <v>84632.580754919996</v>
      </c>
      <c r="P45" s="3">
        <f t="shared" si="46"/>
        <v>77807.889409140014</v>
      </c>
      <c r="Q45" s="3">
        <f t="shared" si="46"/>
        <v>98593.120517400006</v>
      </c>
      <c r="R45" s="3">
        <f t="shared" si="46"/>
        <v>100103.64203610001</v>
      </c>
      <c r="S45" s="3">
        <f t="shared" si="46"/>
        <v>146092.86203175</v>
      </c>
      <c r="T45" s="3">
        <f t="shared" si="46"/>
        <v>268514.27019245201</v>
      </c>
      <c r="U45" s="3">
        <f t="shared" si="46"/>
        <v>424399.59629660915</v>
      </c>
      <c r="V45" s="3">
        <f t="shared" si="46"/>
        <v>505687.85908261925</v>
      </c>
      <c r="W45" s="3">
        <f t="shared" si="46"/>
        <v>760906.45526111533</v>
      </c>
      <c r="X45" s="3">
        <f t="shared" si="46"/>
        <v>547339.42074651108</v>
      </c>
      <c r="Y45" s="3">
        <f t="shared" si="46"/>
        <v>366576.96293934673</v>
      </c>
      <c r="Z45" s="3">
        <f t="shared" si="46"/>
        <v>227292.1326049366</v>
      </c>
      <c r="AA45" s="3">
        <f t="shared" si="46"/>
        <v>129363.1895960822</v>
      </c>
      <c r="AB45" s="3">
        <f t="shared" si="46"/>
        <v>118931.46421770238</v>
      </c>
      <c r="AC45" s="3">
        <f t="shared" si="46"/>
        <v>128001.91279899474</v>
      </c>
      <c r="AD45" s="3">
        <f t="shared" si="46"/>
        <v>129962.99936064302</v>
      </c>
      <c r="AE45" s="3">
        <f t="shared" si="46"/>
        <v>189670.08740780625</v>
      </c>
      <c r="AF45" s="3">
        <f t="shared" si="46"/>
        <v>440503.44101665489</v>
      </c>
      <c r="AG45" s="3">
        <f t="shared" si="46"/>
        <v>696236.67450055224</v>
      </c>
      <c r="AH45" s="3">
        <f t="shared" si="46"/>
        <v>829591.81963246304</v>
      </c>
      <c r="AI45" s="3">
        <f t="shared" si="46"/>
        <v>812617.23905521038</v>
      </c>
      <c r="AJ45" s="3">
        <f t="shared" ref="AJ45:BW45" si="47">AJ44*AJ43</f>
        <v>584536.30645106907</v>
      </c>
      <c r="AK45" s="3">
        <f t="shared" si="47"/>
        <v>391489.33152734558</v>
      </c>
      <c r="AL45" s="3">
        <f t="shared" si="47"/>
        <v>243927.50243398282</v>
      </c>
      <c r="AM45" s="3">
        <f t="shared" si="47"/>
        <v>138831.20098975557</v>
      </c>
      <c r="AN45" s="3">
        <f t="shared" si="47"/>
        <v>127635.98411857504</v>
      </c>
      <c r="AO45" s="3">
        <f t="shared" si="47"/>
        <v>133232.6231237528</v>
      </c>
      <c r="AP45" s="3">
        <f t="shared" si="47"/>
        <v>135273.84814194014</v>
      </c>
      <c r="AQ45" s="3">
        <f t="shared" si="47"/>
        <v>197420.82536794685</v>
      </c>
      <c r="AR45" s="3">
        <f t="shared" si="47"/>
        <v>456170.35437735141</v>
      </c>
      <c r="AS45" s="3">
        <f t="shared" si="47"/>
        <v>720998.97745274915</v>
      </c>
      <c r="AT45" s="3">
        <f t="shared" si="47"/>
        <v>859097.02198213758</v>
      </c>
      <c r="AU45" s="3">
        <f t="shared" si="47"/>
        <v>836989.88881625619</v>
      </c>
      <c r="AV45" s="3">
        <f t="shared" si="47"/>
        <v>602068.17506649636</v>
      </c>
      <c r="AW45" s="3">
        <f t="shared" si="47"/>
        <v>403231.18476884899</v>
      </c>
      <c r="AX45" s="3">
        <f t="shared" si="47"/>
        <v>242235.79939904247</v>
      </c>
      <c r="AY45" s="3">
        <f t="shared" si="47"/>
        <v>137868.3691576937</v>
      </c>
      <c r="AZ45" s="3">
        <f t="shared" si="47"/>
        <v>126750.79413570532</v>
      </c>
      <c r="BA45" s="3">
        <f t="shared" si="47"/>
        <v>132392.59850608834</v>
      </c>
      <c r="BB45" s="3">
        <f t="shared" si="47"/>
        <v>134420.95370887109</v>
      </c>
      <c r="BC45" s="3">
        <f t="shared" si="47"/>
        <v>196176.09754182972</v>
      </c>
      <c r="BD45" s="3">
        <f t="shared" si="47"/>
        <v>454820.09872148628</v>
      </c>
      <c r="BE45" s="3">
        <f t="shared" si="47"/>
        <v>718864.83406128001</v>
      </c>
      <c r="BF45" s="3">
        <f t="shared" si="47"/>
        <v>856554.11098027811</v>
      </c>
      <c r="BG45" s="3">
        <f t="shared" si="47"/>
        <v>831583.29181687033</v>
      </c>
      <c r="BH45" s="3">
        <f t="shared" si="47"/>
        <v>598179.07194561651</v>
      </c>
      <c r="BI45" s="3">
        <f t="shared" si="47"/>
        <v>400626.48363355407</v>
      </c>
      <c r="BJ45" s="3">
        <f t="shared" si="47"/>
        <v>237770.42828263761</v>
      </c>
      <c r="BK45" s="3">
        <f t="shared" si="47"/>
        <v>135326.90569510922</v>
      </c>
      <c r="BL45" s="3">
        <f t="shared" si="47"/>
        <v>124414.27188540579</v>
      </c>
      <c r="BM45" s="3">
        <f t="shared" si="47"/>
        <v>130245.93774995541</v>
      </c>
      <c r="BN45" s="3">
        <f t="shared" si="47"/>
        <v>132241.4044788926</v>
      </c>
      <c r="BO45" s="3">
        <f t="shared" si="47"/>
        <v>192995.22840989719</v>
      </c>
      <c r="BP45" s="3">
        <f t="shared" si="47"/>
        <v>449783.8029759553</v>
      </c>
      <c r="BQ45" s="3">
        <f t="shared" si="47"/>
        <v>710904.7287018823</v>
      </c>
      <c r="BR45" s="3">
        <f t="shared" si="47"/>
        <v>847069.35022086266</v>
      </c>
      <c r="BS45" s="3">
        <f t="shared" si="47"/>
        <v>823249.26928456302</v>
      </c>
      <c r="BT45" s="3">
        <f t="shared" si="47"/>
        <v>592184.19697277097</v>
      </c>
      <c r="BU45" s="3">
        <f t="shared" si="47"/>
        <v>396611.4557049069</v>
      </c>
      <c r="BV45" s="3">
        <f t="shared" si="47"/>
        <v>236867.19992243589</v>
      </c>
      <c r="BW45" s="3">
        <f t="shared" si="47"/>
        <v>134812.83378126775</v>
      </c>
      <c r="BX45" s="3">
        <f t="shared" ref="BX45:CI45" si="48">BX44*BX43</f>
        <v>123941.65424496832</v>
      </c>
      <c r="BY45" s="3">
        <f t="shared" si="48"/>
        <v>130045.71603869098</v>
      </c>
      <c r="BZ45" s="3">
        <f t="shared" si="48"/>
        <v>132038.11521888047</v>
      </c>
      <c r="CA45" s="3">
        <f t="shared" si="48"/>
        <v>192698.54480067568</v>
      </c>
      <c r="CB45" s="3">
        <f t="shared" si="48"/>
        <v>444220.87450519117</v>
      </c>
      <c r="CC45" s="3">
        <f t="shared" si="48"/>
        <v>702112.25523100467</v>
      </c>
      <c r="CD45" s="3">
        <f t="shared" si="48"/>
        <v>836592.79198582273</v>
      </c>
      <c r="CE45" s="3">
        <f t="shared" si="48"/>
        <v>1305272.973810676</v>
      </c>
      <c r="CF45" s="3">
        <f t="shared" si="48"/>
        <v>938916.14200650458</v>
      </c>
      <c r="CG45" s="3">
        <f t="shared" si="48"/>
        <v>628832.88640537183</v>
      </c>
      <c r="CH45" s="3">
        <f t="shared" si="48"/>
        <v>367863.65259553905</v>
      </c>
      <c r="CI45" s="3">
        <f t="shared" si="48"/>
        <v>209369.39123598361</v>
      </c>
      <c r="CJ45" s="286"/>
      <c r="CK45" s="286"/>
      <c r="CL45" s="286"/>
    </row>
    <row r="46" spans="1:90">
      <c r="A46" s="2">
        <v>36</v>
      </c>
    </row>
    <row r="47" spans="1:90">
      <c r="A47" s="2">
        <v>37</v>
      </c>
      <c r="B47" s="23" t="s">
        <v>57</v>
      </c>
      <c r="D47" s="50">
        <f>D48*$C$48+D49*$C$49+D50*$C$50</f>
        <v>1058.2202293600001</v>
      </c>
      <c r="E47" s="50">
        <f t="shared" ref="E47:BP47" si="49">E48*$C$48+E49*$C$49+E50*$C$50</f>
        <v>1067.4262963199999</v>
      </c>
      <c r="F47" s="50">
        <f t="shared" si="49"/>
        <v>1156.99335348</v>
      </c>
      <c r="G47" s="50">
        <f t="shared" si="49"/>
        <v>1082.3861551299999</v>
      </c>
      <c r="H47" s="50">
        <f t="shared" si="49"/>
        <v>1722.4079307699999</v>
      </c>
      <c r="I47" s="50">
        <f t="shared" si="49"/>
        <v>2487.4411934099999</v>
      </c>
      <c r="J47" s="50">
        <f t="shared" si="49"/>
        <v>2982.3806385299999</v>
      </c>
      <c r="K47" s="50">
        <f t="shared" si="49"/>
        <v>3345.1696148800002</v>
      </c>
      <c r="L47" s="50">
        <f t="shared" si="49"/>
        <v>2610.3687749000001</v>
      </c>
      <c r="M47" s="50">
        <f t="shared" si="49"/>
        <v>2079.2406024399997</v>
      </c>
      <c r="N47" s="50">
        <f t="shared" si="49"/>
        <v>2460.04241959</v>
      </c>
      <c r="O47" s="50">
        <f t="shared" si="49"/>
        <v>1096.67434798</v>
      </c>
      <c r="P47" s="50">
        <f t="shared" si="49"/>
        <v>1058.2202293600001</v>
      </c>
      <c r="Q47" s="50">
        <f t="shared" si="49"/>
        <v>1067.4262963199999</v>
      </c>
      <c r="R47" s="50">
        <f t="shared" si="49"/>
        <v>1156.99335348</v>
      </c>
      <c r="S47" s="50">
        <f t="shared" si="49"/>
        <v>1082.3861551299999</v>
      </c>
      <c r="T47" s="50">
        <f t="shared" si="49"/>
        <v>1722.4079307699999</v>
      </c>
      <c r="U47" s="50">
        <f t="shared" si="49"/>
        <v>2487.4411934099999</v>
      </c>
      <c r="V47" s="50">
        <f t="shared" si="49"/>
        <v>2982.3806385299999</v>
      </c>
      <c r="W47" s="50">
        <f t="shared" si="49"/>
        <v>3345.1696148800002</v>
      </c>
      <c r="X47" s="50">
        <f t="shared" si="49"/>
        <v>2610.3687749000001</v>
      </c>
      <c r="Y47" s="50">
        <f t="shared" si="49"/>
        <v>2079.2406024399997</v>
      </c>
      <c r="Z47" s="50">
        <f t="shared" si="49"/>
        <v>2460.04241959</v>
      </c>
      <c r="AA47" s="50">
        <f t="shared" si="49"/>
        <v>1096.67434798</v>
      </c>
      <c r="AB47" s="50">
        <f t="shared" si="49"/>
        <v>1058.2202293600001</v>
      </c>
      <c r="AC47" s="50">
        <f t="shared" si="49"/>
        <v>1067.4262963199999</v>
      </c>
      <c r="AD47" s="50">
        <f t="shared" si="49"/>
        <v>1156.99335348</v>
      </c>
      <c r="AE47" s="50">
        <f t="shared" si="49"/>
        <v>1082.3861551299999</v>
      </c>
      <c r="AF47" s="50">
        <f t="shared" si="49"/>
        <v>1722.4079307699999</v>
      </c>
      <c r="AG47" s="50">
        <f t="shared" si="49"/>
        <v>2487.4411934099999</v>
      </c>
      <c r="AH47" s="50">
        <f t="shared" si="49"/>
        <v>2982.3806385299999</v>
      </c>
      <c r="AI47" s="50">
        <f t="shared" si="49"/>
        <v>3345.1696148800002</v>
      </c>
      <c r="AJ47" s="50">
        <f t="shared" si="49"/>
        <v>2610.3687749000001</v>
      </c>
      <c r="AK47" s="50">
        <f t="shared" si="49"/>
        <v>2079.2406024399997</v>
      </c>
      <c r="AL47" s="50">
        <f t="shared" si="49"/>
        <v>2460.04241959</v>
      </c>
      <c r="AM47" s="50">
        <f t="shared" si="49"/>
        <v>1096.67434798</v>
      </c>
      <c r="AN47" s="50">
        <f t="shared" si="49"/>
        <v>1058.2202293600001</v>
      </c>
      <c r="AO47" s="50">
        <f t="shared" si="49"/>
        <v>1067.4262963199999</v>
      </c>
      <c r="AP47" s="50">
        <f t="shared" si="49"/>
        <v>1156.99335348</v>
      </c>
      <c r="AQ47" s="50">
        <f t="shared" si="49"/>
        <v>1082.3861551299999</v>
      </c>
      <c r="AR47" s="50">
        <f t="shared" si="49"/>
        <v>1722.4079307699999</v>
      </c>
      <c r="AS47" s="50">
        <f t="shared" si="49"/>
        <v>2487.4411934099999</v>
      </c>
      <c r="AT47" s="50">
        <f t="shared" si="49"/>
        <v>2982.3806385299999</v>
      </c>
      <c r="AU47" s="50">
        <f t="shared" si="49"/>
        <v>3345.1696148800002</v>
      </c>
      <c r="AV47" s="50">
        <f t="shared" si="49"/>
        <v>2610.3687749000001</v>
      </c>
      <c r="AW47" s="50">
        <f t="shared" si="49"/>
        <v>2079.2406024399997</v>
      </c>
      <c r="AX47" s="50">
        <f t="shared" si="49"/>
        <v>2460.04241959</v>
      </c>
      <c r="AY47" s="50">
        <f t="shared" si="49"/>
        <v>1096.67434798</v>
      </c>
      <c r="AZ47" s="50">
        <f t="shared" si="49"/>
        <v>1058.2202293600001</v>
      </c>
      <c r="BA47" s="50">
        <f t="shared" si="49"/>
        <v>1067.4262963199999</v>
      </c>
      <c r="BB47" s="50">
        <f t="shared" si="49"/>
        <v>1156.99335348</v>
      </c>
      <c r="BC47" s="50">
        <f t="shared" si="49"/>
        <v>1082.3861551299999</v>
      </c>
      <c r="BD47" s="50">
        <f t="shared" si="49"/>
        <v>1722.4079307699999</v>
      </c>
      <c r="BE47" s="50">
        <f t="shared" si="49"/>
        <v>2487.4411934099999</v>
      </c>
      <c r="BF47" s="50">
        <f t="shared" si="49"/>
        <v>2982.3806385299999</v>
      </c>
      <c r="BG47" s="50">
        <f t="shared" si="49"/>
        <v>3345.1696148800002</v>
      </c>
      <c r="BH47" s="50">
        <f t="shared" si="49"/>
        <v>2610.3687749000001</v>
      </c>
      <c r="BI47" s="50">
        <f t="shared" si="49"/>
        <v>2079.2406024399997</v>
      </c>
      <c r="BJ47" s="50">
        <f t="shared" si="49"/>
        <v>2460.04241959</v>
      </c>
      <c r="BK47" s="50">
        <f t="shared" si="49"/>
        <v>1096.67434798</v>
      </c>
      <c r="BL47" s="50">
        <f t="shared" si="49"/>
        <v>1058.2202293600001</v>
      </c>
      <c r="BM47" s="50">
        <f t="shared" si="49"/>
        <v>1067.4262963199999</v>
      </c>
      <c r="BN47" s="50">
        <f t="shared" si="49"/>
        <v>1156.99335348</v>
      </c>
      <c r="BO47" s="50">
        <f t="shared" si="49"/>
        <v>1082.3861551299999</v>
      </c>
      <c r="BP47" s="50">
        <f t="shared" si="49"/>
        <v>1722.4079307699999</v>
      </c>
      <c r="BQ47" s="50">
        <f t="shared" ref="BQ47:CI47" si="50">BQ48*$C$48+BQ49*$C$49+BQ50*$C$50</f>
        <v>2487.4411934099999</v>
      </c>
      <c r="BR47" s="50">
        <f t="shared" si="50"/>
        <v>2982.3806385299999</v>
      </c>
      <c r="BS47" s="50">
        <f t="shared" si="50"/>
        <v>3345.1696148800002</v>
      </c>
      <c r="BT47" s="50">
        <f t="shared" si="50"/>
        <v>2610.3687749000001</v>
      </c>
      <c r="BU47" s="50">
        <f t="shared" si="50"/>
        <v>2079.2406024399997</v>
      </c>
      <c r="BV47" s="50">
        <f t="shared" si="50"/>
        <v>2460.04241959</v>
      </c>
      <c r="BW47" s="50">
        <f t="shared" si="50"/>
        <v>1096.67434798</v>
      </c>
      <c r="BX47" s="50">
        <f t="shared" si="50"/>
        <v>1058.2202293600001</v>
      </c>
      <c r="BY47" s="50">
        <f t="shared" si="50"/>
        <v>1067.4262963199999</v>
      </c>
      <c r="BZ47" s="50">
        <f t="shared" si="50"/>
        <v>1156.99335348</v>
      </c>
      <c r="CA47" s="50">
        <f t="shared" si="50"/>
        <v>1082.3861551299999</v>
      </c>
      <c r="CB47" s="50">
        <f t="shared" si="50"/>
        <v>1722.4079307699999</v>
      </c>
      <c r="CC47" s="50">
        <f t="shared" si="50"/>
        <v>2487.4411934099999</v>
      </c>
      <c r="CD47" s="50">
        <f t="shared" si="50"/>
        <v>2982.3806385299999</v>
      </c>
      <c r="CE47" s="50">
        <f t="shared" si="50"/>
        <v>3345.1696148800002</v>
      </c>
      <c r="CF47" s="50">
        <f t="shared" si="50"/>
        <v>2610.3687749000001</v>
      </c>
      <c r="CG47" s="50">
        <f t="shared" si="50"/>
        <v>2079.2406024399997</v>
      </c>
      <c r="CH47" s="50">
        <f t="shared" si="50"/>
        <v>2460.04241959</v>
      </c>
      <c r="CI47" s="50">
        <f t="shared" si="50"/>
        <v>1096.67434798</v>
      </c>
      <c r="CJ47" s="291"/>
      <c r="CK47" s="291"/>
      <c r="CL47" s="291"/>
    </row>
    <row r="48" spans="1:90">
      <c r="A48" s="2">
        <v>38</v>
      </c>
      <c r="B48" s="2" t="s">
        <v>58</v>
      </c>
      <c r="C48" s="44">
        <f>'Rate Design'!G14</f>
        <v>520</v>
      </c>
      <c r="D48" s="6">
        <f>'Bill Frequency'!C41+'Contract &amp; Vol Adj'!C41</f>
        <v>2</v>
      </c>
      <c r="E48" s="6">
        <f>'Bill Frequency'!D41+'Contract &amp; Vol Adj'!D41</f>
        <v>2</v>
      </c>
      <c r="F48" s="6">
        <f>'Bill Frequency'!E41+'Contract &amp; Vol Adj'!E41</f>
        <v>2</v>
      </c>
      <c r="G48" s="6">
        <f>'Bill Frequency'!F41+'Contract &amp; Vol Adj'!F41</f>
        <v>2</v>
      </c>
      <c r="H48" s="6">
        <f>'Bill Frequency'!G41+'Contract &amp; Vol Adj'!G41</f>
        <v>3</v>
      </c>
      <c r="I48" s="6">
        <f>'Bill Frequency'!H41+'Contract &amp; Vol Adj'!H41</f>
        <v>3</v>
      </c>
      <c r="J48" s="6">
        <f>'Bill Frequency'!I41+'Contract &amp; Vol Adj'!I41</f>
        <v>3</v>
      </c>
      <c r="K48" s="6">
        <f>'Bill Frequency'!J41+'Contract &amp; Vol Adj'!J41</f>
        <v>3</v>
      </c>
      <c r="L48" s="6">
        <f>'Bill Frequency'!K41+'Contract &amp; Vol Adj'!K41</f>
        <v>3</v>
      </c>
      <c r="M48" s="6">
        <f>'Bill Frequency'!L41+'Contract &amp; Vol Adj'!L41</f>
        <v>3</v>
      </c>
      <c r="N48" s="6">
        <f>'Bill Frequency'!M41+'Contract &amp; Vol Adj'!M41</f>
        <v>4</v>
      </c>
      <c r="O48" s="6">
        <f>'Bill Frequency'!N41+'Contract &amp; Vol Adj'!N41</f>
        <v>2</v>
      </c>
      <c r="P48" s="6">
        <f t="shared" ref="P48:Y50" si="51">D48</f>
        <v>2</v>
      </c>
      <c r="Q48" s="6">
        <f t="shared" si="51"/>
        <v>2</v>
      </c>
      <c r="R48" s="6">
        <f t="shared" si="51"/>
        <v>2</v>
      </c>
      <c r="S48" s="6">
        <f t="shared" si="51"/>
        <v>2</v>
      </c>
      <c r="T48" s="6">
        <f t="shared" si="51"/>
        <v>3</v>
      </c>
      <c r="U48" s="6">
        <f t="shared" si="51"/>
        <v>3</v>
      </c>
      <c r="V48" s="6">
        <f t="shared" si="51"/>
        <v>3</v>
      </c>
      <c r="W48" s="6">
        <f t="shared" si="51"/>
        <v>3</v>
      </c>
      <c r="X48" s="6">
        <f t="shared" si="51"/>
        <v>3</v>
      </c>
      <c r="Y48" s="6">
        <f t="shared" si="51"/>
        <v>3</v>
      </c>
      <c r="Z48" s="6">
        <f t="shared" ref="Z48:AI50" si="52">N48</f>
        <v>4</v>
      </c>
      <c r="AA48" s="6">
        <f t="shared" si="52"/>
        <v>2</v>
      </c>
      <c r="AB48" s="6">
        <f t="shared" si="52"/>
        <v>2</v>
      </c>
      <c r="AC48" s="6">
        <f t="shared" si="52"/>
        <v>2</v>
      </c>
      <c r="AD48" s="6">
        <f t="shared" si="52"/>
        <v>2</v>
      </c>
      <c r="AE48" s="6">
        <f t="shared" si="52"/>
        <v>2</v>
      </c>
      <c r="AF48" s="6">
        <f t="shared" si="52"/>
        <v>3</v>
      </c>
      <c r="AG48" s="6">
        <f t="shared" si="52"/>
        <v>3</v>
      </c>
      <c r="AH48" s="6">
        <f t="shared" si="52"/>
        <v>3</v>
      </c>
      <c r="AI48" s="6">
        <f t="shared" si="52"/>
        <v>3</v>
      </c>
      <c r="AJ48" s="6">
        <f t="shared" ref="AJ48:AS50" si="53">X48</f>
        <v>3</v>
      </c>
      <c r="AK48" s="6">
        <f t="shared" si="53"/>
        <v>3</v>
      </c>
      <c r="AL48" s="6">
        <f t="shared" si="53"/>
        <v>4</v>
      </c>
      <c r="AM48" s="6">
        <f t="shared" si="53"/>
        <v>2</v>
      </c>
      <c r="AN48" s="6">
        <f t="shared" si="53"/>
        <v>2</v>
      </c>
      <c r="AO48" s="6">
        <f t="shared" si="53"/>
        <v>2</v>
      </c>
      <c r="AP48" s="6">
        <f t="shared" si="53"/>
        <v>2</v>
      </c>
      <c r="AQ48" s="6">
        <f t="shared" si="53"/>
        <v>2</v>
      </c>
      <c r="AR48" s="6">
        <f t="shared" si="53"/>
        <v>3</v>
      </c>
      <c r="AS48" s="6">
        <f t="shared" si="53"/>
        <v>3</v>
      </c>
      <c r="AT48" s="6">
        <f t="shared" ref="AT48:BC50" si="54">AH48</f>
        <v>3</v>
      </c>
      <c r="AU48" s="6">
        <f t="shared" si="54"/>
        <v>3</v>
      </c>
      <c r="AV48" s="6">
        <f t="shared" si="54"/>
        <v>3</v>
      </c>
      <c r="AW48" s="6">
        <f t="shared" si="54"/>
        <v>3</v>
      </c>
      <c r="AX48" s="6">
        <f t="shared" si="54"/>
        <v>4</v>
      </c>
      <c r="AY48" s="6">
        <f t="shared" si="54"/>
        <v>2</v>
      </c>
      <c r="AZ48" s="6">
        <f t="shared" si="54"/>
        <v>2</v>
      </c>
      <c r="BA48" s="6">
        <f t="shared" si="54"/>
        <v>2</v>
      </c>
      <c r="BB48" s="6">
        <f t="shared" si="54"/>
        <v>2</v>
      </c>
      <c r="BC48" s="6">
        <f t="shared" si="54"/>
        <v>2</v>
      </c>
      <c r="BD48" s="6">
        <f t="shared" ref="BD48:BS50" si="55">AR48</f>
        <v>3</v>
      </c>
      <c r="BE48" s="6">
        <f t="shared" si="55"/>
        <v>3</v>
      </c>
      <c r="BF48" s="6">
        <f t="shared" si="55"/>
        <v>3</v>
      </c>
      <c r="BG48" s="6">
        <f t="shared" si="55"/>
        <v>3</v>
      </c>
      <c r="BH48" s="6">
        <f t="shared" si="55"/>
        <v>3</v>
      </c>
      <c r="BI48" s="6">
        <f t="shared" si="55"/>
        <v>3</v>
      </c>
      <c r="BJ48" s="6">
        <f t="shared" si="55"/>
        <v>4</v>
      </c>
      <c r="BK48" s="6">
        <f t="shared" si="55"/>
        <v>2</v>
      </c>
      <c r="BL48" s="6">
        <f t="shared" si="55"/>
        <v>2</v>
      </c>
      <c r="BM48" s="6">
        <f t="shared" si="55"/>
        <v>2</v>
      </c>
      <c r="BN48" s="6">
        <f t="shared" si="55"/>
        <v>2</v>
      </c>
      <c r="BO48" s="6">
        <f t="shared" si="55"/>
        <v>2</v>
      </c>
      <c r="BP48" s="6">
        <f t="shared" si="55"/>
        <v>3</v>
      </c>
      <c r="BQ48" s="6">
        <f t="shared" si="55"/>
        <v>3</v>
      </c>
      <c r="BR48" s="6">
        <f t="shared" si="55"/>
        <v>3</v>
      </c>
      <c r="BS48" s="6">
        <f t="shared" si="55"/>
        <v>3</v>
      </c>
      <c r="BT48" s="6">
        <f t="shared" ref="BT48:BW50" si="56">BH48</f>
        <v>3</v>
      </c>
      <c r="BU48" s="6">
        <f t="shared" si="56"/>
        <v>3</v>
      </c>
      <c r="BV48" s="6">
        <f t="shared" si="56"/>
        <v>4</v>
      </c>
      <c r="BW48" s="6">
        <f t="shared" si="56"/>
        <v>2</v>
      </c>
      <c r="BX48" s="6">
        <f t="shared" ref="BX48:CI50" si="57">BL48</f>
        <v>2</v>
      </c>
      <c r="BY48" s="6">
        <f t="shared" si="57"/>
        <v>2</v>
      </c>
      <c r="BZ48" s="6">
        <f t="shared" si="57"/>
        <v>2</v>
      </c>
      <c r="CA48" s="6">
        <f t="shared" si="57"/>
        <v>2</v>
      </c>
      <c r="CB48" s="6">
        <f t="shared" si="57"/>
        <v>3</v>
      </c>
      <c r="CC48" s="6">
        <f t="shared" si="57"/>
        <v>3</v>
      </c>
      <c r="CD48" s="6">
        <f t="shared" si="57"/>
        <v>3</v>
      </c>
      <c r="CE48" s="6">
        <f t="shared" si="57"/>
        <v>3</v>
      </c>
      <c r="CF48" s="6">
        <f t="shared" si="57"/>
        <v>3</v>
      </c>
      <c r="CG48" s="6">
        <f t="shared" si="57"/>
        <v>3</v>
      </c>
      <c r="CH48" s="6">
        <f t="shared" si="57"/>
        <v>4</v>
      </c>
      <c r="CI48" s="6">
        <f t="shared" si="57"/>
        <v>2</v>
      </c>
      <c r="CJ48" s="287"/>
      <c r="CK48" s="287"/>
      <c r="CL48" s="287"/>
    </row>
    <row r="49" spans="1:90">
      <c r="A49" s="2">
        <v>39</v>
      </c>
      <c r="B49" s="2" t="s">
        <v>59</v>
      </c>
      <c r="C49" s="13">
        <f>'Rate Design'!G31</f>
        <v>0.95569999999999999</v>
      </c>
      <c r="D49" s="6">
        <f>'Bill Frequency'!C42+'Contract &amp; Vol Adj'!C42</f>
        <v>19.064800000000002</v>
      </c>
      <c r="E49" s="6">
        <f>'Bill Frequency'!D42+'Contract &amp; Vol Adj'!D42</f>
        <v>28.697600000000001</v>
      </c>
      <c r="F49" s="6">
        <f>'Bill Frequency'!E42+'Contract &amp; Vol Adj'!E42</f>
        <v>122.4164</v>
      </c>
      <c r="G49" s="6">
        <f>'Bill Frequency'!F42+'Contract &amp; Vol Adj'!F42</f>
        <v>44.350900000000003</v>
      </c>
      <c r="H49" s="6">
        <f>'Bill Frequency'!G42+'Contract &amp; Vol Adj'!G42</f>
        <v>169.93610000000001</v>
      </c>
      <c r="I49" s="6">
        <f>'Bill Frequency'!H42+'Contract &amp; Vol Adj'!H42</f>
        <v>970.43129999999996</v>
      </c>
      <c r="J49" s="6">
        <f>'Bill Frequency'!I42+'Contract &amp; Vol Adj'!I42</f>
        <v>1488.3128999999999</v>
      </c>
      <c r="K49" s="6">
        <f>'Bill Frequency'!J42+'Contract &amp; Vol Adj'!J42</f>
        <v>1867.9184</v>
      </c>
      <c r="L49" s="6">
        <f>'Bill Frequency'!K42+'Contract &amp; Vol Adj'!K42</f>
        <v>1099.057</v>
      </c>
      <c r="M49" s="6">
        <f>'Bill Frequency'!L42+'Contract &amp; Vol Adj'!L42</f>
        <v>543.30920000000003</v>
      </c>
      <c r="N49" s="6">
        <f>'Bill Frequency'!M42+'Contract &amp; Vol Adj'!M42</f>
        <v>397.65870000000001</v>
      </c>
      <c r="O49" s="6">
        <f>'Bill Frequency'!N42+'Contract &amp; Vol Adj'!N42</f>
        <v>59.301400000000001</v>
      </c>
      <c r="P49" s="6">
        <f t="shared" si="51"/>
        <v>19.064800000000002</v>
      </c>
      <c r="Q49" s="6">
        <f t="shared" si="51"/>
        <v>28.697600000000001</v>
      </c>
      <c r="R49" s="6">
        <f t="shared" si="51"/>
        <v>122.4164</v>
      </c>
      <c r="S49" s="6">
        <f t="shared" si="51"/>
        <v>44.350900000000003</v>
      </c>
      <c r="T49" s="6">
        <f t="shared" si="51"/>
        <v>169.93610000000001</v>
      </c>
      <c r="U49" s="6">
        <f t="shared" si="51"/>
        <v>970.43129999999996</v>
      </c>
      <c r="V49" s="6">
        <f t="shared" si="51"/>
        <v>1488.3128999999999</v>
      </c>
      <c r="W49" s="6">
        <f t="shared" si="51"/>
        <v>1867.9184</v>
      </c>
      <c r="X49" s="6">
        <f t="shared" si="51"/>
        <v>1099.057</v>
      </c>
      <c r="Y49" s="6">
        <f t="shared" si="51"/>
        <v>543.30920000000003</v>
      </c>
      <c r="Z49" s="6">
        <f t="shared" si="52"/>
        <v>397.65870000000001</v>
      </c>
      <c r="AA49" s="6">
        <f t="shared" si="52"/>
        <v>59.301400000000001</v>
      </c>
      <c r="AB49" s="6">
        <f t="shared" si="52"/>
        <v>19.064800000000002</v>
      </c>
      <c r="AC49" s="6">
        <f t="shared" si="52"/>
        <v>28.697600000000001</v>
      </c>
      <c r="AD49" s="6">
        <f t="shared" si="52"/>
        <v>122.4164</v>
      </c>
      <c r="AE49" s="6">
        <f t="shared" si="52"/>
        <v>44.350900000000003</v>
      </c>
      <c r="AF49" s="6">
        <f t="shared" si="52"/>
        <v>169.93610000000001</v>
      </c>
      <c r="AG49" s="6">
        <f t="shared" si="52"/>
        <v>970.43129999999996</v>
      </c>
      <c r="AH49" s="6">
        <f t="shared" si="52"/>
        <v>1488.3128999999999</v>
      </c>
      <c r="AI49" s="6">
        <f t="shared" si="52"/>
        <v>1867.9184</v>
      </c>
      <c r="AJ49" s="6">
        <f t="shared" si="53"/>
        <v>1099.057</v>
      </c>
      <c r="AK49" s="6">
        <f t="shared" si="53"/>
        <v>543.30920000000003</v>
      </c>
      <c r="AL49" s="6">
        <f t="shared" si="53"/>
        <v>397.65870000000001</v>
      </c>
      <c r="AM49" s="6">
        <f t="shared" si="53"/>
        <v>59.301400000000001</v>
      </c>
      <c r="AN49" s="6">
        <f t="shared" si="53"/>
        <v>19.064800000000002</v>
      </c>
      <c r="AO49" s="6">
        <f t="shared" si="53"/>
        <v>28.697600000000001</v>
      </c>
      <c r="AP49" s="6">
        <f t="shared" si="53"/>
        <v>122.4164</v>
      </c>
      <c r="AQ49" s="6">
        <f t="shared" si="53"/>
        <v>44.350900000000003</v>
      </c>
      <c r="AR49" s="6">
        <f t="shared" si="53"/>
        <v>169.93610000000001</v>
      </c>
      <c r="AS49" s="6">
        <f t="shared" si="53"/>
        <v>970.43129999999996</v>
      </c>
      <c r="AT49" s="6">
        <f t="shared" si="54"/>
        <v>1488.3128999999999</v>
      </c>
      <c r="AU49" s="6">
        <f t="shared" si="54"/>
        <v>1867.9184</v>
      </c>
      <c r="AV49" s="6">
        <f t="shared" si="54"/>
        <v>1099.057</v>
      </c>
      <c r="AW49" s="6">
        <f t="shared" si="54"/>
        <v>543.30920000000003</v>
      </c>
      <c r="AX49" s="6">
        <f t="shared" si="54"/>
        <v>397.65870000000001</v>
      </c>
      <c r="AY49" s="6">
        <f t="shared" si="54"/>
        <v>59.301400000000001</v>
      </c>
      <c r="AZ49" s="6">
        <f t="shared" si="54"/>
        <v>19.064800000000002</v>
      </c>
      <c r="BA49" s="6">
        <f t="shared" si="54"/>
        <v>28.697600000000001</v>
      </c>
      <c r="BB49" s="6">
        <f t="shared" si="54"/>
        <v>122.4164</v>
      </c>
      <c r="BC49" s="6">
        <f t="shared" si="54"/>
        <v>44.350900000000003</v>
      </c>
      <c r="BD49" s="6">
        <f t="shared" si="55"/>
        <v>169.93610000000001</v>
      </c>
      <c r="BE49" s="6">
        <f t="shared" si="55"/>
        <v>970.43129999999996</v>
      </c>
      <c r="BF49" s="6">
        <f t="shared" si="55"/>
        <v>1488.3128999999999</v>
      </c>
      <c r="BG49" s="6">
        <f t="shared" si="55"/>
        <v>1867.9184</v>
      </c>
      <c r="BH49" s="6">
        <f t="shared" si="55"/>
        <v>1099.057</v>
      </c>
      <c r="BI49" s="6">
        <f t="shared" si="55"/>
        <v>543.30920000000003</v>
      </c>
      <c r="BJ49" s="6">
        <f t="shared" si="55"/>
        <v>397.65870000000001</v>
      </c>
      <c r="BK49" s="6">
        <f t="shared" si="55"/>
        <v>59.301400000000001</v>
      </c>
      <c r="BL49" s="6">
        <f t="shared" si="55"/>
        <v>19.064800000000002</v>
      </c>
      <c r="BM49" s="6">
        <f t="shared" si="55"/>
        <v>28.697600000000001</v>
      </c>
      <c r="BN49" s="6">
        <f t="shared" si="55"/>
        <v>122.4164</v>
      </c>
      <c r="BO49" s="6">
        <f t="shared" si="55"/>
        <v>44.350900000000003</v>
      </c>
      <c r="BP49" s="6">
        <f t="shared" si="55"/>
        <v>169.93610000000001</v>
      </c>
      <c r="BQ49" s="6">
        <f t="shared" si="55"/>
        <v>970.43129999999996</v>
      </c>
      <c r="BR49" s="6">
        <f t="shared" si="55"/>
        <v>1488.3128999999999</v>
      </c>
      <c r="BS49" s="6">
        <f t="shared" si="55"/>
        <v>1867.9184</v>
      </c>
      <c r="BT49" s="6">
        <f t="shared" si="56"/>
        <v>1099.057</v>
      </c>
      <c r="BU49" s="6">
        <f t="shared" si="56"/>
        <v>543.30920000000003</v>
      </c>
      <c r="BV49" s="6">
        <f t="shared" si="56"/>
        <v>397.65870000000001</v>
      </c>
      <c r="BW49" s="6">
        <f t="shared" si="56"/>
        <v>59.301400000000001</v>
      </c>
      <c r="BX49" s="6">
        <f t="shared" si="57"/>
        <v>19.064800000000002</v>
      </c>
      <c r="BY49" s="6">
        <f t="shared" si="57"/>
        <v>28.697600000000001</v>
      </c>
      <c r="BZ49" s="6">
        <f t="shared" si="57"/>
        <v>122.4164</v>
      </c>
      <c r="CA49" s="6">
        <f t="shared" si="57"/>
        <v>44.350900000000003</v>
      </c>
      <c r="CB49" s="6">
        <f t="shared" si="57"/>
        <v>169.93610000000001</v>
      </c>
      <c r="CC49" s="6">
        <f t="shared" si="57"/>
        <v>970.43129999999996</v>
      </c>
      <c r="CD49" s="6">
        <f t="shared" si="57"/>
        <v>1488.3128999999999</v>
      </c>
      <c r="CE49" s="6">
        <f t="shared" si="57"/>
        <v>1867.9184</v>
      </c>
      <c r="CF49" s="6">
        <f t="shared" si="57"/>
        <v>1099.057</v>
      </c>
      <c r="CG49" s="6">
        <f t="shared" si="57"/>
        <v>543.30920000000003</v>
      </c>
      <c r="CH49" s="6">
        <f t="shared" si="57"/>
        <v>397.65870000000001</v>
      </c>
      <c r="CI49" s="6">
        <f t="shared" si="57"/>
        <v>59.301400000000001</v>
      </c>
      <c r="CJ49" s="287"/>
      <c r="CK49" s="287"/>
      <c r="CL49" s="287"/>
    </row>
    <row r="50" spans="1:90">
      <c r="A50" s="2">
        <v>40</v>
      </c>
      <c r="B50" s="2" t="s">
        <v>55</v>
      </c>
      <c r="C50" s="13">
        <f>'Rate Design'!G32</f>
        <v>0.78369999999999995</v>
      </c>
      <c r="D50" s="6">
        <f>'Bill Frequency'!C43+'Contract &amp; Vol Adj'!C43</f>
        <v>0</v>
      </c>
      <c r="E50" s="6">
        <f>'Bill Frequency'!D43+'Contract &amp; Vol Adj'!D43</f>
        <v>0</v>
      </c>
      <c r="F50" s="6">
        <f>'Bill Frequency'!E43+'Contract &amp; Vol Adj'!E43</f>
        <v>0</v>
      </c>
      <c r="G50" s="6">
        <f>'Bill Frequency'!F43+'Contract &amp; Vol Adj'!F43</f>
        <v>0</v>
      </c>
      <c r="H50" s="6">
        <f>'Bill Frequency'!G43+'Contract &amp; Vol Adj'!G43</f>
        <v>0</v>
      </c>
      <c r="I50" s="6">
        <f>'Bill Frequency'!H43+'Contract &amp; Vol Adj'!H43</f>
        <v>0</v>
      </c>
      <c r="J50" s="6">
        <f>'Bill Frequency'!I43+'Contract &amp; Vol Adj'!I43</f>
        <v>0</v>
      </c>
      <c r="K50" s="6">
        <f>'Bill Frequency'!J43+'Contract &amp; Vol Adj'!J43</f>
        <v>0</v>
      </c>
      <c r="L50" s="6">
        <f>'Bill Frequency'!K43+'Contract &amp; Vol Adj'!K43</f>
        <v>0</v>
      </c>
      <c r="M50" s="6">
        <f>'Bill Frequency'!L43+'Contract &amp; Vol Adj'!L43</f>
        <v>0</v>
      </c>
      <c r="N50" s="6">
        <f>'Bill Frequency'!M43+'Contract &amp; Vol Adj'!M43</f>
        <v>0</v>
      </c>
      <c r="O50" s="6">
        <f>'Bill Frequency'!N43+'Contract &amp; Vol Adj'!N43</f>
        <v>0</v>
      </c>
      <c r="P50" s="6">
        <f t="shared" si="51"/>
        <v>0</v>
      </c>
      <c r="Q50" s="6">
        <f t="shared" si="51"/>
        <v>0</v>
      </c>
      <c r="R50" s="6">
        <f t="shared" si="51"/>
        <v>0</v>
      </c>
      <c r="S50" s="6">
        <f t="shared" si="51"/>
        <v>0</v>
      </c>
      <c r="T50" s="6">
        <f t="shared" si="51"/>
        <v>0</v>
      </c>
      <c r="U50" s="6">
        <f t="shared" si="51"/>
        <v>0</v>
      </c>
      <c r="V50" s="6">
        <f t="shared" si="51"/>
        <v>0</v>
      </c>
      <c r="W50" s="6">
        <f t="shared" si="51"/>
        <v>0</v>
      </c>
      <c r="X50" s="6">
        <f t="shared" si="51"/>
        <v>0</v>
      </c>
      <c r="Y50" s="6">
        <f t="shared" si="51"/>
        <v>0</v>
      </c>
      <c r="Z50" s="6">
        <f t="shared" si="52"/>
        <v>0</v>
      </c>
      <c r="AA50" s="6">
        <f t="shared" si="52"/>
        <v>0</v>
      </c>
      <c r="AB50" s="6">
        <f t="shared" si="52"/>
        <v>0</v>
      </c>
      <c r="AC50" s="6">
        <f t="shared" si="52"/>
        <v>0</v>
      </c>
      <c r="AD50" s="6">
        <f t="shared" si="52"/>
        <v>0</v>
      </c>
      <c r="AE50" s="6">
        <f t="shared" si="52"/>
        <v>0</v>
      </c>
      <c r="AF50" s="6">
        <f t="shared" si="52"/>
        <v>0</v>
      </c>
      <c r="AG50" s="6">
        <f t="shared" si="52"/>
        <v>0</v>
      </c>
      <c r="AH50" s="6">
        <f t="shared" si="52"/>
        <v>0</v>
      </c>
      <c r="AI50" s="6">
        <f t="shared" si="52"/>
        <v>0</v>
      </c>
      <c r="AJ50" s="6">
        <f t="shared" si="53"/>
        <v>0</v>
      </c>
      <c r="AK50" s="6">
        <f t="shared" si="53"/>
        <v>0</v>
      </c>
      <c r="AL50" s="6">
        <f t="shared" si="53"/>
        <v>0</v>
      </c>
      <c r="AM50" s="6">
        <f t="shared" si="53"/>
        <v>0</v>
      </c>
      <c r="AN50" s="6">
        <f t="shared" si="53"/>
        <v>0</v>
      </c>
      <c r="AO50" s="6">
        <f t="shared" si="53"/>
        <v>0</v>
      </c>
      <c r="AP50" s="6">
        <f t="shared" si="53"/>
        <v>0</v>
      </c>
      <c r="AQ50" s="6">
        <f t="shared" si="53"/>
        <v>0</v>
      </c>
      <c r="AR50" s="6">
        <f t="shared" si="53"/>
        <v>0</v>
      </c>
      <c r="AS50" s="6">
        <f t="shared" si="53"/>
        <v>0</v>
      </c>
      <c r="AT50" s="6">
        <f t="shared" si="54"/>
        <v>0</v>
      </c>
      <c r="AU50" s="6">
        <f t="shared" si="54"/>
        <v>0</v>
      </c>
      <c r="AV50" s="6">
        <f t="shared" si="54"/>
        <v>0</v>
      </c>
      <c r="AW50" s="6">
        <f t="shared" si="54"/>
        <v>0</v>
      </c>
      <c r="AX50" s="6">
        <f t="shared" si="54"/>
        <v>0</v>
      </c>
      <c r="AY50" s="6">
        <f t="shared" si="54"/>
        <v>0</v>
      </c>
      <c r="AZ50" s="6">
        <f t="shared" si="54"/>
        <v>0</v>
      </c>
      <c r="BA50" s="6">
        <f t="shared" si="54"/>
        <v>0</v>
      </c>
      <c r="BB50" s="6">
        <f t="shared" si="54"/>
        <v>0</v>
      </c>
      <c r="BC50" s="6">
        <f t="shared" si="54"/>
        <v>0</v>
      </c>
      <c r="BD50" s="6">
        <f t="shared" si="55"/>
        <v>0</v>
      </c>
      <c r="BE50" s="6">
        <f t="shared" si="55"/>
        <v>0</v>
      </c>
      <c r="BF50" s="6">
        <f t="shared" si="55"/>
        <v>0</v>
      </c>
      <c r="BG50" s="6">
        <f t="shared" si="55"/>
        <v>0</v>
      </c>
      <c r="BH50" s="6">
        <f t="shared" si="55"/>
        <v>0</v>
      </c>
      <c r="BI50" s="6">
        <f t="shared" si="55"/>
        <v>0</v>
      </c>
      <c r="BJ50" s="6">
        <f t="shared" si="55"/>
        <v>0</v>
      </c>
      <c r="BK50" s="6">
        <f t="shared" si="55"/>
        <v>0</v>
      </c>
      <c r="BL50" s="6">
        <f t="shared" si="55"/>
        <v>0</v>
      </c>
      <c r="BM50" s="6">
        <f t="shared" si="55"/>
        <v>0</v>
      </c>
      <c r="BN50" s="6">
        <f t="shared" si="55"/>
        <v>0</v>
      </c>
      <c r="BO50" s="6">
        <f t="shared" si="55"/>
        <v>0</v>
      </c>
      <c r="BP50" s="6">
        <f t="shared" si="55"/>
        <v>0</v>
      </c>
      <c r="BQ50" s="6">
        <f t="shared" si="55"/>
        <v>0</v>
      </c>
      <c r="BR50" s="6">
        <f t="shared" si="55"/>
        <v>0</v>
      </c>
      <c r="BS50" s="6">
        <f t="shared" si="55"/>
        <v>0</v>
      </c>
      <c r="BT50" s="6">
        <f t="shared" si="56"/>
        <v>0</v>
      </c>
      <c r="BU50" s="6">
        <f t="shared" si="56"/>
        <v>0</v>
      </c>
      <c r="BV50" s="6">
        <f t="shared" si="56"/>
        <v>0</v>
      </c>
      <c r="BW50" s="6">
        <f t="shared" si="56"/>
        <v>0</v>
      </c>
      <c r="BX50" s="6">
        <f t="shared" si="57"/>
        <v>0</v>
      </c>
      <c r="BY50" s="6">
        <f t="shared" si="57"/>
        <v>0</v>
      </c>
      <c r="BZ50" s="6">
        <f t="shared" si="57"/>
        <v>0</v>
      </c>
      <c r="CA50" s="6">
        <f t="shared" si="57"/>
        <v>0</v>
      </c>
      <c r="CB50" s="6">
        <f t="shared" si="57"/>
        <v>0</v>
      </c>
      <c r="CC50" s="6">
        <f t="shared" si="57"/>
        <v>0</v>
      </c>
      <c r="CD50" s="6">
        <f t="shared" si="57"/>
        <v>0</v>
      </c>
      <c r="CE50" s="6">
        <f t="shared" si="57"/>
        <v>0</v>
      </c>
      <c r="CF50" s="6">
        <f t="shared" si="57"/>
        <v>0</v>
      </c>
      <c r="CG50" s="6">
        <f t="shared" si="57"/>
        <v>0</v>
      </c>
      <c r="CH50" s="6">
        <f t="shared" si="57"/>
        <v>0</v>
      </c>
      <c r="CI50" s="6">
        <f t="shared" si="57"/>
        <v>0</v>
      </c>
      <c r="CJ50" s="287"/>
      <c r="CK50" s="287"/>
      <c r="CL50" s="287"/>
    </row>
    <row r="51" spans="1:90">
      <c r="A51" s="2">
        <v>41</v>
      </c>
      <c r="B51" s="21" t="s">
        <v>53</v>
      </c>
      <c r="C51" s="21"/>
      <c r="D51" s="20">
        <f t="shared" ref="D51:AI51" si="58">D49+D50</f>
        <v>19.064800000000002</v>
      </c>
      <c r="E51" s="20">
        <f t="shared" si="58"/>
        <v>28.697600000000001</v>
      </c>
      <c r="F51" s="20">
        <f t="shared" si="58"/>
        <v>122.4164</v>
      </c>
      <c r="G51" s="20">
        <f t="shared" si="58"/>
        <v>44.350900000000003</v>
      </c>
      <c r="H51" s="20">
        <f t="shared" si="58"/>
        <v>169.93610000000001</v>
      </c>
      <c r="I51" s="20">
        <f t="shared" si="58"/>
        <v>970.43129999999996</v>
      </c>
      <c r="J51" s="20">
        <f t="shared" si="58"/>
        <v>1488.3128999999999</v>
      </c>
      <c r="K51" s="20">
        <f t="shared" si="58"/>
        <v>1867.9184</v>
      </c>
      <c r="L51" s="20">
        <f t="shared" si="58"/>
        <v>1099.057</v>
      </c>
      <c r="M51" s="20">
        <f t="shared" si="58"/>
        <v>543.30920000000003</v>
      </c>
      <c r="N51" s="20">
        <f t="shared" si="58"/>
        <v>397.65870000000001</v>
      </c>
      <c r="O51" s="20">
        <f t="shared" si="58"/>
        <v>59.301400000000001</v>
      </c>
      <c r="P51" s="20">
        <f t="shared" si="58"/>
        <v>19.064800000000002</v>
      </c>
      <c r="Q51" s="20">
        <f t="shared" si="58"/>
        <v>28.697600000000001</v>
      </c>
      <c r="R51" s="20">
        <f t="shared" si="58"/>
        <v>122.4164</v>
      </c>
      <c r="S51" s="20">
        <f t="shared" si="58"/>
        <v>44.350900000000003</v>
      </c>
      <c r="T51" s="20">
        <f t="shared" si="58"/>
        <v>169.93610000000001</v>
      </c>
      <c r="U51" s="20">
        <f t="shared" si="58"/>
        <v>970.43129999999996</v>
      </c>
      <c r="V51" s="20">
        <f t="shared" si="58"/>
        <v>1488.3128999999999</v>
      </c>
      <c r="W51" s="20">
        <f t="shared" si="58"/>
        <v>1867.9184</v>
      </c>
      <c r="X51" s="20">
        <f t="shared" si="58"/>
        <v>1099.057</v>
      </c>
      <c r="Y51" s="20">
        <f t="shared" si="58"/>
        <v>543.30920000000003</v>
      </c>
      <c r="Z51" s="20">
        <f t="shared" si="58"/>
        <v>397.65870000000001</v>
      </c>
      <c r="AA51" s="20">
        <f t="shared" si="58"/>
        <v>59.301400000000001</v>
      </c>
      <c r="AB51" s="20">
        <f t="shared" si="58"/>
        <v>19.064800000000002</v>
      </c>
      <c r="AC51" s="20">
        <f t="shared" si="58"/>
        <v>28.697600000000001</v>
      </c>
      <c r="AD51" s="20">
        <f t="shared" si="58"/>
        <v>122.4164</v>
      </c>
      <c r="AE51" s="20">
        <f t="shared" si="58"/>
        <v>44.350900000000003</v>
      </c>
      <c r="AF51" s="20">
        <f t="shared" si="58"/>
        <v>169.93610000000001</v>
      </c>
      <c r="AG51" s="20">
        <f t="shared" si="58"/>
        <v>970.43129999999996</v>
      </c>
      <c r="AH51" s="20">
        <f t="shared" si="58"/>
        <v>1488.3128999999999</v>
      </c>
      <c r="AI51" s="20">
        <f t="shared" si="58"/>
        <v>1867.9184</v>
      </c>
      <c r="AJ51" s="20">
        <f t="shared" ref="AJ51:BW51" si="59">AJ49+AJ50</f>
        <v>1099.057</v>
      </c>
      <c r="AK51" s="20">
        <f t="shared" si="59"/>
        <v>543.30920000000003</v>
      </c>
      <c r="AL51" s="20">
        <f t="shared" si="59"/>
        <v>397.65870000000001</v>
      </c>
      <c r="AM51" s="20">
        <f t="shared" si="59"/>
        <v>59.301400000000001</v>
      </c>
      <c r="AN51" s="20">
        <f t="shared" si="59"/>
        <v>19.064800000000002</v>
      </c>
      <c r="AO51" s="20">
        <f t="shared" si="59"/>
        <v>28.697600000000001</v>
      </c>
      <c r="AP51" s="20">
        <f t="shared" si="59"/>
        <v>122.4164</v>
      </c>
      <c r="AQ51" s="20">
        <f t="shared" si="59"/>
        <v>44.350900000000003</v>
      </c>
      <c r="AR51" s="20">
        <f t="shared" si="59"/>
        <v>169.93610000000001</v>
      </c>
      <c r="AS51" s="20">
        <f t="shared" si="59"/>
        <v>970.43129999999996</v>
      </c>
      <c r="AT51" s="20">
        <f t="shared" si="59"/>
        <v>1488.3128999999999</v>
      </c>
      <c r="AU51" s="20">
        <f t="shared" si="59"/>
        <v>1867.9184</v>
      </c>
      <c r="AV51" s="20">
        <f t="shared" si="59"/>
        <v>1099.057</v>
      </c>
      <c r="AW51" s="20">
        <f t="shared" si="59"/>
        <v>543.30920000000003</v>
      </c>
      <c r="AX51" s="20">
        <f t="shared" si="59"/>
        <v>397.65870000000001</v>
      </c>
      <c r="AY51" s="20">
        <f t="shared" si="59"/>
        <v>59.301400000000001</v>
      </c>
      <c r="AZ51" s="20">
        <f t="shared" si="59"/>
        <v>19.064800000000002</v>
      </c>
      <c r="BA51" s="20">
        <f t="shared" si="59"/>
        <v>28.697600000000001</v>
      </c>
      <c r="BB51" s="20">
        <f t="shared" si="59"/>
        <v>122.4164</v>
      </c>
      <c r="BC51" s="20">
        <f t="shared" si="59"/>
        <v>44.350900000000003</v>
      </c>
      <c r="BD51" s="20">
        <f t="shared" si="59"/>
        <v>169.93610000000001</v>
      </c>
      <c r="BE51" s="20">
        <f t="shared" si="59"/>
        <v>970.43129999999996</v>
      </c>
      <c r="BF51" s="20">
        <f t="shared" si="59"/>
        <v>1488.3128999999999</v>
      </c>
      <c r="BG51" s="20">
        <f t="shared" si="59"/>
        <v>1867.9184</v>
      </c>
      <c r="BH51" s="20">
        <f t="shared" si="59"/>
        <v>1099.057</v>
      </c>
      <c r="BI51" s="20">
        <f t="shared" si="59"/>
        <v>543.30920000000003</v>
      </c>
      <c r="BJ51" s="20">
        <f t="shared" si="59"/>
        <v>397.65870000000001</v>
      </c>
      <c r="BK51" s="20">
        <f t="shared" si="59"/>
        <v>59.301400000000001</v>
      </c>
      <c r="BL51" s="20">
        <f t="shared" si="59"/>
        <v>19.064800000000002</v>
      </c>
      <c r="BM51" s="20">
        <f t="shared" si="59"/>
        <v>28.697600000000001</v>
      </c>
      <c r="BN51" s="20">
        <f t="shared" si="59"/>
        <v>122.4164</v>
      </c>
      <c r="BO51" s="20">
        <f t="shared" si="59"/>
        <v>44.350900000000003</v>
      </c>
      <c r="BP51" s="20">
        <f t="shared" si="59"/>
        <v>169.93610000000001</v>
      </c>
      <c r="BQ51" s="20">
        <f t="shared" si="59"/>
        <v>970.43129999999996</v>
      </c>
      <c r="BR51" s="20">
        <f t="shared" si="59"/>
        <v>1488.3128999999999</v>
      </c>
      <c r="BS51" s="20">
        <f t="shared" si="59"/>
        <v>1867.9184</v>
      </c>
      <c r="BT51" s="20">
        <f t="shared" si="59"/>
        <v>1099.057</v>
      </c>
      <c r="BU51" s="20">
        <f t="shared" si="59"/>
        <v>543.30920000000003</v>
      </c>
      <c r="BV51" s="20">
        <f t="shared" si="59"/>
        <v>397.65870000000001</v>
      </c>
      <c r="BW51" s="20">
        <f t="shared" si="59"/>
        <v>59.301400000000001</v>
      </c>
      <c r="BX51" s="20">
        <f t="shared" ref="BX51:CI51" si="60">BX49+BX50</f>
        <v>19.064800000000002</v>
      </c>
      <c r="BY51" s="20">
        <f t="shared" si="60"/>
        <v>28.697600000000001</v>
      </c>
      <c r="BZ51" s="20">
        <f t="shared" si="60"/>
        <v>122.4164</v>
      </c>
      <c r="CA51" s="20">
        <f t="shared" si="60"/>
        <v>44.350900000000003</v>
      </c>
      <c r="CB51" s="20">
        <f t="shared" si="60"/>
        <v>169.93610000000001</v>
      </c>
      <c r="CC51" s="20">
        <f t="shared" si="60"/>
        <v>970.43129999999996</v>
      </c>
      <c r="CD51" s="20">
        <f t="shared" si="60"/>
        <v>1488.3128999999999</v>
      </c>
      <c r="CE51" s="20">
        <f t="shared" si="60"/>
        <v>1867.9184</v>
      </c>
      <c r="CF51" s="20">
        <f t="shared" si="60"/>
        <v>1099.057</v>
      </c>
      <c r="CG51" s="20">
        <f t="shared" si="60"/>
        <v>543.30920000000003</v>
      </c>
      <c r="CH51" s="20">
        <f t="shared" si="60"/>
        <v>397.65870000000001</v>
      </c>
      <c r="CI51" s="20">
        <f t="shared" si="60"/>
        <v>59.301400000000001</v>
      </c>
      <c r="CJ51" s="288"/>
      <c r="CK51" s="288"/>
      <c r="CL51" s="288"/>
    </row>
    <row r="52" spans="1:90">
      <c r="A52" s="2">
        <v>42</v>
      </c>
      <c r="B52" s="2" t="s">
        <v>196</v>
      </c>
      <c r="D52" s="11">
        <v>3.2237</v>
      </c>
      <c r="E52" s="11">
        <v>2.0042999999999997</v>
      </c>
      <c r="F52" s="11">
        <v>2.0042999999999997</v>
      </c>
      <c r="G52" s="11">
        <v>2.0042999999999997</v>
      </c>
      <c r="H52" s="11">
        <v>2.7732000000000001</v>
      </c>
      <c r="I52" s="11">
        <v>2.7732000000000001</v>
      </c>
      <c r="J52" s="11">
        <v>2.7732000000000001</v>
      </c>
      <c r="K52" s="11">
        <v>2.4020000000000001</v>
      </c>
      <c r="L52" s="11">
        <v>2.4020000000000001</v>
      </c>
      <c r="M52" s="11">
        <v>2.4020000000000001</v>
      </c>
      <c r="N52" s="11">
        <v>2.0657000000000001</v>
      </c>
      <c r="O52" s="11">
        <v>2.0657000000000001</v>
      </c>
      <c r="P52" s="11">
        <v>2.0657000000000001</v>
      </c>
      <c r="Q52" s="11">
        <v>2.9218000000000002</v>
      </c>
      <c r="R52" s="11">
        <f>Q52</f>
        <v>2.9218000000000002</v>
      </c>
      <c r="S52" s="11">
        <f>R52</f>
        <v>2.9218000000000002</v>
      </c>
      <c r="T52" s="11">
        <f>'Gas Cost Worksheet'!L103</f>
        <v>3.4335061979023158</v>
      </c>
      <c r="U52" s="11">
        <f>'Gas Cost Worksheet'!M103</f>
        <v>3.4335061979023158</v>
      </c>
      <c r="V52" s="11">
        <f>'Gas Cost Worksheet'!N103</f>
        <v>3.4335061979023158</v>
      </c>
      <c r="W52" s="11">
        <f>'Gas Cost Worksheet'!O103</f>
        <v>3.4812973052790346</v>
      </c>
      <c r="X52" s="11">
        <f>'Gas Cost Worksheet'!P103</f>
        <v>3.4812973052790346</v>
      </c>
      <c r="Y52" s="11">
        <f>'Gas Cost Worksheet'!Q103</f>
        <v>3.4812973052790346</v>
      </c>
      <c r="Z52" s="11">
        <f>'Gas Cost Worksheet'!R103</f>
        <v>3.833173868389292</v>
      </c>
      <c r="AA52" s="11">
        <f>'Gas Cost Worksheet'!S103</f>
        <v>3.833173868389292</v>
      </c>
      <c r="AB52" s="11">
        <f>'Gas Cost Worksheet'!T103</f>
        <v>3.833173868389292</v>
      </c>
      <c r="AC52" s="11">
        <f>'Gas Cost Worksheet'!U103</f>
        <v>4.1989535257337307</v>
      </c>
      <c r="AD52" s="11">
        <f>'Gas Cost Worksheet'!V103</f>
        <v>4.1989535257337307</v>
      </c>
      <c r="AE52" s="11">
        <f>'Gas Cost Worksheet'!W103</f>
        <v>4.1989535257337307</v>
      </c>
      <c r="AF52" s="11">
        <f>'Gas Cost Worksheet'!X103</f>
        <v>4.229823517123374</v>
      </c>
      <c r="AG52" s="11">
        <f>'Gas Cost Worksheet'!Y103</f>
        <v>4.229823517123374</v>
      </c>
      <c r="AH52" s="11">
        <f>'Gas Cost Worksheet'!Z103</f>
        <v>4.229823517123374</v>
      </c>
      <c r="AI52" s="11">
        <f>'Gas Cost Worksheet'!AA103</f>
        <v>3.7936198763327615</v>
      </c>
      <c r="AJ52" s="11">
        <f>'Gas Cost Worksheet'!AB103</f>
        <v>3.7936198763327615</v>
      </c>
      <c r="AK52" s="11">
        <f>'Gas Cost Worksheet'!AC103</f>
        <v>3.7936198763327615</v>
      </c>
      <c r="AL52" s="11">
        <f>'Gas Cost Worksheet'!AD103</f>
        <v>4.1952098946346101</v>
      </c>
      <c r="AM52" s="11">
        <f>'Gas Cost Worksheet'!AE103</f>
        <v>4.1952098946346101</v>
      </c>
      <c r="AN52" s="11">
        <f>'Gas Cost Worksheet'!AF103</f>
        <v>4.1952098946346101</v>
      </c>
      <c r="AO52" s="11">
        <f>'Gas Cost Worksheet'!AG103</f>
        <v>4.4164719064205116</v>
      </c>
      <c r="AP52" s="11">
        <f>'Gas Cost Worksheet'!AH103</f>
        <v>4.4164719064205116</v>
      </c>
      <c r="AQ52" s="11">
        <f>'Gas Cost Worksheet'!AI103</f>
        <v>4.4164719064205116</v>
      </c>
      <c r="AR52" s="11">
        <f>'Gas Cost Worksheet'!AJ103</f>
        <v>4.4203639440698934</v>
      </c>
      <c r="AS52" s="11">
        <f>'Gas Cost Worksheet'!AK103</f>
        <v>4.4203639440698934</v>
      </c>
      <c r="AT52" s="11">
        <f>'Gas Cost Worksheet'!AL103</f>
        <v>4.4203639440698934</v>
      </c>
      <c r="AU52" s="11">
        <f>'Gas Cost Worksheet'!AM103</f>
        <v>3.9413423390141489</v>
      </c>
      <c r="AV52" s="11">
        <f>'Gas Cost Worksheet'!AN103</f>
        <v>3.9413423390141489</v>
      </c>
      <c r="AW52" s="11">
        <f>'Gas Cost Worksheet'!AO103</f>
        <v>3.9413423390141489</v>
      </c>
      <c r="AX52" s="11">
        <f>'Gas Cost Worksheet'!AP103</f>
        <v>4.1594718025446848</v>
      </c>
      <c r="AY52" s="11">
        <f>'Gas Cost Worksheet'!AQ103</f>
        <v>4.1594718025446848</v>
      </c>
      <c r="AZ52" s="11">
        <f>'Gas Cost Worksheet'!AR103</f>
        <v>4.1594718025446848</v>
      </c>
      <c r="BA52" s="11">
        <f>'Gas Cost Worksheet'!AS103</f>
        <v>4.3826758392775931</v>
      </c>
      <c r="BB52" s="11">
        <f>'Gas Cost Worksheet'!AT103</f>
        <v>4.3826758392775931</v>
      </c>
      <c r="BC52" s="11">
        <f>'Gas Cost Worksheet'!AU103</f>
        <v>4.3826758392775931</v>
      </c>
      <c r="BD52" s="11">
        <f>'Gas Cost Worksheet'!AV103</f>
        <v>4.405005467574445</v>
      </c>
      <c r="BE52" s="11">
        <f>'Gas Cost Worksheet'!AW103</f>
        <v>4.405005467574445</v>
      </c>
      <c r="BF52" s="11">
        <f>'Gas Cost Worksheet'!AX103</f>
        <v>4.405005467574445</v>
      </c>
      <c r="BG52" s="11">
        <f>'Gas Cost Worksheet'!AY103</f>
        <v>3.9097669034362394</v>
      </c>
      <c r="BH52" s="11">
        <f>'Gas Cost Worksheet'!AZ103</f>
        <v>3.9097669034362394</v>
      </c>
      <c r="BI52" s="11">
        <f>'Gas Cost Worksheet'!BA103</f>
        <v>3.9097669034362394</v>
      </c>
      <c r="BJ52" s="11">
        <f>'Gas Cost Worksheet'!BB103</f>
        <v>4.0635317881880733</v>
      </c>
      <c r="BK52" s="11">
        <f>'Gas Cost Worksheet'!BC103</f>
        <v>4.0635317881880733</v>
      </c>
      <c r="BL52" s="11">
        <f>'Gas Cost Worksheet'!BD103</f>
        <v>4.0635317881880733</v>
      </c>
      <c r="BM52" s="11">
        <f>'Gas Cost Worksheet'!BE103</f>
        <v>4.2947864291062237</v>
      </c>
      <c r="BN52" s="11">
        <f>'Gas Cost Worksheet'!BF103</f>
        <v>4.2947864291062237</v>
      </c>
      <c r="BO52" s="11">
        <f>'Gas Cost Worksheet'!BG103</f>
        <v>4.2947864291062237</v>
      </c>
      <c r="BP52" s="11">
        <f>'Gas Cost Worksheet'!BH103</f>
        <v>4.3450462079158649</v>
      </c>
      <c r="BQ52" s="11">
        <f>'Gas Cost Worksheet'!BI103</f>
        <v>4.3450462079158649</v>
      </c>
      <c r="BR52" s="11">
        <f>'Gas Cost Worksheet'!BJ103</f>
        <v>4.3450462079158649</v>
      </c>
      <c r="BS52" s="11">
        <f>'Gas Cost Worksheet'!BK103</f>
        <v>3.8605643354006669</v>
      </c>
      <c r="BT52" s="11">
        <f>'Gas Cost Worksheet'!BL103</f>
        <v>3.8605643354006669</v>
      </c>
      <c r="BU52" s="11">
        <f>'Gas Cost Worksheet'!BM103</f>
        <v>3.8605643354006669</v>
      </c>
      <c r="BV52" s="11">
        <f>'Gas Cost Worksheet'!BN103</f>
        <v>4.0449032416845938</v>
      </c>
      <c r="BW52" s="11">
        <f>'Gas Cost Worksheet'!BO103</f>
        <v>4.0449032416845938</v>
      </c>
      <c r="BX52" s="11">
        <f>'Gas Cost Worksheet'!BP103</f>
        <v>4.0449032416845938</v>
      </c>
      <c r="BY52" s="11">
        <f>'Gas Cost Worksheet'!BQ103</f>
        <v>4.2874729689170064</v>
      </c>
      <c r="BZ52" s="11">
        <f>'Gas Cost Worksheet'!BR103</f>
        <v>4.2874729689170064</v>
      </c>
      <c r="CA52" s="11">
        <f>'Gas Cost Worksheet'!BS103</f>
        <v>4.2874729689170064</v>
      </c>
      <c r="CB52" s="11">
        <f>'Gas Cost Worksheet'!BT103</f>
        <v>4.2787134310824442</v>
      </c>
      <c r="CC52" s="11">
        <f>'Gas Cost Worksheet'!BU103</f>
        <v>4.2787134310824442</v>
      </c>
      <c r="CD52" s="11">
        <f>'Gas Cost Worksheet'!BV103</f>
        <v>4.2787134310824442</v>
      </c>
      <c r="CE52" s="11">
        <f>'Gas Cost Worksheet'!BW103</f>
        <v>3.7661992385787704</v>
      </c>
      <c r="CF52" s="11">
        <f>'Gas Cost Worksheet'!BX103</f>
        <v>3.7661992385787704</v>
      </c>
      <c r="CG52" s="11">
        <f>'Gas Cost Worksheet'!BY103</f>
        <v>3.7661992385787704</v>
      </c>
      <c r="CH52" s="11">
        <f>'Gas Cost Worksheet'!BZ103</f>
        <v>3.8915117140027218</v>
      </c>
      <c r="CI52" s="11">
        <f>'Gas Cost Worksheet'!CA103</f>
        <v>3.8915117140027218</v>
      </c>
      <c r="CJ52" s="285"/>
      <c r="CK52" s="285"/>
      <c r="CL52" s="285"/>
    </row>
    <row r="53" spans="1:90">
      <c r="A53" s="2">
        <v>43</v>
      </c>
      <c r="B53" s="2" t="s">
        <v>188</v>
      </c>
      <c r="D53" s="3">
        <f t="shared" ref="D53:AI53" si="61">D52*D51</f>
        <v>61.459195760000007</v>
      </c>
      <c r="E53" s="3">
        <f t="shared" si="61"/>
        <v>57.518599679999994</v>
      </c>
      <c r="F53" s="3">
        <f t="shared" si="61"/>
        <v>245.35919051999997</v>
      </c>
      <c r="G53" s="3">
        <f t="shared" si="61"/>
        <v>88.89250887</v>
      </c>
      <c r="H53" s="3">
        <f t="shared" si="61"/>
        <v>471.26679252000002</v>
      </c>
      <c r="I53" s="3">
        <f t="shared" si="61"/>
        <v>2691.2000811600001</v>
      </c>
      <c r="J53" s="3">
        <f t="shared" si="61"/>
        <v>4127.3893342800002</v>
      </c>
      <c r="K53" s="3">
        <f t="shared" si="61"/>
        <v>4486.7399968</v>
      </c>
      <c r="L53" s="3">
        <f t="shared" si="61"/>
        <v>2639.9349140000004</v>
      </c>
      <c r="M53" s="3">
        <f t="shared" si="61"/>
        <v>1305.0286984000002</v>
      </c>
      <c r="N53" s="3">
        <f t="shared" si="61"/>
        <v>821.44357659000002</v>
      </c>
      <c r="O53" s="3">
        <f t="shared" si="61"/>
        <v>122.49890198000001</v>
      </c>
      <c r="P53" s="3">
        <f t="shared" si="61"/>
        <v>39.382157360000008</v>
      </c>
      <c r="Q53" s="3">
        <f t="shared" si="61"/>
        <v>83.848647680000013</v>
      </c>
      <c r="R53" s="3">
        <f t="shared" si="61"/>
        <v>357.67623752000003</v>
      </c>
      <c r="S53" s="3">
        <f t="shared" si="61"/>
        <v>129.58445962000002</v>
      </c>
      <c r="T53" s="3">
        <f t="shared" si="61"/>
        <v>583.47665259734777</v>
      </c>
      <c r="U53" s="3">
        <f t="shared" si="61"/>
        <v>3331.9818831884013</v>
      </c>
      <c r="V53" s="3">
        <f t="shared" si="61"/>
        <v>5110.1315665679695</v>
      </c>
      <c r="W53" s="3">
        <f t="shared" si="61"/>
        <v>6502.7792924011255</v>
      </c>
      <c r="X53" s="3">
        <f t="shared" si="61"/>
        <v>3826.1441724480601</v>
      </c>
      <c r="Y53" s="3">
        <f t="shared" si="61"/>
        <v>1891.4208538933083</v>
      </c>
      <c r="Z53" s="3">
        <f t="shared" si="61"/>
        <v>1524.2949373776569</v>
      </c>
      <c r="AA53" s="3">
        <f t="shared" si="61"/>
        <v>227.31257683890075</v>
      </c>
      <c r="AB53" s="3">
        <f t="shared" si="61"/>
        <v>73.078693166068177</v>
      </c>
      <c r="AC53" s="3">
        <f t="shared" si="61"/>
        <v>120.49988870009632</v>
      </c>
      <c r="AD53" s="3">
        <f t="shared" si="61"/>
        <v>514.02077438763069</v>
      </c>
      <c r="AE53" s="3">
        <f t="shared" si="61"/>
        <v>186.22736792446412</v>
      </c>
      <c r="AF53" s="3">
        <f t="shared" si="61"/>
        <v>718.79971218822948</v>
      </c>
      <c r="AG53" s="3">
        <f t="shared" si="61"/>
        <v>4104.7531344926083</v>
      </c>
      <c r="AH53" s="3">
        <f t="shared" si="61"/>
        <v>6295.3009052580883</v>
      </c>
      <c r="AI53" s="3">
        <f t="shared" si="61"/>
        <v>7086.1723696076897</v>
      </c>
      <c r="AJ53" s="3">
        <f t="shared" ref="AJ53:BW53" si="62">AJ52*AJ51</f>
        <v>4169.404480422656</v>
      </c>
      <c r="AK53" s="3">
        <f t="shared" si="62"/>
        <v>2061.1085801144518</v>
      </c>
      <c r="AL53" s="3">
        <f t="shared" si="62"/>
        <v>1668.2617129275361</v>
      </c>
      <c r="AM53" s="3">
        <f t="shared" si="62"/>
        <v>248.78182004568487</v>
      </c>
      <c r="AN53" s="3">
        <f t="shared" si="62"/>
        <v>79.980837599229929</v>
      </c>
      <c r="AO53" s="3">
        <f t="shared" si="62"/>
        <v>126.74214418169328</v>
      </c>
      <c r="AP53" s="3">
        <f t="shared" si="62"/>
        <v>540.64859148513585</v>
      </c>
      <c r="AQ53" s="3">
        <f t="shared" si="62"/>
        <v>195.87450387446549</v>
      </c>
      <c r="AR53" s="3">
        <f t="shared" si="62"/>
        <v>751.17940923585581</v>
      </c>
      <c r="AS53" s="3">
        <f t="shared" si="62"/>
        <v>4289.6595287168739</v>
      </c>
      <c r="AT53" s="3">
        <f t="shared" si="62"/>
        <v>6578.8846806541005</v>
      </c>
      <c r="AU53" s="3">
        <f t="shared" si="62"/>
        <v>7362.1058757435667</v>
      </c>
      <c r="AV53" s="3">
        <f t="shared" si="62"/>
        <v>4331.7598870898737</v>
      </c>
      <c r="AW53" s="3">
        <f t="shared" si="62"/>
        <v>2141.3675531359063</v>
      </c>
      <c r="AX53" s="3">
        <f t="shared" si="62"/>
        <v>1654.0501496865761</v>
      </c>
      <c r="AY53" s="3">
        <f t="shared" si="62"/>
        <v>246.66250115142338</v>
      </c>
      <c r="AZ53" s="3">
        <f t="shared" si="62"/>
        <v>79.299498021153909</v>
      </c>
      <c r="BA53" s="3">
        <f t="shared" si="62"/>
        <v>125.77227816525266</v>
      </c>
      <c r="BB53" s="3">
        <f t="shared" si="62"/>
        <v>536.51139861134152</v>
      </c>
      <c r="BC53" s="3">
        <f t="shared" si="62"/>
        <v>194.37561788021662</v>
      </c>
      <c r="BD53" s="3">
        <f t="shared" si="62"/>
        <v>748.56944963827766</v>
      </c>
      <c r="BE53" s="3">
        <f t="shared" si="62"/>
        <v>4274.7551824053762</v>
      </c>
      <c r="BF53" s="3">
        <f t="shared" si="62"/>
        <v>6556.0264619615782</v>
      </c>
      <c r="BG53" s="3">
        <f t="shared" si="62"/>
        <v>7303.1255386395751</v>
      </c>
      <c r="BH53" s="3">
        <f t="shared" si="62"/>
        <v>4297.0566835899235</v>
      </c>
      <c r="BI53" s="3">
        <f t="shared" si="62"/>
        <v>2124.2123284924205</v>
      </c>
      <c r="BJ53" s="3">
        <f t="shared" si="62"/>
        <v>1615.8987682995446</v>
      </c>
      <c r="BK53" s="3">
        <f t="shared" si="62"/>
        <v>240.9731239840562</v>
      </c>
      <c r="BL53" s="3">
        <f t="shared" si="62"/>
        <v>77.470420835447982</v>
      </c>
      <c r="BM53" s="3">
        <f t="shared" si="62"/>
        <v>123.25006302791877</v>
      </c>
      <c r="BN53" s="3">
        <f t="shared" si="62"/>
        <v>525.75229342003911</v>
      </c>
      <c r="BO53" s="3">
        <f t="shared" si="62"/>
        <v>190.47764343864722</v>
      </c>
      <c r="BP53" s="3">
        <f t="shared" si="62"/>
        <v>738.38020689301129</v>
      </c>
      <c r="BQ53" s="3">
        <f t="shared" si="62"/>
        <v>4216.5688401078633</v>
      </c>
      <c r="BR53" s="3">
        <f t="shared" si="62"/>
        <v>6466.7883223372637</v>
      </c>
      <c r="BS53" s="3">
        <f t="shared" si="62"/>
        <v>7211.2191564786772</v>
      </c>
      <c r="BT53" s="3">
        <f t="shared" si="62"/>
        <v>4242.980256772451</v>
      </c>
      <c r="BU53" s="3">
        <f t="shared" si="62"/>
        <v>2097.4801206150682</v>
      </c>
      <c r="BV53" s="3">
        <f t="shared" si="62"/>
        <v>1608.4909647140814</v>
      </c>
      <c r="BW53" s="3">
        <f t="shared" si="62"/>
        <v>239.86842509643478</v>
      </c>
      <c r="BX53" s="3">
        <f t="shared" ref="BX53:CI53" si="63">BX52*BX51</f>
        <v>77.115271322068452</v>
      </c>
      <c r="BY53" s="3">
        <f t="shared" si="63"/>
        <v>123.04018427279269</v>
      </c>
      <c r="BZ53" s="3">
        <f t="shared" si="63"/>
        <v>524.85700595213177</v>
      </c>
      <c r="CA53" s="3">
        <f t="shared" si="63"/>
        <v>190.15328489714128</v>
      </c>
      <c r="CB53" s="3">
        <f t="shared" si="63"/>
        <v>727.10787349576935</v>
      </c>
      <c r="CC53" s="3">
        <f t="shared" si="63"/>
        <v>4152.1974372527966</v>
      </c>
      <c r="CD53" s="3">
        <f t="shared" si="63"/>
        <v>6368.0643948832621</v>
      </c>
      <c r="CE53" s="3">
        <f t="shared" si="63"/>
        <v>7034.9528558072752</v>
      </c>
      <c r="CF53" s="3">
        <f t="shared" si="63"/>
        <v>4139.2676365546677</v>
      </c>
      <c r="CG53" s="3">
        <f t="shared" si="63"/>
        <v>2046.210695352841</v>
      </c>
      <c r="CH53" s="3">
        <f t="shared" si="63"/>
        <v>1547.4934892250942</v>
      </c>
      <c r="CI53" s="3">
        <f t="shared" si="63"/>
        <v>230.772092756761</v>
      </c>
      <c r="CJ53" s="286"/>
      <c r="CK53" s="286"/>
      <c r="CL53" s="286"/>
    </row>
    <row r="54" spans="1:90">
      <c r="A54" s="2">
        <v>44</v>
      </c>
    </row>
    <row r="55" spans="1:90">
      <c r="A55" s="2">
        <v>45</v>
      </c>
      <c r="B55" s="23" t="s">
        <v>60</v>
      </c>
      <c r="D55" s="50">
        <f>D56*$C$56+D57*$C$57+D58*$C$58</f>
        <v>9866.6377317999977</v>
      </c>
      <c r="E55" s="50">
        <f t="shared" ref="E55:BP55" si="64">E56*$C$56+E57*$C$57+E58*$C$58</f>
        <v>10864.147537000001</v>
      </c>
      <c r="F55" s="50">
        <f t="shared" si="64"/>
        <v>13500.154577199999</v>
      </c>
      <c r="G55" s="50">
        <f t="shared" si="64"/>
        <v>12462.817329099998</v>
      </c>
      <c r="H55" s="50">
        <f t="shared" si="64"/>
        <v>15884.402555199998</v>
      </c>
      <c r="I55" s="50">
        <f t="shared" si="64"/>
        <v>20411.918171399997</v>
      </c>
      <c r="J55" s="50">
        <f t="shared" si="64"/>
        <v>21699.539530599999</v>
      </c>
      <c r="K55" s="50">
        <f t="shared" si="64"/>
        <v>19690.872049799997</v>
      </c>
      <c r="L55" s="50">
        <f t="shared" si="64"/>
        <v>22166.412399899997</v>
      </c>
      <c r="M55" s="50">
        <f t="shared" si="64"/>
        <v>20956.8952737</v>
      </c>
      <c r="N55" s="50">
        <f t="shared" si="64"/>
        <v>18096.056149099997</v>
      </c>
      <c r="O55" s="50">
        <f t="shared" si="64"/>
        <v>17502.804605199999</v>
      </c>
      <c r="P55" s="50">
        <f t="shared" si="64"/>
        <v>9866.6377317999977</v>
      </c>
      <c r="Q55" s="50">
        <f t="shared" si="64"/>
        <v>10864.147537000001</v>
      </c>
      <c r="R55" s="50">
        <f t="shared" si="64"/>
        <v>13500.154577199999</v>
      </c>
      <c r="S55" s="50">
        <f t="shared" si="64"/>
        <v>12462.817329099998</v>
      </c>
      <c r="T55" s="50">
        <f t="shared" si="64"/>
        <v>15884.402555199998</v>
      </c>
      <c r="U55" s="50">
        <f t="shared" si="64"/>
        <v>20411.918171399997</v>
      </c>
      <c r="V55" s="50">
        <f t="shared" si="64"/>
        <v>21699.539530599999</v>
      </c>
      <c r="W55" s="50">
        <f t="shared" si="64"/>
        <v>19690.872049799997</v>
      </c>
      <c r="X55" s="50">
        <f t="shared" si="64"/>
        <v>22166.412399899997</v>
      </c>
      <c r="Y55" s="28">
        <f t="shared" si="64"/>
        <v>20956.8952737</v>
      </c>
      <c r="Z55" s="28">
        <f t="shared" si="64"/>
        <v>18096.056149099997</v>
      </c>
      <c r="AA55" s="28">
        <f t="shared" si="64"/>
        <v>17502.804605199999</v>
      </c>
      <c r="AB55" s="28">
        <f t="shared" si="64"/>
        <v>9866.6377317999977</v>
      </c>
      <c r="AC55" s="28">
        <f t="shared" si="64"/>
        <v>10864.147537000001</v>
      </c>
      <c r="AD55" s="28">
        <f t="shared" si="64"/>
        <v>13500.154577199999</v>
      </c>
      <c r="AE55" s="28">
        <f t="shared" si="64"/>
        <v>12462.817329099998</v>
      </c>
      <c r="AF55" s="28">
        <f t="shared" si="64"/>
        <v>15884.402555199998</v>
      </c>
      <c r="AG55" s="28">
        <f t="shared" si="64"/>
        <v>20411.918171399997</v>
      </c>
      <c r="AH55" s="28">
        <f t="shared" si="64"/>
        <v>21699.539530599999</v>
      </c>
      <c r="AI55" s="28">
        <f t="shared" si="64"/>
        <v>19690.872049799997</v>
      </c>
      <c r="AJ55" s="28">
        <f t="shared" si="64"/>
        <v>22166.412399899997</v>
      </c>
      <c r="AK55" s="50">
        <f t="shared" si="64"/>
        <v>20956.8952737</v>
      </c>
      <c r="AL55" s="50">
        <f t="shared" si="64"/>
        <v>18096.056149099997</v>
      </c>
      <c r="AM55" s="50">
        <f t="shared" si="64"/>
        <v>17502.804605199999</v>
      </c>
      <c r="AN55" s="50">
        <f t="shared" si="64"/>
        <v>9866.6377317999977</v>
      </c>
      <c r="AO55" s="50">
        <f t="shared" si="64"/>
        <v>10864.147537000001</v>
      </c>
      <c r="AP55" s="50">
        <f t="shared" si="64"/>
        <v>13500.154577199999</v>
      </c>
      <c r="AQ55" s="50">
        <f t="shared" si="64"/>
        <v>12462.817329099998</v>
      </c>
      <c r="AR55" s="50">
        <f t="shared" si="64"/>
        <v>15884.402555199998</v>
      </c>
      <c r="AS55" s="50">
        <f t="shared" si="64"/>
        <v>20411.918171399997</v>
      </c>
      <c r="AT55" s="50">
        <f t="shared" si="64"/>
        <v>21699.539530599999</v>
      </c>
      <c r="AU55" s="50">
        <f t="shared" si="64"/>
        <v>19690.872049799997</v>
      </c>
      <c r="AV55" s="50">
        <f t="shared" si="64"/>
        <v>22166.412399899997</v>
      </c>
      <c r="AW55" s="50">
        <f t="shared" si="64"/>
        <v>20956.8952737</v>
      </c>
      <c r="AX55" s="50">
        <f t="shared" si="64"/>
        <v>18096.056149099997</v>
      </c>
      <c r="AY55" s="50">
        <f t="shared" si="64"/>
        <v>17502.804605199999</v>
      </c>
      <c r="AZ55" s="50">
        <f t="shared" si="64"/>
        <v>9866.6377317999977</v>
      </c>
      <c r="BA55" s="50">
        <f t="shared" si="64"/>
        <v>10864.147537000001</v>
      </c>
      <c r="BB55" s="50">
        <f t="shared" si="64"/>
        <v>13500.154577199999</v>
      </c>
      <c r="BC55" s="50">
        <f t="shared" si="64"/>
        <v>12462.817329099998</v>
      </c>
      <c r="BD55" s="50">
        <f t="shared" si="64"/>
        <v>15884.402555199998</v>
      </c>
      <c r="BE55" s="50">
        <f t="shared" si="64"/>
        <v>20411.918171399997</v>
      </c>
      <c r="BF55" s="50">
        <f t="shared" si="64"/>
        <v>21699.539530599999</v>
      </c>
      <c r="BG55" s="50">
        <f t="shared" si="64"/>
        <v>19690.872049799997</v>
      </c>
      <c r="BH55" s="50">
        <f t="shared" si="64"/>
        <v>22166.412399899997</v>
      </c>
      <c r="BI55" s="50">
        <f t="shared" si="64"/>
        <v>20956.8952737</v>
      </c>
      <c r="BJ55" s="50">
        <f t="shared" si="64"/>
        <v>18096.056149099997</v>
      </c>
      <c r="BK55" s="50">
        <f t="shared" si="64"/>
        <v>17502.804605199999</v>
      </c>
      <c r="BL55" s="50">
        <f t="shared" si="64"/>
        <v>9866.6377317999977</v>
      </c>
      <c r="BM55" s="50">
        <f t="shared" si="64"/>
        <v>10864.147537000001</v>
      </c>
      <c r="BN55" s="50">
        <f t="shared" si="64"/>
        <v>13500.154577199999</v>
      </c>
      <c r="BO55" s="50">
        <f t="shared" si="64"/>
        <v>12462.817329099998</v>
      </c>
      <c r="BP55" s="50">
        <f t="shared" si="64"/>
        <v>15884.402555199998</v>
      </c>
      <c r="BQ55" s="50">
        <f t="shared" ref="BQ55:CI55" si="65">BQ56*$C$56+BQ57*$C$57+BQ58*$C$58</f>
        <v>20411.918171399997</v>
      </c>
      <c r="BR55" s="50">
        <f t="shared" si="65"/>
        <v>21699.539530599999</v>
      </c>
      <c r="BS55" s="50">
        <f t="shared" si="65"/>
        <v>19690.872049799997</v>
      </c>
      <c r="BT55" s="50">
        <f t="shared" si="65"/>
        <v>22166.412399899997</v>
      </c>
      <c r="BU55" s="50">
        <f t="shared" si="65"/>
        <v>20956.8952737</v>
      </c>
      <c r="BV55" s="50">
        <f t="shared" si="65"/>
        <v>18096.056149099997</v>
      </c>
      <c r="BW55" s="50">
        <f t="shared" si="65"/>
        <v>17502.804605199999</v>
      </c>
      <c r="BX55" s="50">
        <f t="shared" si="65"/>
        <v>9866.6377317999977</v>
      </c>
      <c r="BY55" s="50">
        <f t="shared" si="65"/>
        <v>10864.147537000001</v>
      </c>
      <c r="BZ55" s="50">
        <f t="shared" si="65"/>
        <v>13500.154577199999</v>
      </c>
      <c r="CA55" s="50">
        <f t="shared" si="65"/>
        <v>12462.817329099998</v>
      </c>
      <c r="CB55" s="50">
        <f t="shared" si="65"/>
        <v>15884.402555199998</v>
      </c>
      <c r="CC55" s="50">
        <f t="shared" si="65"/>
        <v>20411.918171399997</v>
      </c>
      <c r="CD55" s="50">
        <f t="shared" si="65"/>
        <v>21699.539530599999</v>
      </c>
      <c r="CE55" s="50">
        <f t="shared" si="65"/>
        <v>19690.872049799997</v>
      </c>
      <c r="CF55" s="50">
        <f t="shared" si="65"/>
        <v>22166.412399899997</v>
      </c>
      <c r="CG55" s="50">
        <f t="shared" si="65"/>
        <v>20956.8952737</v>
      </c>
      <c r="CH55" s="50">
        <f t="shared" si="65"/>
        <v>18096.056149099997</v>
      </c>
      <c r="CI55" s="50">
        <f t="shared" si="65"/>
        <v>17502.804605199999</v>
      </c>
      <c r="CJ55" s="291"/>
      <c r="CK55" s="291"/>
      <c r="CL55" s="291"/>
    </row>
    <row r="56" spans="1:90">
      <c r="A56" s="2">
        <v>46</v>
      </c>
      <c r="B56" s="2" t="s">
        <v>58</v>
      </c>
      <c r="C56" s="440">
        <f>C48</f>
        <v>520</v>
      </c>
      <c r="D56" s="6">
        <f>'Bill Frequency'!C47+'Contract &amp; Vol Adj'!C47</f>
        <v>5</v>
      </c>
      <c r="E56" s="6">
        <f>'Bill Frequency'!D47+'Contract &amp; Vol Adj'!D47</f>
        <v>5</v>
      </c>
      <c r="F56" s="6">
        <f>'Bill Frequency'!E47+'Contract &amp; Vol Adj'!E47</f>
        <v>6</v>
      </c>
      <c r="G56" s="6">
        <f>'Bill Frequency'!F47+'Contract &amp; Vol Adj'!F47</f>
        <v>6</v>
      </c>
      <c r="H56" s="6">
        <f>'Bill Frequency'!G47+'Contract &amp; Vol Adj'!G47</f>
        <v>6</v>
      </c>
      <c r="I56" s="6">
        <f>'Bill Frequency'!H47+'Contract &amp; Vol Adj'!H47</f>
        <v>5</v>
      </c>
      <c r="J56" s="6">
        <f>'Bill Frequency'!I47+'Contract &amp; Vol Adj'!I47</f>
        <v>8</v>
      </c>
      <c r="K56" s="6">
        <f>'Bill Frequency'!J47+'Contract &amp; Vol Adj'!J47</f>
        <v>8</v>
      </c>
      <c r="L56" s="6">
        <f>'Bill Frequency'!K47+'Contract &amp; Vol Adj'!K47</f>
        <v>6</v>
      </c>
      <c r="M56" s="6">
        <f>'Bill Frequency'!L47+'Contract &amp; Vol Adj'!L47</f>
        <v>6</v>
      </c>
      <c r="N56" s="6">
        <f>'Bill Frequency'!M47+'Contract &amp; Vol Adj'!M47</f>
        <v>6</v>
      </c>
      <c r="O56" s="6">
        <f>'Bill Frequency'!N47+'Contract &amp; Vol Adj'!N47</f>
        <v>6</v>
      </c>
      <c r="P56" s="6">
        <f t="shared" ref="P56:Y58" si="66">D56</f>
        <v>5</v>
      </c>
      <c r="Q56" s="6">
        <f t="shared" si="66"/>
        <v>5</v>
      </c>
      <c r="R56" s="6">
        <f t="shared" si="66"/>
        <v>6</v>
      </c>
      <c r="S56" s="6">
        <f t="shared" si="66"/>
        <v>6</v>
      </c>
      <c r="T56" s="6">
        <f t="shared" si="66"/>
        <v>6</v>
      </c>
      <c r="U56" s="6">
        <f t="shared" si="66"/>
        <v>5</v>
      </c>
      <c r="V56" s="6">
        <f t="shared" si="66"/>
        <v>8</v>
      </c>
      <c r="W56" s="6">
        <f t="shared" si="66"/>
        <v>8</v>
      </c>
      <c r="X56" s="6">
        <f t="shared" si="66"/>
        <v>6</v>
      </c>
      <c r="Y56" s="6">
        <f t="shared" si="66"/>
        <v>6</v>
      </c>
      <c r="Z56" s="6">
        <f t="shared" ref="Z56:AI58" si="67">N56</f>
        <v>6</v>
      </c>
      <c r="AA56" s="6">
        <f t="shared" si="67"/>
        <v>6</v>
      </c>
      <c r="AB56" s="6">
        <f t="shared" si="67"/>
        <v>5</v>
      </c>
      <c r="AC56" s="6">
        <f t="shared" si="67"/>
        <v>5</v>
      </c>
      <c r="AD56" s="6">
        <f t="shared" si="67"/>
        <v>6</v>
      </c>
      <c r="AE56" s="6">
        <f t="shared" si="67"/>
        <v>6</v>
      </c>
      <c r="AF56" s="6">
        <f t="shared" si="67"/>
        <v>6</v>
      </c>
      <c r="AG56" s="6">
        <f t="shared" si="67"/>
        <v>5</v>
      </c>
      <c r="AH56" s="6">
        <f t="shared" si="67"/>
        <v>8</v>
      </c>
      <c r="AI56" s="6">
        <f t="shared" si="67"/>
        <v>8</v>
      </c>
      <c r="AJ56" s="6">
        <f t="shared" ref="AJ56:AS58" si="68">X56</f>
        <v>6</v>
      </c>
      <c r="AK56" s="6">
        <f t="shared" si="68"/>
        <v>6</v>
      </c>
      <c r="AL56" s="6">
        <f t="shared" si="68"/>
        <v>6</v>
      </c>
      <c r="AM56" s="6">
        <f t="shared" si="68"/>
        <v>6</v>
      </c>
      <c r="AN56" s="6">
        <f t="shared" si="68"/>
        <v>5</v>
      </c>
      <c r="AO56" s="6">
        <f t="shared" si="68"/>
        <v>5</v>
      </c>
      <c r="AP56" s="6">
        <f t="shared" si="68"/>
        <v>6</v>
      </c>
      <c r="AQ56" s="6">
        <f t="shared" si="68"/>
        <v>6</v>
      </c>
      <c r="AR56" s="6">
        <f t="shared" si="68"/>
        <v>6</v>
      </c>
      <c r="AS56" s="6">
        <f t="shared" si="68"/>
        <v>5</v>
      </c>
      <c r="AT56" s="6">
        <f t="shared" ref="AT56:BC58" si="69">AH56</f>
        <v>8</v>
      </c>
      <c r="AU56" s="6">
        <f t="shared" si="69"/>
        <v>8</v>
      </c>
      <c r="AV56" s="6">
        <f t="shared" si="69"/>
        <v>6</v>
      </c>
      <c r="AW56" s="6">
        <f t="shared" si="69"/>
        <v>6</v>
      </c>
      <c r="AX56" s="6">
        <f t="shared" si="69"/>
        <v>6</v>
      </c>
      <c r="AY56" s="6">
        <f t="shared" si="69"/>
        <v>6</v>
      </c>
      <c r="AZ56" s="6">
        <f t="shared" si="69"/>
        <v>5</v>
      </c>
      <c r="BA56" s="6">
        <f t="shared" si="69"/>
        <v>5</v>
      </c>
      <c r="BB56" s="6">
        <f t="shared" si="69"/>
        <v>6</v>
      </c>
      <c r="BC56" s="6">
        <f t="shared" si="69"/>
        <v>6</v>
      </c>
      <c r="BD56" s="6">
        <f t="shared" ref="BD56:BS58" si="70">AR56</f>
        <v>6</v>
      </c>
      <c r="BE56" s="6">
        <f t="shared" si="70"/>
        <v>5</v>
      </c>
      <c r="BF56" s="6">
        <f t="shared" si="70"/>
        <v>8</v>
      </c>
      <c r="BG56" s="6">
        <f t="shared" si="70"/>
        <v>8</v>
      </c>
      <c r="BH56" s="6">
        <f t="shared" si="70"/>
        <v>6</v>
      </c>
      <c r="BI56" s="6">
        <f t="shared" si="70"/>
        <v>6</v>
      </c>
      <c r="BJ56" s="6">
        <f t="shared" si="70"/>
        <v>6</v>
      </c>
      <c r="BK56" s="6">
        <f t="shared" si="70"/>
        <v>6</v>
      </c>
      <c r="BL56" s="6">
        <f t="shared" si="70"/>
        <v>5</v>
      </c>
      <c r="BM56" s="6">
        <f t="shared" si="70"/>
        <v>5</v>
      </c>
      <c r="BN56" s="6">
        <f t="shared" si="70"/>
        <v>6</v>
      </c>
      <c r="BO56" s="6">
        <f t="shared" si="70"/>
        <v>6</v>
      </c>
      <c r="BP56" s="6">
        <f t="shared" si="70"/>
        <v>6</v>
      </c>
      <c r="BQ56" s="6">
        <f t="shared" si="70"/>
        <v>5</v>
      </c>
      <c r="BR56" s="6">
        <f t="shared" si="70"/>
        <v>8</v>
      </c>
      <c r="BS56" s="6">
        <f t="shared" si="70"/>
        <v>8</v>
      </c>
      <c r="BT56" s="6">
        <f t="shared" ref="BT56:BW58" si="71">BH56</f>
        <v>6</v>
      </c>
      <c r="BU56" s="6">
        <f t="shared" si="71"/>
        <v>6</v>
      </c>
      <c r="BV56" s="6">
        <f t="shared" si="71"/>
        <v>6</v>
      </c>
      <c r="BW56" s="6">
        <f t="shared" si="71"/>
        <v>6</v>
      </c>
      <c r="BX56" s="6">
        <f t="shared" ref="BX56:CI58" si="72">BL56</f>
        <v>5</v>
      </c>
      <c r="BY56" s="6">
        <f t="shared" si="72"/>
        <v>5</v>
      </c>
      <c r="BZ56" s="6">
        <f t="shared" si="72"/>
        <v>6</v>
      </c>
      <c r="CA56" s="6">
        <f t="shared" si="72"/>
        <v>6</v>
      </c>
      <c r="CB56" s="6">
        <f t="shared" si="72"/>
        <v>6</v>
      </c>
      <c r="CC56" s="6">
        <f t="shared" si="72"/>
        <v>5</v>
      </c>
      <c r="CD56" s="6">
        <f t="shared" si="72"/>
        <v>8</v>
      </c>
      <c r="CE56" s="6">
        <f t="shared" si="72"/>
        <v>8</v>
      </c>
      <c r="CF56" s="6">
        <f t="shared" si="72"/>
        <v>6</v>
      </c>
      <c r="CG56" s="6">
        <f t="shared" si="72"/>
        <v>6</v>
      </c>
      <c r="CH56" s="6">
        <f t="shared" si="72"/>
        <v>6</v>
      </c>
      <c r="CI56" s="6">
        <f t="shared" si="72"/>
        <v>6</v>
      </c>
      <c r="CJ56" s="287"/>
      <c r="CK56" s="287"/>
      <c r="CL56" s="287"/>
    </row>
    <row r="57" spans="1:90">
      <c r="A57" s="2">
        <v>47</v>
      </c>
      <c r="B57" s="2" t="s">
        <v>59</v>
      </c>
      <c r="C57" s="13">
        <f>C49</f>
        <v>0.95569999999999999</v>
      </c>
      <c r="D57" s="6">
        <f>'Bill Frequency'!C48+'Contract &amp; Vol Adj'!C48</f>
        <v>1620.8219999999999</v>
      </c>
      <c r="E57" s="6">
        <f>'Bill Frequency'!D48+'Contract &amp; Vol Adj'!D48</f>
        <v>2041.4</v>
      </c>
      <c r="F57" s="6">
        <f>'Bill Frequency'!E48+'Contract &amp; Vol Adj'!E48</f>
        <v>2038.1</v>
      </c>
      <c r="G57" s="6">
        <f>'Bill Frequency'!F48+'Contract &amp; Vol Adj'!F48</f>
        <v>1556.636</v>
      </c>
      <c r="H57" s="6">
        <f>'Bill Frequency'!G48+'Contract &amp; Vol Adj'!G48</f>
        <v>1833.412</v>
      </c>
      <c r="I57" s="6">
        <f>'Bill Frequency'!H48+'Contract &amp; Vol Adj'!H48</f>
        <v>1436.077</v>
      </c>
      <c r="J57" s="6">
        <f>'Bill Frequency'!I48+'Contract &amp; Vol Adj'!I48</f>
        <v>1910.44</v>
      </c>
      <c r="K57" s="6">
        <f>'Bill Frequency'!J48+'Contract &amp; Vol Adj'!J48</f>
        <v>1860.9</v>
      </c>
      <c r="L57" s="6">
        <f>'Bill Frequency'!K48+'Contract &amp; Vol Adj'!K48</f>
        <v>2104.9</v>
      </c>
      <c r="M57" s="6">
        <f>'Bill Frequency'!L48+'Contract &amp; Vol Adj'!L48</f>
        <v>2078.4</v>
      </c>
      <c r="N57" s="6">
        <f>'Bill Frequency'!M48+'Contract &amp; Vol Adj'!M48</f>
        <v>2200.1999999999998</v>
      </c>
      <c r="O57" s="6">
        <f>'Bill Frequency'!N48+'Contract &amp; Vol Adj'!N48</f>
        <v>1286</v>
      </c>
      <c r="P57" s="6">
        <f t="shared" si="66"/>
        <v>1620.8219999999999</v>
      </c>
      <c r="Q57" s="6">
        <f t="shared" si="66"/>
        <v>2041.4</v>
      </c>
      <c r="R57" s="6">
        <f t="shared" si="66"/>
        <v>2038.1</v>
      </c>
      <c r="S57" s="6">
        <f t="shared" si="66"/>
        <v>1556.636</v>
      </c>
      <c r="T57" s="6">
        <f t="shared" si="66"/>
        <v>1833.412</v>
      </c>
      <c r="U57" s="6">
        <f t="shared" si="66"/>
        <v>1436.077</v>
      </c>
      <c r="V57" s="6">
        <f t="shared" si="66"/>
        <v>1910.44</v>
      </c>
      <c r="W57" s="6">
        <f t="shared" si="66"/>
        <v>1860.9</v>
      </c>
      <c r="X57" s="6">
        <f t="shared" si="66"/>
        <v>2104.9</v>
      </c>
      <c r="Y57" s="6">
        <f t="shared" si="66"/>
        <v>2078.4</v>
      </c>
      <c r="Z57" s="6">
        <f t="shared" si="67"/>
        <v>2200.1999999999998</v>
      </c>
      <c r="AA57" s="6">
        <f t="shared" si="67"/>
        <v>1286</v>
      </c>
      <c r="AB57" s="6">
        <f t="shared" si="67"/>
        <v>1620.8219999999999</v>
      </c>
      <c r="AC57" s="6">
        <f t="shared" si="67"/>
        <v>2041.4</v>
      </c>
      <c r="AD57" s="6">
        <f t="shared" si="67"/>
        <v>2038.1</v>
      </c>
      <c r="AE57" s="6">
        <f t="shared" si="67"/>
        <v>1556.636</v>
      </c>
      <c r="AF57" s="6">
        <f t="shared" si="67"/>
        <v>1833.412</v>
      </c>
      <c r="AG57" s="6">
        <f t="shared" si="67"/>
        <v>1436.077</v>
      </c>
      <c r="AH57" s="6">
        <f t="shared" si="67"/>
        <v>1910.44</v>
      </c>
      <c r="AI57" s="6">
        <f t="shared" si="67"/>
        <v>1860.9</v>
      </c>
      <c r="AJ57" s="6">
        <f t="shared" si="68"/>
        <v>2104.9</v>
      </c>
      <c r="AK57" s="6">
        <f t="shared" si="68"/>
        <v>2078.4</v>
      </c>
      <c r="AL57" s="6">
        <f t="shared" si="68"/>
        <v>2200.1999999999998</v>
      </c>
      <c r="AM57" s="6">
        <f t="shared" si="68"/>
        <v>1286</v>
      </c>
      <c r="AN57" s="6">
        <f t="shared" si="68"/>
        <v>1620.8219999999999</v>
      </c>
      <c r="AO57" s="6">
        <f t="shared" si="68"/>
        <v>2041.4</v>
      </c>
      <c r="AP57" s="6">
        <f t="shared" si="68"/>
        <v>2038.1</v>
      </c>
      <c r="AQ57" s="6">
        <f t="shared" si="68"/>
        <v>1556.636</v>
      </c>
      <c r="AR57" s="6">
        <f t="shared" si="68"/>
        <v>1833.412</v>
      </c>
      <c r="AS57" s="6">
        <f t="shared" si="68"/>
        <v>1436.077</v>
      </c>
      <c r="AT57" s="6">
        <f t="shared" si="69"/>
        <v>1910.44</v>
      </c>
      <c r="AU57" s="6">
        <f t="shared" si="69"/>
        <v>1860.9</v>
      </c>
      <c r="AV57" s="6">
        <f t="shared" si="69"/>
        <v>2104.9</v>
      </c>
      <c r="AW57" s="6">
        <f t="shared" si="69"/>
        <v>2078.4</v>
      </c>
      <c r="AX57" s="6">
        <f t="shared" si="69"/>
        <v>2200.1999999999998</v>
      </c>
      <c r="AY57" s="6">
        <f t="shared" si="69"/>
        <v>1286</v>
      </c>
      <c r="AZ57" s="6">
        <f t="shared" si="69"/>
        <v>1620.8219999999999</v>
      </c>
      <c r="BA57" s="6">
        <f t="shared" si="69"/>
        <v>2041.4</v>
      </c>
      <c r="BB57" s="6">
        <f t="shared" si="69"/>
        <v>2038.1</v>
      </c>
      <c r="BC57" s="6">
        <f t="shared" si="69"/>
        <v>1556.636</v>
      </c>
      <c r="BD57" s="6">
        <f t="shared" si="70"/>
        <v>1833.412</v>
      </c>
      <c r="BE57" s="6">
        <f t="shared" si="70"/>
        <v>1436.077</v>
      </c>
      <c r="BF57" s="6">
        <f t="shared" si="70"/>
        <v>1910.44</v>
      </c>
      <c r="BG57" s="6">
        <f t="shared" si="70"/>
        <v>1860.9</v>
      </c>
      <c r="BH57" s="6">
        <f t="shared" si="70"/>
        <v>2104.9</v>
      </c>
      <c r="BI57" s="6">
        <f t="shared" si="70"/>
        <v>2078.4</v>
      </c>
      <c r="BJ57" s="6">
        <f t="shared" si="70"/>
        <v>2200.1999999999998</v>
      </c>
      <c r="BK57" s="6">
        <f t="shared" si="70"/>
        <v>1286</v>
      </c>
      <c r="BL57" s="6">
        <f t="shared" si="70"/>
        <v>1620.8219999999999</v>
      </c>
      <c r="BM57" s="6">
        <f t="shared" si="70"/>
        <v>2041.4</v>
      </c>
      <c r="BN57" s="6">
        <f t="shared" si="70"/>
        <v>2038.1</v>
      </c>
      <c r="BO57" s="6">
        <f t="shared" si="70"/>
        <v>1556.636</v>
      </c>
      <c r="BP57" s="6">
        <f t="shared" si="70"/>
        <v>1833.412</v>
      </c>
      <c r="BQ57" s="6">
        <f t="shared" si="70"/>
        <v>1436.077</v>
      </c>
      <c r="BR57" s="6">
        <f t="shared" si="70"/>
        <v>1910.44</v>
      </c>
      <c r="BS57" s="6">
        <f t="shared" si="70"/>
        <v>1860.9</v>
      </c>
      <c r="BT57" s="6">
        <f t="shared" si="71"/>
        <v>2104.9</v>
      </c>
      <c r="BU57" s="6">
        <f t="shared" si="71"/>
        <v>2078.4</v>
      </c>
      <c r="BV57" s="6">
        <f t="shared" si="71"/>
        <v>2200.1999999999998</v>
      </c>
      <c r="BW57" s="6">
        <f t="shared" si="71"/>
        <v>1286</v>
      </c>
      <c r="BX57" s="6">
        <f t="shared" si="72"/>
        <v>1620.8219999999999</v>
      </c>
      <c r="BY57" s="6">
        <f t="shared" si="72"/>
        <v>2041.4</v>
      </c>
      <c r="BZ57" s="6">
        <f t="shared" si="72"/>
        <v>2038.1</v>
      </c>
      <c r="CA57" s="6">
        <f t="shared" si="72"/>
        <v>1556.636</v>
      </c>
      <c r="CB57" s="6">
        <f t="shared" si="72"/>
        <v>1833.412</v>
      </c>
      <c r="CC57" s="6">
        <f t="shared" si="72"/>
        <v>1436.077</v>
      </c>
      <c r="CD57" s="6">
        <f t="shared" si="72"/>
        <v>1910.44</v>
      </c>
      <c r="CE57" s="6">
        <f t="shared" si="72"/>
        <v>1860.9</v>
      </c>
      <c r="CF57" s="6">
        <f t="shared" si="72"/>
        <v>2104.9</v>
      </c>
      <c r="CG57" s="6">
        <f t="shared" si="72"/>
        <v>2078.4</v>
      </c>
      <c r="CH57" s="6">
        <f t="shared" si="72"/>
        <v>2200.1999999999998</v>
      </c>
      <c r="CI57" s="6">
        <f t="shared" si="72"/>
        <v>1286</v>
      </c>
      <c r="CJ57" s="287"/>
      <c r="CK57" s="287"/>
      <c r="CL57" s="287"/>
    </row>
    <row r="58" spans="1:90">
      <c r="A58" s="2">
        <v>48</v>
      </c>
      <c r="B58" s="2" t="s">
        <v>55</v>
      </c>
      <c r="C58" s="13">
        <f>C50</f>
        <v>0.78369999999999995</v>
      </c>
      <c r="D58" s="6">
        <f>'Bill Frequency'!C49+'Contract &amp; Vol Adj'!C49</f>
        <v>7295.6719999999996</v>
      </c>
      <c r="E58" s="6">
        <f>'Bill Frequency'!D49+'Contract &amp; Vol Adj'!D49</f>
        <v>8055.6100000000006</v>
      </c>
      <c r="F58" s="6">
        <f>'Bill Frequency'!E49+'Contract &amp; Vol Adj'!E49</f>
        <v>10759.655999999999</v>
      </c>
      <c r="G58" s="6">
        <f>'Bill Frequency'!F49+'Contract &amp; Vol Adj'!F49</f>
        <v>10023.146999999999</v>
      </c>
      <c r="H58" s="6">
        <f>'Bill Frequency'!G49+'Contract &amp; Vol Adj'!G49</f>
        <v>14051.564</v>
      </c>
      <c r="I58" s="6">
        <f>'Bill Frequency'!H49+'Contract &amp; Vol Adj'!H49</f>
        <v>20976.724999999999</v>
      </c>
      <c r="J58" s="6">
        <f>'Bill Frequency'!I49+'Contract &amp; Vol Adj'!I49</f>
        <v>20050.698</v>
      </c>
      <c r="K58" s="6">
        <f>'Bill Frequency'!J49+'Contract &amp; Vol Adj'!J49</f>
        <v>17548.054</v>
      </c>
      <c r="L58" s="6">
        <f>'Bill Frequency'!K49+'Contract &amp; Vol Adj'!K49</f>
        <v>21736.326999999997</v>
      </c>
      <c r="M58" s="6">
        <f>'Bill Frequency'!L49+'Contract &amp; Vol Adj'!L49</f>
        <v>20225.300999999999</v>
      </c>
      <c r="N58" s="6">
        <f>'Bill Frequency'!M49+'Contract &amp; Vol Adj'!M49</f>
        <v>16426.343000000001</v>
      </c>
      <c r="O58" s="6">
        <f>'Bill Frequency'!N49+'Contract &amp; Vol Adj'!N49</f>
        <v>16784.196</v>
      </c>
      <c r="P58" s="6">
        <f t="shared" si="66"/>
        <v>7295.6719999999996</v>
      </c>
      <c r="Q58" s="6">
        <f t="shared" si="66"/>
        <v>8055.6100000000006</v>
      </c>
      <c r="R58" s="6">
        <f t="shared" si="66"/>
        <v>10759.655999999999</v>
      </c>
      <c r="S58" s="6">
        <f t="shared" si="66"/>
        <v>10023.146999999999</v>
      </c>
      <c r="T58" s="6">
        <f t="shared" si="66"/>
        <v>14051.564</v>
      </c>
      <c r="U58" s="6">
        <f t="shared" si="66"/>
        <v>20976.724999999999</v>
      </c>
      <c r="V58" s="6">
        <f t="shared" si="66"/>
        <v>20050.698</v>
      </c>
      <c r="W58" s="6">
        <f t="shared" si="66"/>
        <v>17548.054</v>
      </c>
      <c r="X58" s="6">
        <f t="shared" si="66"/>
        <v>21736.326999999997</v>
      </c>
      <c r="Y58" s="6">
        <f t="shared" si="66"/>
        <v>20225.300999999999</v>
      </c>
      <c r="Z58" s="6">
        <f t="shared" si="67"/>
        <v>16426.343000000001</v>
      </c>
      <c r="AA58" s="6">
        <f t="shared" si="67"/>
        <v>16784.196</v>
      </c>
      <c r="AB58" s="6">
        <f t="shared" si="67"/>
        <v>7295.6719999999996</v>
      </c>
      <c r="AC58" s="6">
        <f t="shared" si="67"/>
        <v>8055.6100000000006</v>
      </c>
      <c r="AD58" s="6">
        <f t="shared" si="67"/>
        <v>10759.655999999999</v>
      </c>
      <c r="AE58" s="6">
        <f t="shared" si="67"/>
        <v>10023.146999999999</v>
      </c>
      <c r="AF58" s="6">
        <f t="shared" si="67"/>
        <v>14051.564</v>
      </c>
      <c r="AG58" s="6">
        <f t="shared" si="67"/>
        <v>20976.724999999999</v>
      </c>
      <c r="AH58" s="6">
        <f t="shared" si="67"/>
        <v>20050.698</v>
      </c>
      <c r="AI58" s="6">
        <f t="shared" si="67"/>
        <v>17548.054</v>
      </c>
      <c r="AJ58" s="6">
        <f t="shared" si="68"/>
        <v>21736.326999999997</v>
      </c>
      <c r="AK58" s="6">
        <f t="shared" si="68"/>
        <v>20225.300999999999</v>
      </c>
      <c r="AL58" s="6">
        <f t="shared" si="68"/>
        <v>16426.343000000001</v>
      </c>
      <c r="AM58" s="6">
        <f t="shared" si="68"/>
        <v>16784.196</v>
      </c>
      <c r="AN58" s="6">
        <f t="shared" si="68"/>
        <v>7295.6719999999996</v>
      </c>
      <c r="AO58" s="6">
        <f t="shared" si="68"/>
        <v>8055.6100000000006</v>
      </c>
      <c r="AP58" s="6">
        <f t="shared" si="68"/>
        <v>10759.655999999999</v>
      </c>
      <c r="AQ58" s="6">
        <f t="shared" si="68"/>
        <v>10023.146999999999</v>
      </c>
      <c r="AR58" s="6">
        <f t="shared" si="68"/>
        <v>14051.564</v>
      </c>
      <c r="AS58" s="6">
        <f t="shared" si="68"/>
        <v>20976.724999999999</v>
      </c>
      <c r="AT58" s="6">
        <f t="shared" si="69"/>
        <v>20050.698</v>
      </c>
      <c r="AU58" s="6">
        <f t="shared" si="69"/>
        <v>17548.054</v>
      </c>
      <c r="AV58" s="6">
        <f t="shared" si="69"/>
        <v>21736.326999999997</v>
      </c>
      <c r="AW58" s="6">
        <f t="shared" si="69"/>
        <v>20225.300999999999</v>
      </c>
      <c r="AX58" s="6">
        <f t="shared" si="69"/>
        <v>16426.343000000001</v>
      </c>
      <c r="AY58" s="6">
        <f t="shared" si="69"/>
        <v>16784.196</v>
      </c>
      <c r="AZ58" s="6">
        <f t="shared" si="69"/>
        <v>7295.6719999999996</v>
      </c>
      <c r="BA58" s="6">
        <f t="shared" si="69"/>
        <v>8055.6100000000006</v>
      </c>
      <c r="BB58" s="6">
        <f t="shared" si="69"/>
        <v>10759.655999999999</v>
      </c>
      <c r="BC58" s="6">
        <f t="shared" si="69"/>
        <v>10023.146999999999</v>
      </c>
      <c r="BD58" s="6">
        <f t="shared" si="70"/>
        <v>14051.564</v>
      </c>
      <c r="BE58" s="6">
        <f t="shared" si="70"/>
        <v>20976.724999999999</v>
      </c>
      <c r="BF58" s="6">
        <f t="shared" si="70"/>
        <v>20050.698</v>
      </c>
      <c r="BG58" s="6">
        <f t="shared" si="70"/>
        <v>17548.054</v>
      </c>
      <c r="BH58" s="6">
        <f t="shared" si="70"/>
        <v>21736.326999999997</v>
      </c>
      <c r="BI58" s="6">
        <f t="shared" si="70"/>
        <v>20225.300999999999</v>
      </c>
      <c r="BJ58" s="6">
        <f t="shared" si="70"/>
        <v>16426.343000000001</v>
      </c>
      <c r="BK58" s="6">
        <f t="shared" si="70"/>
        <v>16784.196</v>
      </c>
      <c r="BL58" s="6">
        <f t="shared" si="70"/>
        <v>7295.6719999999996</v>
      </c>
      <c r="BM58" s="6">
        <f t="shared" si="70"/>
        <v>8055.6100000000006</v>
      </c>
      <c r="BN58" s="6">
        <f t="shared" si="70"/>
        <v>10759.655999999999</v>
      </c>
      <c r="BO58" s="6">
        <f t="shared" si="70"/>
        <v>10023.146999999999</v>
      </c>
      <c r="BP58" s="6">
        <f t="shared" si="70"/>
        <v>14051.564</v>
      </c>
      <c r="BQ58" s="6">
        <f t="shared" si="70"/>
        <v>20976.724999999999</v>
      </c>
      <c r="BR58" s="6">
        <f t="shared" si="70"/>
        <v>20050.698</v>
      </c>
      <c r="BS58" s="6">
        <f t="shared" si="70"/>
        <v>17548.054</v>
      </c>
      <c r="BT58" s="6">
        <f t="shared" si="71"/>
        <v>21736.326999999997</v>
      </c>
      <c r="BU58" s="6">
        <f t="shared" si="71"/>
        <v>20225.300999999999</v>
      </c>
      <c r="BV58" s="6">
        <f t="shared" si="71"/>
        <v>16426.343000000001</v>
      </c>
      <c r="BW58" s="6">
        <f t="shared" si="71"/>
        <v>16784.196</v>
      </c>
      <c r="BX58" s="6">
        <f t="shared" si="72"/>
        <v>7295.6719999999996</v>
      </c>
      <c r="BY58" s="6">
        <f t="shared" si="72"/>
        <v>8055.6100000000006</v>
      </c>
      <c r="BZ58" s="6">
        <f t="shared" si="72"/>
        <v>10759.655999999999</v>
      </c>
      <c r="CA58" s="6">
        <f t="shared" si="72"/>
        <v>10023.146999999999</v>
      </c>
      <c r="CB58" s="6">
        <f t="shared" si="72"/>
        <v>14051.564</v>
      </c>
      <c r="CC58" s="6">
        <f t="shared" si="72"/>
        <v>20976.724999999999</v>
      </c>
      <c r="CD58" s="6">
        <f t="shared" si="72"/>
        <v>20050.698</v>
      </c>
      <c r="CE58" s="6">
        <f t="shared" si="72"/>
        <v>17548.054</v>
      </c>
      <c r="CF58" s="6">
        <f t="shared" si="72"/>
        <v>21736.326999999997</v>
      </c>
      <c r="CG58" s="6">
        <f t="shared" si="72"/>
        <v>20225.300999999999</v>
      </c>
      <c r="CH58" s="6">
        <f t="shared" si="72"/>
        <v>16426.343000000001</v>
      </c>
      <c r="CI58" s="6">
        <f t="shared" si="72"/>
        <v>16784.196</v>
      </c>
      <c r="CJ58" s="287"/>
      <c r="CK58" s="287"/>
      <c r="CL58" s="287"/>
    </row>
    <row r="59" spans="1:90">
      <c r="A59" s="2">
        <v>49</v>
      </c>
      <c r="B59" s="21" t="s">
        <v>53</v>
      </c>
      <c r="C59" s="21"/>
      <c r="D59" s="20">
        <f t="shared" ref="D59:AI59" si="73">D57+D58</f>
        <v>8916.4939999999988</v>
      </c>
      <c r="E59" s="20">
        <f t="shared" si="73"/>
        <v>10097.01</v>
      </c>
      <c r="F59" s="20">
        <f t="shared" si="73"/>
        <v>12797.755999999999</v>
      </c>
      <c r="G59" s="20">
        <f t="shared" si="73"/>
        <v>11579.782999999999</v>
      </c>
      <c r="H59" s="20">
        <f t="shared" si="73"/>
        <v>15884.976000000001</v>
      </c>
      <c r="I59" s="20">
        <f t="shared" si="73"/>
        <v>22412.802</v>
      </c>
      <c r="J59" s="20">
        <f t="shared" si="73"/>
        <v>21961.137999999999</v>
      </c>
      <c r="K59" s="20">
        <f t="shared" si="73"/>
        <v>19408.954000000002</v>
      </c>
      <c r="L59" s="20">
        <f t="shared" si="73"/>
        <v>23841.226999999999</v>
      </c>
      <c r="M59" s="20">
        <f t="shared" si="73"/>
        <v>22303.701000000001</v>
      </c>
      <c r="N59" s="20">
        <f t="shared" si="73"/>
        <v>18626.543000000001</v>
      </c>
      <c r="O59" s="20">
        <f t="shared" si="73"/>
        <v>18070.196</v>
      </c>
      <c r="P59" s="20">
        <f t="shared" si="73"/>
        <v>8916.4939999999988</v>
      </c>
      <c r="Q59" s="20">
        <f t="shared" si="73"/>
        <v>10097.01</v>
      </c>
      <c r="R59" s="20">
        <f t="shared" si="73"/>
        <v>12797.755999999999</v>
      </c>
      <c r="S59" s="20">
        <f t="shared" si="73"/>
        <v>11579.782999999999</v>
      </c>
      <c r="T59" s="20">
        <f t="shared" si="73"/>
        <v>15884.976000000001</v>
      </c>
      <c r="U59" s="20">
        <f t="shared" si="73"/>
        <v>22412.802</v>
      </c>
      <c r="V59" s="20">
        <f t="shared" si="73"/>
        <v>21961.137999999999</v>
      </c>
      <c r="W59" s="20">
        <f t="shared" si="73"/>
        <v>19408.954000000002</v>
      </c>
      <c r="X59" s="20">
        <f t="shared" si="73"/>
        <v>23841.226999999999</v>
      </c>
      <c r="Y59" s="20">
        <f t="shared" si="73"/>
        <v>22303.701000000001</v>
      </c>
      <c r="Z59" s="20">
        <f t="shared" si="73"/>
        <v>18626.543000000001</v>
      </c>
      <c r="AA59" s="20">
        <f t="shared" si="73"/>
        <v>18070.196</v>
      </c>
      <c r="AB59" s="20">
        <f t="shared" si="73"/>
        <v>8916.4939999999988</v>
      </c>
      <c r="AC59" s="20">
        <f t="shared" si="73"/>
        <v>10097.01</v>
      </c>
      <c r="AD59" s="20">
        <f t="shared" si="73"/>
        <v>12797.755999999999</v>
      </c>
      <c r="AE59" s="20">
        <f t="shared" si="73"/>
        <v>11579.782999999999</v>
      </c>
      <c r="AF59" s="20">
        <f t="shared" si="73"/>
        <v>15884.976000000001</v>
      </c>
      <c r="AG59" s="20">
        <f t="shared" si="73"/>
        <v>22412.802</v>
      </c>
      <c r="AH59" s="20">
        <f t="shared" si="73"/>
        <v>21961.137999999999</v>
      </c>
      <c r="AI59" s="20">
        <f t="shared" si="73"/>
        <v>19408.954000000002</v>
      </c>
      <c r="AJ59" s="20">
        <f t="shared" ref="AJ59:BW59" si="74">AJ57+AJ58</f>
        <v>23841.226999999999</v>
      </c>
      <c r="AK59" s="20">
        <f t="shared" si="74"/>
        <v>22303.701000000001</v>
      </c>
      <c r="AL59" s="20">
        <f t="shared" si="74"/>
        <v>18626.543000000001</v>
      </c>
      <c r="AM59" s="20">
        <f t="shared" si="74"/>
        <v>18070.196</v>
      </c>
      <c r="AN59" s="20">
        <f t="shared" si="74"/>
        <v>8916.4939999999988</v>
      </c>
      <c r="AO59" s="20">
        <f t="shared" si="74"/>
        <v>10097.01</v>
      </c>
      <c r="AP59" s="20">
        <f t="shared" si="74"/>
        <v>12797.755999999999</v>
      </c>
      <c r="AQ59" s="20">
        <f t="shared" si="74"/>
        <v>11579.782999999999</v>
      </c>
      <c r="AR59" s="20">
        <f t="shared" si="74"/>
        <v>15884.976000000001</v>
      </c>
      <c r="AS59" s="20">
        <f t="shared" si="74"/>
        <v>22412.802</v>
      </c>
      <c r="AT59" s="20">
        <f t="shared" si="74"/>
        <v>21961.137999999999</v>
      </c>
      <c r="AU59" s="20">
        <f t="shared" si="74"/>
        <v>19408.954000000002</v>
      </c>
      <c r="AV59" s="20">
        <f t="shared" si="74"/>
        <v>23841.226999999999</v>
      </c>
      <c r="AW59" s="20">
        <f t="shared" si="74"/>
        <v>22303.701000000001</v>
      </c>
      <c r="AX59" s="20">
        <f t="shared" si="74"/>
        <v>18626.543000000001</v>
      </c>
      <c r="AY59" s="20">
        <f t="shared" si="74"/>
        <v>18070.196</v>
      </c>
      <c r="AZ59" s="20">
        <f t="shared" si="74"/>
        <v>8916.4939999999988</v>
      </c>
      <c r="BA59" s="20">
        <f t="shared" si="74"/>
        <v>10097.01</v>
      </c>
      <c r="BB59" s="20">
        <f t="shared" si="74"/>
        <v>12797.755999999999</v>
      </c>
      <c r="BC59" s="20">
        <f t="shared" si="74"/>
        <v>11579.782999999999</v>
      </c>
      <c r="BD59" s="20">
        <f t="shared" si="74"/>
        <v>15884.976000000001</v>
      </c>
      <c r="BE59" s="20">
        <f t="shared" si="74"/>
        <v>22412.802</v>
      </c>
      <c r="BF59" s="20">
        <f t="shared" si="74"/>
        <v>21961.137999999999</v>
      </c>
      <c r="BG59" s="20">
        <f t="shared" si="74"/>
        <v>19408.954000000002</v>
      </c>
      <c r="BH59" s="20">
        <f t="shared" si="74"/>
        <v>23841.226999999999</v>
      </c>
      <c r="BI59" s="20">
        <f t="shared" si="74"/>
        <v>22303.701000000001</v>
      </c>
      <c r="BJ59" s="20">
        <f t="shared" si="74"/>
        <v>18626.543000000001</v>
      </c>
      <c r="BK59" s="20">
        <f t="shared" si="74"/>
        <v>18070.196</v>
      </c>
      <c r="BL59" s="20">
        <f t="shared" si="74"/>
        <v>8916.4939999999988</v>
      </c>
      <c r="BM59" s="20">
        <f t="shared" si="74"/>
        <v>10097.01</v>
      </c>
      <c r="BN59" s="20">
        <f t="shared" si="74"/>
        <v>12797.755999999999</v>
      </c>
      <c r="BO59" s="20">
        <f t="shared" si="74"/>
        <v>11579.782999999999</v>
      </c>
      <c r="BP59" s="20">
        <f t="shared" si="74"/>
        <v>15884.976000000001</v>
      </c>
      <c r="BQ59" s="20">
        <f t="shared" si="74"/>
        <v>22412.802</v>
      </c>
      <c r="BR59" s="20">
        <f t="shared" si="74"/>
        <v>21961.137999999999</v>
      </c>
      <c r="BS59" s="20">
        <f t="shared" si="74"/>
        <v>19408.954000000002</v>
      </c>
      <c r="BT59" s="20">
        <f t="shared" si="74"/>
        <v>23841.226999999999</v>
      </c>
      <c r="BU59" s="20">
        <f t="shared" si="74"/>
        <v>22303.701000000001</v>
      </c>
      <c r="BV59" s="20">
        <f t="shared" si="74"/>
        <v>18626.543000000001</v>
      </c>
      <c r="BW59" s="20">
        <f t="shared" si="74"/>
        <v>18070.196</v>
      </c>
      <c r="BX59" s="20">
        <f t="shared" ref="BX59:CI59" si="75">BX57+BX58</f>
        <v>8916.4939999999988</v>
      </c>
      <c r="BY59" s="20">
        <f t="shared" si="75"/>
        <v>10097.01</v>
      </c>
      <c r="BZ59" s="20">
        <f t="shared" si="75"/>
        <v>12797.755999999999</v>
      </c>
      <c r="CA59" s="20">
        <f t="shared" si="75"/>
        <v>11579.782999999999</v>
      </c>
      <c r="CB59" s="20">
        <f t="shared" si="75"/>
        <v>15884.976000000001</v>
      </c>
      <c r="CC59" s="20">
        <f t="shared" si="75"/>
        <v>22412.802</v>
      </c>
      <c r="CD59" s="20">
        <f t="shared" si="75"/>
        <v>21961.137999999999</v>
      </c>
      <c r="CE59" s="20">
        <f t="shared" si="75"/>
        <v>19408.954000000002</v>
      </c>
      <c r="CF59" s="20">
        <f t="shared" si="75"/>
        <v>23841.226999999999</v>
      </c>
      <c r="CG59" s="20">
        <f t="shared" si="75"/>
        <v>22303.701000000001</v>
      </c>
      <c r="CH59" s="20">
        <f t="shared" si="75"/>
        <v>18626.543000000001</v>
      </c>
      <c r="CI59" s="20">
        <f t="shared" si="75"/>
        <v>18070.196</v>
      </c>
      <c r="CJ59" s="288"/>
      <c r="CK59" s="288"/>
      <c r="CL59" s="288"/>
    </row>
    <row r="60" spans="1:90">
      <c r="A60" s="2">
        <v>50</v>
      </c>
      <c r="B60" s="2" t="s">
        <v>196</v>
      </c>
      <c r="D60" s="11">
        <f>D52</f>
        <v>3.2237</v>
      </c>
      <c r="E60" s="11">
        <f t="shared" ref="E60:P60" si="76">E52</f>
        <v>2.0042999999999997</v>
      </c>
      <c r="F60" s="11">
        <f t="shared" si="76"/>
        <v>2.0042999999999997</v>
      </c>
      <c r="G60" s="11">
        <f t="shared" si="76"/>
        <v>2.0042999999999997</v>
      </c>
      <c r="H60" s="11">
        <f t="shared" si="76"/>
        <v>2.7732000000000001</v>
      </c>
      <c r="I60" s="11">
        <f t="shared" si="76"/>
        <v>2.7732000000000001</v>
      </c>
      <c r="J60" s="11">
        <f t="shared" si="76"/>
        <v>2.7732000000000001</v>
      </c>
      <c r="K60" s="11">
        <f t="shared" si="76"/>
        <v>2.4020000000000001</v>
      </c>
      <c r="L60" s="11">
        <f t="shared" si="76"/>
        <v>2.4020000000000001</v>
      </c>
      <c r="M60" s="11">
        <f t="shared" si="76"/>
        <v>2.4020000000000001</v>
      </c>
      <c r="N60" s="11">
        <f t="shared" si="76"/>
        <v>2.0657000000000001</v>
      </c>
      <c r="O60" s="11">
        <f t="shared" si="76"/>
        <v>2.0657000000000001</v>
      </c>
      <c r="P60" s="11">
        <f t="shared" si="76"/>
        <v>2.0657000000000001</v>
      </c>
      <c r="Q60" s="11">
        <f t="shared" ref="Q60:AA60" si="77">Q52</f>
        <v>2.9218000000000002</v>
      </c>
      <c r="R60" s="11">
        <f t="shared" si="77"/>
        <v>2.9218000000000002</v>
      </c>
      <c r="S60" s="11">
        <f t="shared" si="77"/>
        <v>2.9218000000000002</v>
      </c>
      <c r="T60" s="11">
        <f t="shared" si="77"/>
        <v>3.4335061979023158</v>
      </c>
      <c r="U60" s="11">
        <f t="shared" si="77"/>
        <v>3.4335061979023158</v>
      </c>
      <c r="V60" s="11">
        <f t="shared" si="77"/>
        <v>3.4335061979023158</v>
      </c>
      <c r="W60" s="11">
        <f t="shared" si="77"/>
        <v>3.4812973052790346</v>
      </c>
      <c r="X60" s="11">
        <f t="shared" si="77"/>
        <v>3.4812973052790346</v>
      </c>
      <c r="Y60" s="11">
        <f t="shared" si="77"/>
        <v>3.4812973052790346</v>
      </c>
      <c r="Z60" s="11">
        <f t="shared" si="77"/>
        <v>3.833173868389292</v>
      </c>
      <c r="AA60" s="11">
        <f t="shared" si="77"/>
        <v>3.833173868389292</v>
      </c>
      <c r="AB60" s="11">
        <f t="shared" ref="AB60:BW60" si="78">AB52</f>
        <v>3.833173868389292</v>
      </c>
      <c r="AC60" s="11">
        <f t="shared" si="78"/>
        <v>4.1989535257337307</v>
      </c>
      <c r="AD60" s="11">
        <f t="shared" si="78"/>
        <v>4.1989535257337307</v>
      </c>
      <c r="AE60" s="11">
        <f t="shared" si="78"/>
        <v>4.1989535257337307</v>
      </c>
      <c r="AF60" s="11">
        <f t="shared" si="78"/>
        <v>4.229823517123374</v>
      </c>
      <c r="AG60" s="11">
        <f t="shared" si="78"/>
        <v>4.229823517123374</v>
      </c>
      <c r="AH60" s="11">
        <f t="shared" si="78"/>
        <v>4.229823517123374</v>
      </c>
      <c r="AI60" s="11">
        <f t="shared" si="78"/>
        <v>3.7936198763327615</v>
      </c>
      <c r="AJ60" s="11">
        <f t="shared" si="78"/>
        <v>3.7936198763327615</v>
      </c>
      <c r="AK60" s="11">
        <f t="shared" si="78"/>
        <v>3.7936198763327615</v>
      </c>
      <c r="AL60" s="11">
        <f t="shared" si="78"/>
        <v>4.1952098946346101</v>
      </c>
      <c r="AM60" s="11">
        <f t="shared" si="78"/>
        <v>4.1952098946346101</v>
      </c>
      <c r="AN60" s="11">
        <f t="shared" si="78"/>
        <v>4.1952098946346101</v>
      </c>
      <c r="AO60" s="11">
        <f t="shared" si="78"/>
        <v>4.4164719064205116</v>
      </c>
      <c r="AP60" s="11">
        <f t="shared" si="78"/>
        <v>4.4164719064205116</v>
      </c>
      <c r="AQ60" s="11">
        <f t="shared" si="78"/>
        <v>4.4164719064205116</v>
      </c>
      <c r="AR60" s="11">
        <f t="shared" si="78"/>
        <v>4.4203639440698934</v>
      </c>
      <c r="AS60" s="11">
        <f t="shared" si="78"/>
        <v>4.4203639440698934</v>
      </c>
      <c r="AT60" s="11">
        <f t="shared" si="78"/>
        <v>4.4203639440698934</v>
      </c>
      <c r="AU60" s="11">
        <f t="shared" si="78"/>
        <v>3.9413423390141489</v>
      </c>
      <c r="AV60" s="11">
        <f t="shared" si="78"/>
        <v>3.9413423390141489</v>
      </c>
      <c r="AW60" s="11">
        <f t="shared" si="78"/>
        <v>3.9413423390141489</v>
      </c>
      <c r="AX60" s="11">
        <f t="shared" si="78"/>
        <v>4.1594718025446848</v>
      </c>
      <c r="AY60" s="11">
        <f t="shared" si="78"/>
        <v>4.1594718025446848</v>
      </c>
      <c r="AZ60" s="11">
        <f t="shared" si="78"/>
        <v>4.1594718025446848</v>
      </c>
      <c r="BA60" s="11">
        <f t="shared" si="78"/>
        <v>4.3826758392775931</v>
      </c>
      <c r="BB60" s="11">
        <f t="shared" si="78"/>
        <v>4.3826758392775931</v>
      </c>
      <c r="BC60" s="11">
        <f t="shared" si="78"/>
        <v>4.3826758392775931</v>
      </c>
      <c r="BD60" s="11">
        <f t="shared" si="78"/>
        <v>4.405005467574445</v>
      </c>
      <c r="BE60" s="11">
        <f t="shared" si="78"/>
        <v>4.405005467574445</v>
      </c>
      <c r="BF60" s="11">
        <f t="shared" si="78"/>
        <v>4.405005467574445</v>
      </c>
      <c r="BG60" s="11">
        <f t="shared" si="78"/>
        <v>3.9097669034362394</v>
      </c>
      <c r="BH60" s="11">
        <f t="shared" si="78"/>
        <v>3.9097669034362394</v>
      </c>
      <c r="BI60" s="11">
        <f t="shared" si="78"/>
        <v>3.9097669034362394</v>
      </c>
      <c r="BJ60" s="11">
        <f t="shared" si="78"/>
        <v>4.0635317881880733</v>
      </c>
      <c r="BK60" s="11">
        <f t="shared" si="78"/>
        <v>4.0635317881880733</v>
      </c>
      <c r="BL60" s="11">
        <f t="shared" si="78"/>
        <v>4.0635317881880733</v>
      </c>
      <c r="BM60" s="11">
        <f t="shared" si="78"/>
        <v>4.2947864291062237</v>
      </c>
      <c r="BN60" s="11">
        <f t="shared" si="78"/>
        <v>4.2947864291062237</v>
      </c>
      <c r="BO60" s="11">
        <f t="shared" si="78"/>
        <v>4.2947864291062237</v>
      </c>
      <c r="BP60" s="11">
        <f t="shared" si="78"/>
        <v>4.3450462079158649</v>
      </c>
      <c r="BQ60" s="11">
        <f t="shared" si="78"/>
        <v>4.3450462079158649</v>
      </c>
      <c r="BR60" s="11">
        <f t="shared" si="78"/>
        <v>4.3450462079158649</v>
      </c>
      <c r="BS60" s="11">
        <f t="shared" si="78"/>
        <v>3.8605643354006669</v>
      </c>
      <c r="BT60" s="11">
        <f t="shared" si="78"/>
        <v>3.8605643354006669</v>
      </c>
      <c r="BU60" s="11">
        <f t="shared" si="78"/>
        <v>3.8605643354006669</v>
      </c>
      <c r="BV60" s="11">
        <f t="shared" si="78"/>
        <v>4.0449032416845938</v>
      </c>
      <c r="BW60" s="11">
        <f t="shared" si="78"/>
        <v>4.0449032416845938</v>
      </c>
      <c r="BX60" s="11">
        <f t="shared" ref="BX60:CI60" si="79">BX52</f>
        <v>4.0449032416845938</v>
      </c>
      <c r="BY60" s="11">
        <f t="shared" si="79"/>
        <v>4.2874729689170064</v>
      </c>
      <c r="BZ60" s="11">
        <f t="shared" si="79"/>
        <v>4.2874729689170064</v>
      </c>
      <c r="CA60" s="11">
        <f t="shared" si="79"/>
        <v>4.2874729689170064</v>
      </c>
      <c r="CB60" s="11">
        <f t="shared" si="79"/>
        <v>4.2787134310824442</v>
      </c>
      <c r="CC60" s="11">
        <f t="shared" si="79"/>
        <v>4.2787134310824442</v>
      </c>
      <c r="CD60" s="11">
        <f t="shared" si="79"/>
        <v>4.2787134310824442</v>
      </c>
      <c r="CE60" s="11">
        <f t="shared" si="79"/>
        <v>3.7661992385787704</v>
      </c>
      <c r="CF60" s="11">
        <f t="shared" si="79"/>
        <v>3.7661992385787704</v>
      </c>
      <c r="CG60" s="11">
        <f t="shared" si="79"/>
        <v>3.7661992385787704</v>
      </c>
      <c r="CH60" s="11">
        <f t="shared" si="79"/>
        <v>3.8915117140027218</v>
      </c>
      <c r="CI60" s="11">
        <f t="shared" si="79"/>
        <v>3.8915117140027218</v>
      </c>
      <c r="CJ60" s="289"/>
      <c r="CK60" s="289"/>
      <c r="CL60" s="289"/>
    </row>
    <row r="61" spans="1:90">
      <c r="A61" s="2">
        <v>51</v>
      </c>
      <c r="B61" s="2" t="s">
        <v>188</v>
      </c>
      <c r="D61" s="3">
        <f t="shared" ref="D61:AI61" si="80">D60*D59</f>
        <v>28744.101707799997</v>
      </c>
      <c r="E61" s="3">
        <f t="shared" si="80"/>
        <v>20237.437142999999</v>
      </c>
      <c r="F61" s="3">
        <f t="shared" si="80"/>
        <v>25650.542350799995</v>
      </c>
      <c r="G61" s="3">
        <f t="shared" si="80"/>
        <v>23209.359066899997</v>
      </c>
      <c r="H61" s="3">
        <f t="shared" si="80"/>
        <v>44052.215443200002</v>
      </c>
      <c r="I61" s="3">
        <f t="shared" si="80"/>
        <v>62155.1825064</v>
      </c>
      <c r="J61" s="3">
        <f t="shared" si="80"/>
        <v>60902.627901599997</v>
      </c>
      <c r="K61" s="3">
        <f t="shared" si="80"/>
        <v>46620.307508000005</v>
      </c>
      <c r="L61" s="3">
        <f t="shared" si="80"/>
        <v>57266.627253999999</v>
      </c>
      <c r="M61" s="3">
        <f t="shared" si="80"/>
        <v>53573.489802000004</v>
      </c>
      <c r="N61" s="3">
        <f t="shared" si="80"/>
        <v>38476.849875100008</v>
      </c>
      <c r="O61" s="3">
        <f t="shared" si="80"/>
        <v>37327.603877200003</v>
      </c>
      <c r="P61" s="3">
        <f t="shared" si="80"/>
        <v>18418.801655799998</v>
      </c>
      <c r="Q61" s="3">
        <f t="shared" si="80"/>
        <v>29501.443818000003</v>
      </c>
      <c r="R61" s="3">
        <f t="shared" si="80"/>
        <v>37392.483480800001</v>
      </c>
      <c r="S61" s="3">
        <f t="shared" si="80"/>
        <v>33833.809969399997</v>
      </c>
      <c r="T61" s="3">
        <f t="shared" si="80"/>
        <v>54541.163549529541</v>
      </c>
      <c r="U61" s="3">
        <f t="shared" si="80"/>
        <v>76954.494579357415</v>
      </c>
      <c r="V61" s="3">
        <f t="shared" si="80"/>
        <v>75403.703435988064</v>
      </c>
      <c r="W61" s="3">
        <f t="shared" si="80"/>
        <v>67568.339258484746</v>
      </c>
      <c r="X61" s="3">
        <f t="shared" si="80"/>
        <v>82998.399309645756</v>
      </c>
      <c r="Y61" s="3">
        <f t="shared" si="80"/>
        <v>77645.814189049313</v>
      </c>
      <c r="Z61" s="3">
        <f t="shared" si="80"/>
        <v>71398.777886029493</v>
      </c>
      <c r="AA61" s="3">
        <f t="shared" si="80"/>
        <v>69266.203103872715</v>
      </c>
      <c r="AB61" s="3">
        <f t="shared" si="80"/>
        <v>34178.471798449908</v>
      </c>
      <c r="AC61" s="3">
        <f t="shared" si="80"/>
        <v>42396.875738868737</v>
      </c>
      <c r="AD61" s="3">
        <f t="shared" si="80"/>
        <v>53737.182677680001</v>
      </c>
      <c r="AE61" s="3">
        <f t="shared" si="80"/>
        <v>48622.970655081517</v>
      </c>
      <c r="AF61" s="3">
        <f t="shared" si="80"/>
        <v>67190.645053740387</v>
      </c>
      <c r="AG61" s="3">
        <f t="shared" si="80"/>
        <v>94802.196984229784</v>
      </c>
      <c r="AH61" s="3">
        <f t="shared" si="80"/>
        <v>92891.737975191776</v>
      </c>
      <c r="AI61" s="3">
        <f t="shared" si="80"/>
        <v>73630.193673228263</v>
      </c>
      <c r="AJ61" s="3">
        <f t="shared" ref="AJ61:BW61" si="81">AJ60*AJ59</f>
        <v>90444.552623361291</v>
      </c>
      <c r="AK61" s="3">
        <f t="shared" si="81"/>
        <v>84611.763429382889</v>
      </c>
      <c r="AL61" s="3">
        <f t="shared" si="81"/>
        <v>78142.257496437043</v>
      </c>
      <c r="AM61" s="3">
        <f t="shared" si="81"/>
        <v>75808.265057186756</v>
      </c>
      <c r="AN61" s="3">
        <f t="shared" si="81"/>
        <v>37406.563854250126</v>
      </c>
      <c r="AO61" s="3">
        <f t="shared" si="81"/>
        <v>44593.161003846973</v>
      </c>
      <c r="AP61" s="3">
        <f t="shared" si="81"/>
        <v>56520.92983922454</v>
      </c>
      <c r="AQ61" s="3">
        <f t="shared" si="81"/>
        <v>51141.786301945831</v>
      </c>
      <c r="AR61" s="3">
        <f t="shared" si="81"/>
        <v>70217.375162815602</v>
      </c>
      <c r="AS61" s="3">
        <f t="shared" si="81"/>
        <v>99072.741846377598</v>
      </c>
      <c r="AT61" s="3">
        <f t="shared" si="81"/>
        <v>97076.222585943207</v>
      </c>
      <c r="AU61" s="3">
        <f t="shared" si="81"/>
        <v>76497.332156178032</v>
      </c>
      <c r="AV61" s="3">
        <f t="shared" si="81"/>
        <v>93966.437389147279</v>
      </c>
      <c r="AW61" s="3">
        <f t="shared" si="81"/>
        <v>87906.521068012211</v>
      </c>
      <c r="AX61" s="3">
        <f t="shared" si="81"/>
        <v>77476.580387386086</v>
      </c>
      <c r="AY61" s="3">
        <f t="shared" si="81"/>
        <v>75162.470728455752</v>
      </c>
      <c r="AZ61" s="3">
        <f t="shared" si="81"/>
        <v>37087.905370558859</v>
      </c>
      <c r="BA61" s="3">
        <f t="shared" si="81"/>
        <v>44251.921775944254</v>
      </c>
      <c r="BB61" s="3">
        <f t="shared" si="81"/>
        <v>56088.416018169853</v>
      </c>
      <c r="BC61" s="3">
        <f t="shared" si="81"/>
        <v>50750.435178177402</v>
      </c>
      <c r="BD61" s="3">
        <f t="shared" si="81"/>
        <v>69973.406132288845</v>
      </c>
      <c r="BE61" s="3">
        <f t="shared" si="81"/>
        <v>98728.515353663461</v>
      </c>
      <c r="BF61" s="3">
        <f t="shared" si="81"/>
        <v>96738.932964156906</v>
      </c>
      <c r="BG61" s="3">
        <f t="shared" si="81"/>
        <v>75884.485979516423</v>
      </c>
      <c r="BH61" s="3">
        <f t="shared" si="81"/>
        <v>93213.640261910463</v>
      </c>
      <c r="BI61" s="3">
        <f t="shared" si="81"/>
        <v>87202.271993937757</v>
      </c>
      <c r="BJ61" s="3">
        <f t="shared" si="81"/>
        <v>75689.549584552049</v>
      </c>
      <c r="BK61" s="3">
        <f t="shared" si="81"/>
        <v>73428.815864788965</v>
      </c>
      <c r="BL61" s="3">
        <f t="shared" si="81"/>
        <v>36232.456808188224</v>
      </c>
      <c r="BM61" s="3">
        <f t="shared" si="81"/>
        <v>43364.501522549835</v>
      </c>
      <c r="BN61" s="3">
        <f t="shared" si="81"/>
        <v>54963.628791812749</v>
      </c>
      <c r="BO61" s="3">
        <f t="shared" si="81"/>
        <v>49732.694880394949</v>
      </c>
      <c r="BP61" s="3">
        <f t="shared" si="81"/>
        <v>69020.954731634527</v>
      </c>
      <c r="BQ61" s="3">
        <f t="shared" si="81"/>
        <v>97384.660338869115</v>
      </c>
      <c r="BR61" s="3">
        <f t="shared" si="81"/>
        <v>95422.159388417</v>
      </c>
      <c r="BS61" s="3">
        <f t="shared" si="81"/>
        <v>74929.515599832128</v>
      </c>
      <c r="BT61" s="3">
        <f t="shared" si="81"/>
        <v>92040.590668391436</v>
      </c>
      <c r="BU61" s="3">
        <f t="shared" si="81"/>
        <v>86104.87262804019</v>
      </c>
      <c r="BV61" s="3">
        <f t="shared" si="81"/>
        <v>75342.564162077484</v>
      </c>
      <c r="BW61" s="3">
        <f t="shared" si="81"/>
        <v>73092.194378275977</v>
      </c>
      <c r="BX61" s="3">
        <f t="shared" ref="BX61:CI61" si="82">BX60*BX59</f>
        <v>36066.355485061227</v>
      </c>
      <c r="BY61" s="3">
        <f t="shared" si="82"/>
        <v>43290.657441884701</v>
      </c>
      <c r="BZ61" s="3">
        <f t="shared" si="82"/>
        <v>54870.032912795432</v>
      </c>
      <c r="CA61" s="3">
        <f t="shared" si="82"/>
        <v>49648.006598424676</v>
      </c>
      <c r="CB61" s="3">
        <f t="shared" si="82"/>
        <v>67967.260163622283</v>
      </c>
      <c r="CC61" s="3">
        <f t="shared" si="82"/>
        <v>95897.956945591461</v>
      </c>
      <c r="CD61" s="3">
        <f t="shared" si="82"/>
        <v>93965.416122455048</v>
      </c>
      <c r="CE61" s="3">
        <f t="shared" si="82"/>
        <v>73097.987776410388</v>
      </c>
      <c r="CF61" s="3">
        <f t="shared" si="82"/>
        <v>89790.810974183623</v>
      </c>
      <c r="CG61" s="3">
        <f t="shared" si="82"/>
        <v>84000.181723688569</v>
      </c>
      <c r="CH61" s="3">
        <f t="shared" si="82"/>
        <v>72485.410275875402</v>
      </c>
      <c r="CI61" s="3">
        <f t="shared" si="82"/>
        <v>70320.379408325127</v>
      </c>
      <c r="CJ61" s="286"/>
      <c r="CK61" s="286"/>
      <c r="CL61" s="286"/>
    </row>
    <row r="62" spans="1:90">
      <c r="A62" s="2">
        <v>52</v>
      </c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</row>
    <row r="63" spans="1:90">
      <c r="A63" s="2">
        <v>53</v>
      </c>
      <c r="B63" s="23" t="s">
        <v>62</v>
      </c>
      <c r="D63" s="50">
        <f>D64*$C$64+D68*$C$68+D69*$C$69+D70*$C$70+D65+D66+D67</f>
        <v>655017.62350212003</v>
      </c>
      <c r="E63" s="50">
        <f t="shared" ref="E63:BP63" si="83">E64*$C$64+E68*$C$68+E69*$C$69+E70*$C$70+E65+E66+E67</f>
        <v>762573.36321541993</v>
      </c>
      <c r="F63" s="50">
        <f t="shared" si="83"/>
        <v>830218.63614512025</v>
      </c>
      <c r="G63" s="50">
        <f t="shared" si="83"/>
        <v>861572.06666852045</v>
      </c>
      <c r="H63" s="50">
        <f t="shared" si="83"/>
        <v>1048540.3229296203</v>
      </c>
      <c r="I63" s="50">
        <f t="shared" si="83"/>
        <v>875383.74061792006</v>
      </c>
      <c r="J63" s="50">
        <f t="shared" si="83"/>
        <v>826229.49630862032</v>
      </c>
      <c r="K63" s="50">
        <f t="shared" si="83"/>
        <v>729283.11745841661</v>
      </c>
      <c r="L63" s="50">
        <f t="shared" si="83"/>
        <v>687736.0510631334</v>
      </c>
      <c r="M63" s="50">
        <f t="shared" si="83"/>
        <v>666931.07363366662</v>
      </c>
      <c r="N63" s="50">
        <f t="shared" si="83"/>
        <v>656826.20629355253</v>
      </c>
      <c r="O63" s="50">
        <f t="shared" si="83"/>
        <v>672783.31046429172</v>
      </c>
      <c r="P63" s="50">
        <f t="shared" si="83"/>
        <v>655017.62350212003</v>
      </c>
      <c r="Q63" s="50">
        <f t="shared" si="83"/>
        <v>762573.36321541993</v>
      </c>
      <c r="R63" s="50">
        <f t="shared" si="83"/>
        <v>830218.63614512025</v>
      </c>
      <c r="S63" s="50">
        <f t="shared" si="83"/>
        <v>861572.06666852045</v>
      </c>
      <c r="T63" s="50">
        <f t="shared" si="83"/>
        <v>1048540.3229296203</v>
      </c>
      <c r="U63" s="50">
        <f t="shared" si="83"/>
        <v>875383.74061792006</v>
      </c>
      <c r="V63" s="50">
        <f t="shared" si="83"/>
        <v>826229.49630862032</v>
      </c>
      <c r="W63" s="50">
        <f t="shared" si="83"/>
        <v>729283.11745841661</v>
      </c>
      <c r="X63" s="50">
        <f t="shared" si="83"/>
        <v>687736.0510631334</v>
      </c>
      <c r="Y63" s="50">
        <f t="shared" si="83"/>
        <v>666931.07363366662</v>
      </c>
      <c r="Z63" s="50">
        <f t="shared" si="83"/>
        <v>656826.20629355253</v>
      </c>
      <c r="AA63" s="50">
        <f t="shared" si="83"/>
        <v>672783.31046429172</v>
      </c>
      <c r="AB63" s="50">
        <f t="shared" si="83"/>
        <v>655017.62350212003</v>
      </c>
      <c r="AC63" s="50">
        <f t="shared" si="83"/>
        <v>762573.36321541993</v>
      </c>
      <c r="AD63" s="50">
        <f t="shared" si="83"/>
        <v>830218.63614512025</v>
      </c>
      <c r="AE63" s="50">
        <f t="shared" si="83"/>
        <v>861572.06666852045</v>
      </c>
      <c r="AF63" s="50">
        <f t="shared" si="83"/>
        <v>1048540.3229296203</v>
      </c>
      <c r="AG63" s="50">
        <f t="shared" si="83"/>
        <v>875383.74061792006</v>
      </c>
      <c r="AH63" s="50">
        <f t="shared" si="83"/>
        <v>826229.49630862032</v>
      </c>
      <c r="AI63" s="50">
        <f t="shared" si="83"/>
        <v>729283.11745841661</v>
      </c>
      <c r="AJ63" s="50">
        <f t="shared" si="83"/>
        <v>687736.0510631334</v>
      </c>
      <c r="AK63" s="50">
        <f t="shared" si="83"/>
        <v>666931.07363366662</v>
      </c>
      <c r="AL63" s="50">
        <f t="shared" si="83"/>
        <v>656826.20629355253</v>
      </c>
      <c r="AM63" s="50">
        <f t="shared" si="83"/>
        <v>672783.31046429172</v>
      </c>
      <c r="AN63" s="50">
        <f t="shared" si="83"/>
        <v>655017.62350212003</v>
      </c>
      <c r="AO63" s="50">
        <f t="shared" si="83"/>
        <v>762573.36321541993</v>
      </c>
      <c r="AP63" s="50">
        <f t="shared" si="83"/>
        <v>830218.63614512025</v>
      </c>
      <c r="AQ63" s="50">
        <f t="shared" si="83"/>
        <v>861572.06666852045</v>
      </c>
      <c r="AR63" s="50">
        <f t="shared" si="83"/>
        <v>1048540.3229296203</v>
      </c>
      <c r="AS63" s="50">
        <f t="shared" si="83"/>
        <v>875383.74061792006</v>
      </c>
      <c r="AT63" s="50">
        <f t="shared" si="83"/>
        <v>826229.49630862032</v>
      </c>
      <c r="AU63" s="50">
        <f t="shared" si="83"/>
        <v>729283.11745841661</v>
      </c>
      <c r="AV63" s="50">
        <f t="shared" si="83"/>
        <v>687736.0510631334</v>
      </c>
      <c r="AW63" s="50">
        <f t="shared" si="83"/>
        <v>666931.07363366662</v>
      </c>
      <c r="AX63" s="50">
        <f t="shared" si="83"/>
        <v>656826.20629355253</v>
      </c>
      <c r="AY63" s="50">
        <f t="shared" si="83"/>
        <v>672783.31046429172</v>
      </c>
      <c r="AZ63" s="50">
        <f t="shared" si="83"/>
        <v>655017.62350212003</v>
      </c>
      <c r="BA63" s="50">
        <f t="shared" si="83"/>
        <v>762573.36321541993</v>
      </c>
      <c r="BB63" s="50">
        <f t="shared" si="83"/>
        <v>830218.63614512025</v>
      </c>
      <c r="BC63" s="50">
        <f t="shared" si="83"/>
        <v>861572.06666852045</v>
      </c>
      <c r="BD63" s="50">
        <f t="shared" si="83"/>
        <v>1048540.3229296203</v>
      </c>
      <c r="BE63" s="50">
        <f t="shared" si="83"/>
        <v>875383.74061792006</v>
      </c>
      <c r="BF63" s="50">
        <f t="shared" si="83"/>
        <v>826229.49630862032</v>
      </c>
      <c r="BG63" s="50">
        <f t="shared" si="83"/>
        <v>729283.11745841661</v>
      </c>
      <c r="BH63" s="50">
        <f t="shared" si="83"/>
        <v>687736.0510631334</v>
      </c>
      <c r="BI63" s="50">
        <f t="shared" si="83"/>
        <v>666931.07363366662</v>
      </c>
      <c r="BJ63" s="50">
        <f t="shared" si="83"/>
        <v>656826.20629355253</v>
      </c>
      <c r="BK63" s="50">
        <f t="shared" si="83"/>
        <v>672783.31046429172</v>
      </c>
      <c r="BL63" s="50">
        <f t="shared" si="83"/>
        <v>655017.62350212003</v>
      </c>
      <c r="BM63" s="50">
        <f t="shared" si="83"/>
        <v>762573.36321541993</v>
      </c>
      <c r="BN63" s="50">
        <f t="shared" si="83"/>
        <v>830218.63614512025</v>
      </c>
      <c r="BO63" s="50">
        <f t="shared" si="83"/>
        <v>861572.06666852045</v>
      </c>
      <c r="BP63" s="50">
        <f t="shared" si="83"/>
        <v>1048540.3229296203</v>
      </c>
      <c r="BQ63" s="50">
        <f t="shared" ref="BQ63:CI63" si="84">BQ64*$C$64+BQ68*$C$68+BQ69*$C$69+BQ70*$C$70+BQ65+BQ66+BQ67</f>
        <v>875383.74061792006</v>
      </c>
      <c r="BR63" s="50">
        <f t="shared" si="84"/>
        <v>826229.49630862032</v>
      </c>
      <c r="BS63" s="50">
        <f t="shared" si="84"/>
        <v>729283.11745841661</v>
      </c>
      <c r="BT63" s="50">
        <f t="shared" si="84"/>
        <v>687736.0510631334</v>
      </c>
      <c r="BU63" s="50">
        <f t="shared" si="84"/>
        <v>666931.07363366662</v>
      </c>
      <c r="BV63" s="50">
        <f t="shared" si="84"/>
        <v>656826.20629355253</v>
      </c>
      <c r="BW63" s="50">
        <f t="shared" si="84"/>
        <v>672783.31046429172</v>
      </c>
      <c r="BX63" s="50">
        <f t="shared" si="84"/>
        <v>655017.62350212003</v>
      </c>
      <c r="BY63" s="50">
        <f t="shared" si="84"/>
        <v>762573.36321541993</v>
      </c>
      <c r="BZ63" s="50">
        <f t="shared" si="84"/>
        <v>830218.63614512025</v>
      </c>
      <c r="CA63" s="50">
        <f t="shared" si="84"/>
        <v>861572.06666852045</v>
      </c>
      <c r="CB63" s="50">
        <f t="shared" si="84"/>
        <v>1048540.3229296203</v>
      </c>
      <c r="CC63" s="50">
        <f t="shared" si="84"/>
        <v>875383.74061792006</v>
      </c>
      <c r="CD63" s="50">
        <f t="shared" si="84"/>
        <v>826229.49630862032</v>
      </c>
      <c r="CE63" s="50">
        <f t="shared" si="84"/>
        <v>729283.11745841661</v>
      </c>
      <c r="CF63" s="50">
        <f t="shared" si="84"/>
        <v>687736.0510631334</v>
      </c>
      <c r="CG63" s="50">
        <f t="shared" si="84"/>
        <v>666931.07363366662</v>
      </c>
      <c r="CH63" s="50">
        <f t="shared" si="84"/>
        <v>656826.20629355253</v>
      </c>
      <c r="CI63" s="50">
        <f t="shared" si="84"/>
        <v>672783.31046429172</v>
      </c>
      <c r="CJ63" s="291"/>
      <c r="CK63" s="291"/>
      <c r="CL63" s="291"/>
    </row>
    <row r="64" spans="1:90">
      <c r="A64" s="2">
        <v>54</v>
      </c>
      <c r="B64" s="2" t="s">
        <v>61</v>
      </c>
      <c r="C64" s="535">
        <f>'Rate Design'!G15</f>
        <v>520</v>
      </c>
      <c r="D64" s="6">
        <f>'Bill Frequency'!C53+'Contract &amp; Vol Adj'!C53</f>
        <v>117.34615384615384</v>
      </c>
      <c r="E64" s="6">
        <f>'Bill Frequency'!D53+'Contract &amp; Vol Adj'!D53</f>
        <v>117.34615384615384</v>
      </c>
      <c r="F64" s="6">
        <f>'Bill Frequency'!E53+'Contract &amp; Vol Adj'!E53</f>
        <v>117.34615384615384</v>
      </c>
      <c r="G64" s="6">
        <f>'Bill Frequency'!F53+'Contract &amp; Vol Adj'!F53</f>
        <v>117.34615384615384</v>
      </c>
      <c r="H64" s="6">
        <f>'Bill Frequency'!G53+'Contract &amp; Vol Adj'!G53</f>
        <v>117.34615384615384</v>
      </c>
      <c r="I64" s="6">
        <f>'Bill Frequency'!H53+'Contract &amp; Vol Adj'!H53</f>
        <v>118.34615384615384</v>
      </c>
      <c r="J64" s="6">
        <f>'Bill Frequency'!I53+'Contract &amp; Vol Adj'!I53</f>
        <v>118.34615384615384</v>
      </c>
      <c r="K64" s="6">
        <f>'Bill Frequency'!J53+'Contract &amp; Vol Adj'!J53</f>
        <v>118.34615384615384</v>
      </c>
      <c r="L64" s="6">
        <f>'Bill Frequency'!K53+'Contract &amp; Vol Adj'!K53</f>
        <v>118.34615384615384</v>
      </c>
      <c r="M64" s="6">
        <f>'Bill Frequency'!L53+'Contract &amp; Vol Adj'!L53</f>
        <v>118.34615384615384</v>
      </c>
      <c r="N64" s="6">
        <f>'Bill Frequency'!M53+'Contract &amp; Vol Adj'!M53</f>
        <v>118.34615384615384</v>
      </c>
      <c r="O64" s="6">
        <f>'Bill Frequency'!N53+'Contract &amp; Vol Adj'!N53</f>
        <v>118.34615384615384</v>
      </c>
      <c r="P64" s="6">
        <f t="shared" ref="P64:Y70" si="85">D64</f>
        <v>117.34615384615384</v>
      </c>
      <c r="Q64" s="6">
        <f t="shared" si="85"/>
        <v>117.34615384615384</v>
      </c>
      <c r="R64" s="6">
        <f t="shared" si="85"/>
        <v>117.34615384615384</v>
      </c>
      <c r="S64" s="6">
        <f t="shared" si="85"/>
        <v>117.34615384615384</v>
      </c>
      <c r="T64" s="6">
        <f t="shared" si="85"/>
        <v>117.34615384615384</v>
      </c>
      <c r="U64" s="6">
        <f t="shared" si="85"/>
        <v>118.34615384615384</v>
      </c>
      <c r="V64" s="6">
        <f t="shared" si="85"/>
        <v>118.34615384615384</v>
      </c>
      <c r="W64" s="6">
        <f t="shared" si="85"/>
        <v>118.34615384615384</v>
      </c>
      <c r="X64" s="6">
        <f t="shared" si="85"/>
        <v>118.34615384615384</v>
      </c>
      <c r="Y64" s="6">
        <f t="shared" si="85"/>
        <v>118.34615384615384</v>
      </c>
      <c r="Z64" s="6">
        <f t="shared" ref="Z64:AI70" si="86">N64</f>
        <v>118.34615384615384</v>
      </c>
      <c r="AA64" s="6">
        <f t="shared" si="86"/>
        <v>118.34615384615384</v>
      </c>
      <c r="AB64" s="6">
        <f t="shared" si="86"/>
        <v>117.34615384615384</v>
      </c>
      <c r="AC64" s="6">
        <f t="shared" si="86"/>
        <v>117.34615384615384</v>
      </c>
      <c r="AD64" s="6">
        <f t="shared" si="86"/>
        <v>117.34615384615384</v>
      </c>
      <c r="AE64" s="6">
        <f t="shared" si="86"/>
        <v>117.34615384615384</v>
      </c>
      <c r="AF64" s="6">
        <f t="shared" si="86"/>
        <v>117.34615384615384</v>
      </c>
      <c r="AG64" s="6">
        <f t="shared" si="86"/>
        <v>118.34615384615384</v>
      </c>
      <c r="AH64" s="6">
        <f t="shared" si="86"/>
        <v>118.34615384615384</v>
      </c>
      <c r="AI64" s="6">
        <f t="shared" si="86"/>
        <v>118.34615384615384</v>
      </c>
      <c r="AJ64" s="6">
        <f t="shared" ref="AJ64:AS70" si="87">X64</f>
        <v>118.34615384615384</v>
      </c>
      <c r="AK64" s="6">
        <f t="shared" si="87"/>
        <v>118.34615384615384</v>
      </c>
      <c r="AL64" s="6">
        <f t="shared" si="87"/>
        <v>118.34615384615384</v>
      </c>
      <c r="AM64" s="6">
        <f t="shared" si="87"/>
        <v>118.34615384615384</v>
      </c>
      <c r="AN64" s="6">
        <f t="shared" si="87"/>
        <v>117.34615384615384</v>
      </c>
      <c r="AO64" s="6">
        <f t="shared" si="87"/>
        <v>117.34615384615384</v>
      </c>
      <c r="AP64" s="6">
        <f t="shared" si="87"/>
        <v>117.34615384615384</v>
      </c>
      <c r="AQ64" s="6">
        <f t="shared" si="87"/>
        <v>117.34615384615384</v>
      </c>
      <c r="AR64" s="6">
        <f t="shared" si="87"/>
        <v>117.34615384615384</v>
      </c>
      <c r="AS64" s="6">
        <f t="shared" si="87"/>
        <v>118.34615384615384</v>
      </c>
      <c r="AT64" s="6">
        <f t="shared" ref="AT64:BC70" si="88">AH64</f>
        <v>118.34615384615384</v>
      </c>
      <c r="AU64" s="6">
        <f t="shared" si="88"/>
        <v>118.34615384615384</v>
      </c>
      <c r="AV64" s="6">
        <f t="shared" si="88"/>
        <v>118.34615384615384</v>
      </c>
      <c r="AW64" s="6">
        <f t="shared" si="88"/>
        <v>118.34615384615384</v>
      </c>
      <c r="AX64" s="6">
        <f t="shared" si="88"/>
        <v>118.34615384615384</v>
      </c>
      <c r="AY64" s="6">
        <f t="shared" si="88"/>
        <v>118.34615384615384</v>
      </c>
      <c r="AZ64" s="6">
        <f t="shared" si="88"/>
        <v>117.34615384615384</v>
      </c>
      <c r="BA64" s="6">
        <f t="shared" si="88"/>
        <v>117.34615384615384</v>
      </c>
      <c r="BB64" s="6">
        <f t="shared" si="88"/>
        <v>117.34615384615384</v>
      </c>
      <c r="BC64" s="6">
        <f t="shared" si="88"/>
        <v>117.34615384615384</v>
      </c>
      <c r="BD64" s="6">
        <f t="shared" ref="BD64:BS70" si="89">AR64</f>
        <v>117.34615384615384</v>
      </c>
      <c r="BE64" s="6">
        <f t="shared" si="89"/>
        <v>118.34615384615384</v>
      </c>
      <c r="BF64" s="6">
        <f t="shared" si="89"/>
        <v>118.34615384615384</v>
      </c>
      <c r="BG64" s="6">
        <f t="shared" si="89"/>
        <v>118.34615384615384</v>
      </c>
      <c r="BH64" s="6">
        <f t="shared" si="89"/>
        <v>118.34615384615384</v>
      </c>
      <c r="BI64" s="6">
        <f t="shared" si="89"/>
        <v>118.34615384615384</v>
      </c>
      <c r="BJ64" s="6">
        <f t="shared" si="89"/>
        <v>118.34615384615384</v>
      </c>
      <c r="BK64" s="6">
        <f t="shared" si="89"/>
        <v>118.34615384615384</v>
      </c>
      <c r="BL64" s="6">
        <f t="shared" si="89"/>
        <v>117.34615384615384</v>
      </c>
      <c r="BM64" s="6">
        <f t="shared" si="89"/>
        <v>117.34615384615384</v>
      </c>
      <c r="BN64" s="6">
        <f t="shared" si="89"/>
        <v>117.34615384615384</v>
      </c>
      <c r="BO64" s="6">
        <f t="shared" si="89"/>
        <v>117.34615384615384</v>
      </c>
      <c r="BP64" s="6">
        <f t="shared" si="89"/>
        <v>117.34615384615384</v>
      </c>
      <c r="BQ64" s="6">
        <f t="shared" si="89"/>
        <v>118.34615384615384</v>
      </c>
      <c r="BR64" s="6">
        <f t="shared" si="89"/>
        <v>118.34615384615384</v>
      </c>
      <c r="BS64" s="6">
        <f t="shared" si="89"/>
        <v>118.34615384615384</v>
      </c>
      <c r="BT64" s="6">
        <f t="shared" ref="BT64:BW70" si="90">BH64</f>
        <v>118.34615384615384</v>
      </c>
      <c r="BU64" s="6">
        <f t="shared" si="90"/>
        <v>118.34615384615384</v>
      </c>
      <c r="BV64" s="6">
        <f t="shared" si="90"/>
        <v>118.34615384615384</v>
      </c>
      <c r="BW64" s="6">
        <f t="shared" si="90"/>
        <v>118.34615384615384</v>
      </c>
      <c r="BX64" s="6">
        <f t="shared" ref="BX64:BX70" si="91">BL64</f>
        <v>117.34615384615384</v>
      </c>
      <c r="BY64" s="6">
        <f t="shared" ref="BY64:BY70" si="92">BM64</f>
        <v>117.34615384615384</v>
      </c>
      <c r="BZ64" s="6">
        <f t="shared" ref="BZ64:BZ70" si="93">BN64</f>
        <v>117.34615384615384</v>
      </c>
      <c r="CA64" s="6">
        <f t="shared" ref="CA64:CA70" si="94">BO64</f>
        <v>117.34615384615384</v>
      </c>
      <c r="CB64" s="6">
        <f t="shared" ref="CB64:CB70" si="95">BP64</f>
        <v>117.34615384615384</v>
      </c>
      <c r="CC64" s="6">
        <f t="shared" ref="CC64:CC70" si="96">BQ64</f>
        <v>118.34615384615384</v>
      </c>
      <c r="CD64" s="6">
        <f t="shared" ref="CD64:CD70" si="97">BR64</f>
        <v>118.34615384615384</v>
      </c>
      <c r="CE64" s="6">
        <f t="shared" ref="CE64:CE70" si="98">BS64</f>
        <v>118.34615384615384</v>
      </c>
      <c r="CF64" s="6">
        <f t="shared" ref="CF64:CF70" si="99">BT64</f>
        <v>118.34615384615384</v>
      </c>
      <c r="CG64" s="6">
        <f t="shared" ref="CG64:CG70" si="100">BU64</f>
        <v>118.34615384615384</v>
      </c>
      <c r="CH64" s="6">
        <f t="shared" ref="CH64:CH70" si="101">BV64</f>
        <v>118.34615384615384</v>
      </c>
      <c r="CI64" s="6">
        <f t="shared" ref="CI64:CI70" si="102">BW64</f>
        <v>118.34615384615384</v>
      </c>
      <c r="CJ64" s="287"/>
      <c r="CK64" s="287"/>
      <c r="CL64" s="287"/>
    </row>
    <row r="65" spans="1:90">
      <c r="A65" s="2">
        <v>55</v>
      </c>
      <c r="B65" s="2" t="s">
        <v>1</v>
      </c>
      <c r="D65" s="3">
        <f>'Bill Frequency'!C54+'Contract &amp; Vol Adj'!C54</f>
        <v>5850</v>
      </c>
      <c r="E65" s="3">
        <f>'Bill Frequency'!D54+'Contract &amp; Vol Adj'!D54</f>
        <v>5850</v>
      </c>
      <c r="F65" s="3">
        <f>'Bill Frequency'!E54+'Contract &amp; Vol Adj'!E54</f>
        <v>5850</v>
      </c>
      <c r="G65" s="3">
        <f>'Bill Frequency'!F54+'Contract &amp; Vol Adj'!F54</f>
        <v>5850</v>
      </c>
      <c r="H65" s="3">
        <f>'Bill Frequency'!G54+'Contract &amp; Vol Adj'!G54</f>
        <v>5850</v>
      </c>
      <c r="I65" s="3">
        <f>'Bill Frequency'!H54+'Contract &amp; Vol Adj'!H54</f>
        <v>5900</v>
      </c>
      <c r="J65" s="3">
        <f>'Bill Frequency'!I54+'Contract &amp; Vol Adj'!I54</f>
        <v>5900</v>
      </c>
      <c r="K65" s="3">
        <f>'Bill Frequency'!J54+'Contract &amp; Vol Adj'!J54</f>
        <v>5900</v>
      </c>
      <c r="L65" s="3">
        <f>'Bill Frequency'!K54+'Contract &amp; Vol Adj'!K54</f>
        <v>5950</v>
      </c>
      <c r="M65" s="3">
        <f>'Bill Frequency'!L54+'Contract &amp; Vol Adj'!L54</f>
        <v>5900</v>
      </c>
      <c r="N65" s="3">
        <f>'Bill Frequency'!M54+'Contract &amp; Vol Adj'!M54</f>
        <v>5900</v>
      </c>
      <c r="O65" s="3">
        <f>'Bill Frequency'!N54+'Contract &amp; Vol Adj'!N54</f>
        <v>5900</v>
      </c>
      <c r="P65" s="3">
        <f t="shared" si="85"/>
        <v>5850</v>
      </c>
      <c r="Q65" s="3">
        <f t="shared" si="85"/>
        <v>5850</v>
      </c>
      <c r="R65" s="3">
        <f t="shared" si="85"/>
        <v>5850</v>
      </c>
      <c r="S65" s="3">
        <f t="shared" si="85"/>
        <v>5850</v>
      </c>
      <c r="T65" s="3">
        <f t="shared" si="85"/>
        <v>5850</v>
      </c>
      <c r="U65" s="3">
        <f t="shared" si="85"/>
        <v>5900</v>
      </c>
      <c r="V65" s="3">
        <f t="shared" si="85"/>
        <v>5900</v>
      </c>
      <c r="W65" s="3">
        <f t="shared" si="85"/>
        <v>5900</v>
      </c>
      <c r="X65" s="3">
        <f t="shared" si="85"/>
        <v>5950</v>
      </c>
      <c r="Y65" s="3">
        <f t="shared" si="85"/>
        <v>5900</v>
      </c>
      <c r="Z65" s="3">
        <f t="shared" si="86"/>
        <v>5900</v>
      </c>
      <c r="AA65" s="3">
        <f t="shared" si="86"/>
        <v>5900</v>
      </c>
      <c r="AB65" s="3">
        <f t="shared" si="86"/>
        <v>5850</v>
      </c>
      <c r="AC65" s="3">
        <f t="shared" si="86"/>
        <v>5850</v>
      </c>
      <c r="AD65" s="3">
        <f t="shared" si="86"/>
        <v>5850</v>
      </c>
      <c r="AE65" s="3">
        <f t="shared" si="86"/>
        <v>5850</v>
      </c>
      <c r="AF65" s="3">
        <f t="shared" si="86"/>
        <v>5850</v>
      </c>
      <c r="AG65" s="3">
        <f t="shared" si="86"/>
        <v>5900</v>
      </c>
      <c r="AH65" s="3">
        <f t="shared" si="86"/>
        <v>5900</v>
      </c>
      <c r="AI65" s="3">
        <f t="shared" si="86"/>
        <v>5900</v>
      </c>
      <c r="AJ65" s="3">
        <f t="shared" si="87"/>
        <v>5950</v>
      </c>
      <c r="AK65" s="3">
        <f t="shared" si="87"/>
        <v>5900</v>
      </c>
      <c r="AL65" s="3">
        <f t="shared" si="87"/>
        <v>5900</v>
      </c>
      <c r="AM65" s="3">
        <f t="shared" si="87"/>
        <v>5900</v>
      </c>
      <c r="AN65" s="3">
        <f t="shared" si="87"/>
        <v>5850</v>
      </c>
      <c r="AO65" s="3">
        <f t="shared" si="87"/>
        <v>5850</v>
      </c>
      <c r="AP65" s="3">
        <f t="shared" si="87"/>
        <v>5850</v>
      </c>
      <c r="AQ65" s="3">
        <f t="shared" si="87"/>
        <v>5850</v>
      </c>
      <c r="AR65" s="3">
        <f t="shared" si="87"/>
        <v>5850</v>
      </c>
      <c r="AS65" s="3">
        <f t="shared" si="87"/>
        <v>5900</v>
      </c>
      <c r="AT65" s="3">
        <f t="shared" si="88"/>
        <v>5900</v>
      </c>
      <c r="AU65" s="3">
        <f t="shared" si="88"/>
        <v>5900</v>
      </c>
      <c r="AV65" s="3">
        <f t="shared" si="88"/>
        <v>5950</v>
      </c>
      <c r="AW65" s="3">
        <f t="shared" si="88"/>
        <v>5900</v>
      </c>
      <c r="AX65" s="3">
        <f t="shared" si="88"/>
        <v>5900</v>
      </c>
      <c r="AY65" s="3">
        <f t="shared" si="88"/>
        <v>5900</v>
      </c>
      <c r="AZ65" s="3">
        <f t="shared" si="88"/>
        <v>5850</v>
      </c>
      <c r="BA65" s="3">
        <f t="shared" si="88"/>
        <v>5850</v>
      </c>
      <c r="BB65" s="3">
        <f t="shared" si="88"/>
        <v>5850</v>
      </c>
      <c r="BC65" s="3">
        <f t="shared" si="88"/>
        <v>5850</v>
      </c>
      <c r="BD65" s="3">
        <f t="shared" si="89"/>
        <v>5850</v>
      </c>
      <c r="BE65" s="3">
        <f t="shared" si="89"/>
        <v>5900</v>
      </c>
      <c r="BF65" s="3">
        <f t="shared" si="89"/>
        <v>5900</v>
      </c>
      <c r="BG65" s="3">
        <f t="shared" si="89"/>
        <v>5900</v>
      </c>
      <c r="BH65" s="3">
        <f t="shared" si="89"/>
        <v>5950</v>
      </c>
      <c r="BI65" s="3">
        <f t="shared" si="89"/>
        <v>5900</v>
      </c>
      <c r="BJ65" s="3">
        <f t="shared" si="89"/>
        <v>5900</v>
      </c>
      <c r="BK65" s="3">
        <f t="shared" si="89"/>
        <v>5900</v>
      </c>
      <c r="BL65" s="3">
        <f t="shared" si="89"/>
        <v>5850</v>
      </c>
      <c r="BM65" s="3">
        <f t="shared" si="89"/>
        <v>5850</v>
      </c>
      <c r="BN65" s="3">
        <f t="shared" si="89"/>
        <v>5850</v>
      </c>
      <c r="BO65" s="3">
        <f t="shared" si="89"/>
        <v>5850</v>
      </c>
      <c r="BP65" s="3">
        <f t="shared" si="89"/>
        <v>5850</v>
      </c>
      <c r="BQ65" s="3">
        <f t="shared" si="89"/>
        <v>5900</v>
      </c>
      <c r="BR65" s="3">
        <f t="shared" si="89"/>
        <v>5900</v>
      </c>
      <c r="BS65" s="3">
        <f t="shared" si="89"/>
        <v>5900</v>
      </c>
      <c r="BT65" s="3">
        <f t="shared" si="90"/>
        <v>5950</v>
      </c>
      <c r="BU65" s="3">
        <f t="shared" si="90"/>
        <v>5900</v>
      </c>
      <c r="BV65" s="3">
        <f t="shared" si="90"/>
        <v>5900</v>
      </c>
      <c r="BW65" s="3">
        <f t="shared" si="90"/>
        <v>5900</v>
      </c>
      <c r="BX65" s="3">
        <f t="shared" si="91"/>
        <v>5850</v>
      </c>
      <c r="BY65" s="3">
        <f t="shared" si="92"/>
        <v>5850</v>
      </c>
      <c r="BZ65" s="3">
        <f t="shared" si="93"/>
        <v>5850</v>
      </c>
      <c r="CA65" s="3">
        <f t="shared" si="94"/>
        <v>5850</v>
      </c>
      <c r="CB65" s="3">
        <f t="shared" si="95"/>
        <v>5850</v>
      </c>
      <c r="CC65" s="3">
        <f t="shared" si="96"/>
        <v>5900</v>
      </c>
      <c r="CD65" s="3">
        <f t="shared" si="97"/>
        <v>5900</v>
      </c>
      <c r="CE65" s="3">
        <f t="shared" si="98"/>
        <v>5900</v>
      </c>
      <c r="CF65" s="3">
        <f t="shared" si="99"/>
        <v>5950</v>
      </c>
      <c r="CG65" s="3">
        <f t="shared" si="100"/>
        <v>5900</v>
      </c>
      <c r="CH65" s="3">
        <f t="shared" si="101"/>
        <v>5900</v>
      </c>
      <c r="CI65" s="3">
        <f t="shared" si="102"/>
        <v>5900</v>
      </c>
      <c r="CJ65" s="286"/>
      <c r="CK65" s="286"/>
      <c r="CL65" s="286"/>
    </row>
    <row r="66" spans="1:90">
      <c r="A66" s="2">
        <v>56</v>
      </c>
      <c r="B66" s="2" t="s">
        <v>48</v>
      </c>
      <c r="D66" s="3">
        <f>'Bill Frequency'!C55+'Contract &amp; Vol Adj'!C55</f>
        <v>6750</v>
      </c>
      <c r="E66" s="3">
        <f>'Bill Frequency'!D55+'Contract &amp; Vol Adj'!D55</f>
        <v>6900</v>
      </c>
      <c r="F66" s="3">
        <f>'Bill Frequency'!E55+'Contract &amp; Vol Adj'!E55</f>
        <v>6750</v>
      </c>
      <c r="G66" s="3">
        <f>'Bill Frequency'!F55+'Contract &amp; Vol Adj'!F55</f>
        <v>6900</v>
      </c>
      <c r="H66" s="3">
        <f>'Bill Frequency'!G55+'Contract &amp; Vol Adj'!G55</f>
        <v>6900</v>
      </c>
      <c r="I66" s="3">
        <f>'Bill Frequency'!H55+'Contract &amp; Vol Adj'!H55</f>
        <v>6975</v>
      </c>
      <c r="J66" s="3">
        <f>'Bill Frequency'!I55+'Contract &amp; Vol Adj'!I55</f>
        <v>7050</v>
      </c>
      <c r="K66" s="3">
        <f>'Bill Frequency'!J55+'Contract &amp; Vol Adj'!J55</f>
        <v>7200</v>
      </c>
      <c r="L66" s="3">
        <f>'Bill Frequency'!K55+'Contract &amp; Vol Adj'!K55</f>
        <v>6975</v>
      </c>
      <c r="M66" s="3">
        <f>'Bill Frequency'!L55+'Contract &amp; Vol Adj'!L55</f>
        <v>7050</v>
      </c>
      <c r="N66" s="3">
        <f>'Bill Frequency'!M55+'Contract &amp; Vol Adj'!M55</f>
        <v>7050</v>
      </c>
      <c r="O66" s="3">
        <f>'Bill Frequency'!N55+'Contract &amp; Vol Adj'!N55</f>
        <v>7125</v>
      </c>
      <c r="P66" s="3">
        <f t="shared" si="85"/>
        <v>6750</v>
      </c>
      <c r="Q66" s="3">
        <f t="shared" si="85"/>
        <v>6900</v>
      </c>
      <c r="R66" s="3">
        <f t="shared" si="85"/>
        <v>6750</v>
      </c>
      <c r="S66" s="3">
        <f t="shared" si="85"/>
        <v>6900</v>
      </c>
      <c r="T66" s="3">
        <f t="shared" si="85"/>
        <v>6900</v>
      </c>
      <c r="U66" s="3">
        <f t="shared" si="85"/>
        <v>6975</v>
      </c>
      <c r="V66" s="3">
        <f t="shared" si="85"/>
        <v>7050</v>
      </c>
      <c r="W66" s="3">
        <f t="shared" si="85"/>
        <v>7200</v>
      </c>
      <c r="X66" s="3">
        <f t="shared" si="85"/>
        <v>6975</v>
      </c>
      <c r="Y66" s="3">
        <f t="shared" si="85"/>
        <v>7050</v>
      </c>
      <c r="Z66" s="3">
        <f t="shared" si="86"/>
        <v>7050</v>
      </c>
      <c r="AA66" s="3">
        <f t="shared" si="86"/>
        <v>7125</v>
      </c>
      <c r="AB66" s="3">
        <f t="shared" si="86"/>
        <v>6750</v>
      </c>
      <c r="AC66" s="3">
        <f t="shared" si="86"/>
        <v>6900</v>
      </c>
      <c r="AD66" s="3">
        <f t="shared" si="86"/>
        <v>6750</v>
      </c>
      <c r="AE66" s="3">
        <f t="shared" si="86"/>
        <v>6900</v>
      </c>
      <c r="AF66" s="3">
        <f t="shared" si="86"/>
        <v>6900</v>
      </c>
      <c r="AG66" s="3">
        <f t="shared" si="86"/>
        <v>6975</v>
      </c>
      <c r="AH66" s="3">
        <f t="shared" si="86"/>
        <v>7050</v>
      </c>
      <c r="AI66" s="3">
        <f t="shared" si="86"/>
        <v>7200</v>
      </c>
      <c r="AJ66" s="3">
        <f t="shared" si="87"/>
        <v>6975</v>
      </c>
      <c r="AK66" s="3">
        <f t="shared" si="87"/>
        <v>7050</v>
      </c>
      <c r="AL66" s="3">
        <f t="shared" si="87"/>
        <v>7050</v>
      </c>
      <c r="AM66" s="3">
        <f t="shared" si="87"/>
        <v>7125</v>
      </c>
      <c r="AN66" s="3">
        <f t="shared" si="87"/>
        <v>6750</v>
      </c>
      <c r="AO66" s="3">
        <f t="shared" si="87"/>
        <v>6900</v>
      </c>
      <c r="AP66" s="3">
        <f t="shared" si="87"/>
        <v>6750</v>
      </c>
      <c r="AQ66" s="3">
        <f t="shared" si="87"/>
        <v>6900</v>
      </c>
      <c r="AR66" s="3">
        <f t="shared" si="87"/>
        <v>6900</v>
      </c>
      <c r="AS66" s="3">
        <f t="shared" si="87"/>
        <v>6975</v>
      </c>
      <c r="AT66" s="3">
        <f t="shared" si="88"/>
        <v>7050</v>
      </c>
      <c r="AU66" s="3">
        <f t="shared" si="88"/>
        <v>7200</v>
      </c>
      <c r="AV66" s="3">
        <f t="shared" si="88"/>
        <v>6975</v>
      </c>
      <c r="AW66" s="3">
        <f t="shared" si="88"/>
        <v>7050</v>
      </c>
      <c r="AX66" s="3">
        <f t="shared" si="88"/>
        <v>7050</v>
      </c>
      <c r="AY66" s="3">
        <f t="shared" si="88"/>
        <v>7125</v>
      </c>
      <c r="AZ66" s="3">
        <f t="shared" si="88"/>
        <v>6750</v>
      </c>
      <c r="BA66" s="3">
        <f t="shared" si="88"/>
        <v>6900</v>
      </c>
      <c r="BB66" s="3">
        <f t="shared" si="88"/>
        <v>6750</v>
      </c>
      <c r="BC66" s="3">
        <f t="shared" si="88"/>
        <v>6900</v>
      </c>
      <c r="BD66" s="3">
        <f t="shared" si="89"/>
        <v>6900</v>
      </c>
      <c r="BE66" s="3">
        <f t="shared" si="89"/>
        <v>6975</v>
      </c>
      <c r="BF66" s="3">
        <f t="shared" si="89"/>
        <v>7050</v>
      </c>
      <c r="BG66" s="3">
        <f t="shared" si="89"/>
        <v>7200</v>
      </c>
      <c r="BH66" s="3">
        <f t="shared" si="89"/>
        <v>6975</v>
      </c>
      <c r="BI66" s="3">
        <f t="shared" si="89"/>
        <v>7050</v>
      </c>
      <c r="BJ66" s="3">
        <f t="shared" si="89"/>
        <v>7050</v>
      </c>
      <c r="BK66" s="3">
        <f t="shared" si="89"/>
        <v>7125</v>
      </c>
      <c r="BL66" s="3">
        <f t="shared" si="89"/>
        <v>6750</v>
      </c>
      <c r="BM66" s="3">
        <f t="shared" si="89"/>
        <v>6900</v>
      </c>
      <c r="BN66" s="3">
        <f t="shared" si="89"/>
        <v>6750</v>
      </c>
      <c r="BO66" s="3">
        <f t="shared" si="89"/>
        <v>6900</v>
      </c>
      <c r="BP66" s="3">
        <f t="shared" si="89"/>
        <v>6900</v>
      </c>
      <c r="BQ66" s="3">
        <f t="shared" si="89"/>
        <v>6975</v>
      </c>
      <c r="BR66" s="3">
        <f t="shared" si="89"/>
        <v>7050</v>
      </c>
      <c r="BS66" s="3">
        <f t="shared" si="89"/>
        <v>7200</v>
      </c>
      <c r="BT66" s="3">
        <f t="shared" si="90"/>
        <v>6975</v>
      </c>
      <c r="BU66" s="3">
        <f t="shared" si="90"/>
        <v>7050</v>
      </c>
      <c r="BV66" s="3">
        <f t="shared" si="90"/>
        <v>7050</v>
      </c>
      <c r="BW66" s="3">
        <f t="shared" si="90"/>
        <v>7125</v>
      </c>
      <c r="BX66" s="3">
        <f t="shared" si="91"/>
        <v>6750</v>
      </c>
      <c r="BY66" s="3">
        <f t="shared" si="92"/>
        <v>6900</v>
      </c>
      <c r="BZ66" s="3">
        <f t="shared" si="93"/>
        <v>6750</v>
      </c>
      <c r="CA66" s="3">
        <f t="shared" si="94"/>
        <v>6900</v>
      </c>
      <c r="CB66" s="3">
        <f t="shared" si="95"/>
        <v>6900</v>
      </c>
      <c r="CC66" s="3">
        <f t="shared" si="96"/>
        <v>6975</v>
      </c>
      <c r="CD66" s="3">
        <f t="shared" si="97"/>
        <v>7050</v>
      </c>
      <c r="CE66" s="3">
        <f t="shared" si="98"/>
        <v>7200</v>
      </c>
      <c r="CF66" s="3">
        <f t="shared" si="99"/>
        <v>6975</v>
      </c>
      <c r="CG66" s="3">
        <f t="shared" si="100"/>
        <v>7050</v>
      </c>
      <c r="CH66" s="3">
        <f t="shared" si="101"/>
        <v>7050</v>
      </c>
      <c r="CI66" s="3">
        <f t="shared" si="102"/>
        <v>7125</v>
      </c>
      <c r="CJ66" s="286"/>
      <c r="CK66" s="286"/>
      <c r="CL66" s="286"/>
    </row>
    <row r="67" spans="1:90">
      <c r="A67" s="2">
        <v>57</v>
      </c>
      <c r="B67" s="2" t="s">
        <v>2</v>
      </c>
      <c r="D67" s="3">
        <f>'Bill Frequency'!C56+'Contract &amp; Vol Adj'!C56</f>
        <v>0</v>
      </c>
      <c r="E67" s="3">
        <f>'Bill Frequency'!D56+'Contract &amp; Vol Adj'!D56</f>
        <v>0</v>
      </c>
      <c r="F67" s="3">
        <f>'Bill Frequency'!E56+'Contract &amp; Vol Adj'!E56</f>
        <v>0</v>
      </c>
      <c r="G67" s="3">
        <f>'Bill Frequency'!F56+'Contract &amp; Vol Adj'!F56</f>
        <v>0</v>
      </c>
      <c r="H67" s="3">
        <f>'Bill Frequency'!G56+'Contract &amp; Vol Adj'!G56</f>
        <v>0</v>
      </c>
      <c r="I67" s="3">
        <f>'Bill Frequency'!H56+'Contract &amp; Vol Adj'!H56</f>
        <v>0</v>
      </c>
      <c r="J67" s="3">
        <f>'Bill Frequency'!I56+'Contract &amp; Vol Adj'!I56</f>
        <v>0</v>
      </c>
      <c r="K67" s="3">
        <f>'Bill Frequency'!J56+'Contract &amp; Vol Adj'!J56</f>
        <v>0</v>
      </c>
      <c r="L67" s="3">
        <f>'Bill Frequency'!K56+'Contract &amp; Vol Adj'!K56</f>
        <v>0</v>
      </c>
      <c r="M67" s="3">
        <f>'Bill Frequency'!L56+'Contract &amp; Vol Adj'!L56</f>
        <v>0</v>
      </c>
      <c r="N67" s="3">
        <f>'Bill Frequency'!M56+'Contract &amp; Vol Adj'!M56</f>
        <v>0</v>
      </c>
      <c r="O67" s="3">
        <f>'Bill Frequency'!N56+'Contract &amp; Vol Adj'!N56</f>
        <v>0</v>
      </c>
      <c r="P67" s="3">
        <f t="shared" si="85"/>
        <v>0</v>
      </c>
      <c r="Q67" s="3">
        <f t="shared" si="85"/>
        <v>0</v>
      </c>
      <c r="R67" s="3">
        <f t="shared" si="85"/>
        <v>0</v>
      </c>
      <c r="S67" s="3">
        <f t="shared" si="85"/>
        <v>0</v>
      </c>
      <c r="T67" s="3">
        <f t="shared" si="85"/>
        <v>0</v>
      </c>
      <c r="U67" s="3">
        <f t="shared" si="85"/>
        <v>0</v>
      </c>
      <c r="V67" s="3">
        <f t="shared" si="85"/>
        <v>0</v>
      </c>
      <c r="W67" s="3">
        <f t="shared" si="85"/>
        <v>0</v>
      </c>
      <c r="X67" s="3">
        <f t="shared" si="85"/>
        <v>0</v>
      </c>
      <c r="Y67" s="3">
        <f t="shared" si="85"/>
        <v>0</v>
      </c>
      <c r="Z67" s="3">
        <f t="shared" si="86"/>
        <v>0</v>
      </c>
      <c r="AA67" s="3">
        <f t="shared" si="86"/>
        <v>0</v>
      </c>
      <c r="AB67" s="3">
        <f t="shared" si="86"/>
        <v>0</v>
      </c>
      <c r="AC67" s="3">
        <f t="shared" si="86"/>
        <v>0</v>
      </c>
      <c r="AD67" s="3">
        <f t="shared" si="86"/>
        <v>0</v>
      </c>
      <c r="AE67" s="3">
        <f t="shared" si="86"/>
        <v>0</v>
      </c>
      <c r="AF67" s="3">
        <f t="shared" si="86"/>
        <v>0</v>
      </c>
      <c r="AG67" s="3">
        <f t="shared" si="86"/>
        <v>0</v>
      </c>
      <c r="AH67" s="3">
        <f t="shared" si="86"/>
        <v>0</v>
      </c>
      <c r="AI67" s="3">
        <f t="shared" si="86"/>
        <v>0</v>
      </c>
      <c r="AJ67" s="3">
        <f t="shared" si="87"/>
        <v>0</v>
      </c>
      <c r="AK67" s="3">
        <f t="shared" si="87"/>
        <v>0</v>
      </c>
      <c r="AL67" s="3">
        <f t="shared" si="87"/>
        <v>0</v>
      </c>
      <c r="AM67" s="3">
        <f t="shared" si="87"/>
        <v>0</v>
      </c>
      <c r="AN67" s="3">
        <f t="shared" si="87"/>
        <v>0</v>
      </c>
      <c r="AO67" s="3">
        <f t="shared" si="87"/>
        <v>0</v>
      </c>
      <c r="AP67" s="3">
        <f t="shared" si="87"/>
        <v>0</v>
      </c>
      <c r="AQ67" s="3">
        <f t="shared" si="87"/>
        <v>0</v>
      </c>
      <c r="AR67" s="3">
        <f t="shared" si="87"/>
        <v>0</v>
      </c>
      <c r="AS67" s="3">
        <f t="shared" si="87"/>
        <v>0</v>
      </c>
      <c r="AT67" s="3">
        <f t="shared" si="88"/>
        <v>0</v>
      </c>
      <c r="AU67" s="3">
        <f t="shared" si="88"/>
        <v>0</v>
      </c>
      <c r="AV67" s="3">
        <f t="shared" si="88"/>
        <v>0</v>
      </c>
      <c r="AW67" s="3">
        <f t="shared" si="88"/>
        <v>0</v>
      </c>
      <c r="AX67" s="3">
        <f t="shared" si="88"/>
        <v>0</v>
      </c>
      <c r="AY67" s="3">
        <f t="shared" si="88"/>
        <v>0</v>
      </c>
      <c r="AZ67" s="3">
        <f t="shared" si="88"/>
        <v>0</v>
      </c>
      <c r="BA67" s="3">
        <f t="shared" si="88"/>
        <v>0</v>
      </c>
      <c r="BB67" s="3">
        <f t="shared" si="88"/>
        <v>0</v>
      </c>
      <c r="BC67" s="3">
        <f t="shared" si="88"/>
        <v>0</v>
      </c>
      <c r="BD67" s="3">
        <f t="shared" si="89"/>
        <v>0</v>
      </c>
      <c r="BE67" s="3">
        <f t="shared" si="89"/>
        <v>0</v>
      </c>
      <c r="BF67" s="3">
        <f t="shared" si="89"/>
        <v>0</v>
      </c>
      <c r="BG67" s="3">
        <f t="shared" si="89"/>
        <v>0</v>
      </c>
      <c r="BH67" s="3">
        <f t="shared" si="89"/>
        <v>0</v>
      </c>
      <c r="BI67" s="3">
        <f t="shared" si="89"/>
        <v>0</v>
      </c>
      <c r="BJ67" s="3">
        <f t="shared" si="89"/>
        <v>0</v>
      </c>
      <c r="BK67" s="3">
        <f t="shared" si="89"/>
        <v>0</v>
      </c>
      <c r="BL67" s="3">
        <f t="shared" si="89"/>
        <v>0</v>
      </c>
      <c r="BM67" s="3">
        <f t="shared" si="89"/>
        <v>0</v>
      </c>
      <c r="BN67" s="3">
        <f t="shared" si="89"/>
        <v>0</v>
      </c>
      <c r="BO67" s="3">
        <f t="shared" si="89"/>
        <v>0</v>
      </c>
      <c r="BP67" s="3">
        <f t="shared" si="89"/>
        <v>0</v>
      </c>
      <c r="BQ67" s="3">
        <f t="shared" si="89"/>
        <v>0</v>
      </c>
      <c r="BR67" s="3">
        <f t="shared" si="89"/>
        <v>0</v>
      </c>
      <c r="BS67" s="3">
        <f t="shared" si="89"/>
        <v>0</v>
      </c>
      <c r="BT67" s="3">
        <f t="shared" si="90"/>
        <v>0</v>
      </c>
      <c r="BU67" s="3">
        <f t="shared" si="90"/>
        <v>0</v>
      </c>
      <c r="BV67" s="3">
        <f t="shared" si="90"/>
        <v>0</v>
      </c>
      <c r="BW67" s="3">
        <f t="shared" si="90"/>
        <v>0</v>
      </c>
      <c r="BX67" s="3">
        <f t="shared" si="91"/>
        <v>0</v>
      </c>
      <c r="BY67" s="3">
        <f t="shared" si="92"/>
        <v>0</v>
      </c>
      <c r="BZ67" s="3">
        <f t="shared" si="93"/>
        <v>0</v>
      </c>
      <c r="CA67" s="3">
        <f t="shared" si="94"/>
        <v>0</v>
      </c>
      <c r="CB67" s="3">
        <f t="shared" si="95"/>
        <v>0</v>
      </c>
      <c r="CC67" s="3">
        <f t="shared" si="96"/>
        <v>0</v>
      </c>
      <c r="CD67" s="3">
        <f t="shared" si="97"/>
        <v>0</v>
      </c>
      <c r="CE67" s="3">
        <f t="shared" si="98"/>
        <v>0</v>
      </c>
      <c r="CF67" s="3">
        <f t="shared" si="99"/>
        <v>0</v>
      </c>
      <c r="CG67" s="3">
        <f t="shared" si="100"/>
        <v>0</v>
      </c>
      <c r="CH67" s="3">
        <f t="shared" si="101"/>
        <v>0</v>
      </c>
      <c r="CI67" s="3">
        <f t="shared" si="102"/>
        <v>0</v>
      </c>
      <c r="CJ67" s="286"/>
      <c r="CK67" s="286"/>
      <c r="CL67" s="286"/>
    </row>
    <row r="68" spans="1:90">
      <c r="A68" s="2">
        <v>58</v>
      </c>
      <c r="B68" s="2" t="s">
        <v>31</v>
      </c>
      <c r="C68" s="13">
        <f>'Rate Design'!G27</f>
        <v>1.5483</v>
      </c>
      <c r="D68" s="6">
        <f>'Bill Frequency'!C57+'Contract &amp; Vol Adj'!C57</f>
        <v>31784.461999999996</v>
      </c>
      <c r="E68" s="6">
        <f>'Bill Frequency'!D57+'Contract &amp; Vol Adj'!D57</f>
        <v>34534.737000000001</v>
      </c>
      <c r="F68" s="6">
        <f>'Bill Frequency'!E57+'Contract &amp; Vol Adj'!E57</f>
        <v>36151.909999999996</v>
      </c>
      <c r="G68" s="6">
        <f>'Bill Frequency'!F57+'Contract &amp; Vol Adj'!F57</f>
        <v>36243.234000000004</v>
      </c>
      <c r="H68" s="6">
        <f>'Bill Frequency'!G57+'Contract &amp; Vol Adj'!G57</f>
        <v>35897.127</v>
      </c>
      <c r="I68" s="6">
        <f>'Bill Frequency'!H57+'Contract &amp; Vol Adj'!H57</f>
        <v>35221.706000000006</v>
      </c>
      <c r="J68" s="6">
        <f>'Bill Frequency'!I57+'Contract &amp; Vol Adj'!I57</f>
        <v>35440.599000000002</v>
      </c>
      <c r="K68" s="6">
        <f>'Bill Frequency'!J57+'Contract &amp; Vol Adj'!J57</f>
        <v>34241.104999999996</v>
      </c>
      <c r="L68" s="6">
        <f>'Bill Frequency'!K57+'Contract &amp; Vol Adj'!K57</f>
        <v>32255.929</v>
      </c>
      <c r="M68" s="6">
        <f>'Bill Frequency'!L57+'Contract &amp; Vol Adj'!L57</f>
        <v>31740.676000000003</v>
      </c>
      <c r="N68" s="6">
        <f>'Bill Frequency'!M57+'Contract &amp; Vol Adj'!M57</f>
        <v>31401.204000000005</v>
      </c>
      <c r="O68" s="6">
        <f>'Bill Frequency'!N57+'Contract &amp; Vol Adj'!N57</f>
        <v>31572.666000000005</v>
      </c>
      <c r="P68" s="6">
        <f t="shared" si="85"/>
        <v>31784.461999999996</v>
      </c>
      <c r="Q68" s="6">
        <f t="shared" si="85"/>
        <v>34534.737000000001</v>
      </c>
      <c r="R68" s="6">
        <f t="shared" si="85"/>
        <v>36151.909999999996</v>
      </c>
      <c r="S68" s="6">
        <f t="shared" si="85"/>
        <v>36243.234000000004</v>
      </c>
      <c r="T68" s="6">
        <f t="shared" si="85"/>
        <v>35897.127</v>
      </c>
      <c r="U68" s="6">
        <f t="shared" si="85"/>
        <v>35221.706000000006</v>
      </c>
      <c r="V68" s="6">
        <f t="shared" si="85"/>
        <v>35440.599000000002</v>
      </c>
      <c r="W68" s="6">
        <f t="shared" si="85"/>
        <v>34241.104999999996</v>
      </c>
      <c r="X68" s="6">
        <f t="shared" si="85"/>
        <v>32255.929</v>
      </c>
      <c r="Y68" s="6">
        <f t="shared" si="85"/>
        <v>31740.676000000003</v>
      </c>
      <c r="Z68" s="6">
        <f t="shared" si="86"/>
        <v>31401.204000000005</v>
      </c>
      <c r="AA68" s="6">
        <f t="shared" si="86"/>
        <v>31572.666000000005</v>
      </c>
      <c r="AB68" s="6">
        <f t="shared" si="86"/>
        <v>31784.461999999996</v>
      </c>
      <c r="AC68" s="6">
        <f t="shared" si="86"/>
        <v>34534.737000000001</v>
      </c>
      <c r="AD68" s="6">
        <f t="shared" si="86"/>
        <v>36151.909999999996</v>
      </c>
      <c r="AE68" s="6">
        <f t="shared" si="86"/>
        <v>36243.234000000004</v>
      </c>
      <c r="AF68" s="6">
        <f t="shared" si="86"/>
        <v>35897.127</v>
      </c>
      <c r="AG68" s="6">
        <f t="shared" si="86"/>
        <v>35221.706000000006</v>
      </c>
      <c r="AH68" s="6">
        <f t="shared" si="86"/>
        <v>35440.599000000002</v>
      </c>
      <c r="AI68" s="6">
        <f t="shared" si="86"/>
        <v>34241.104999999996</v>
      </c>
      <c r="AJ68" s="6">
        <f t="shared" si="87"/>
        <v>32255.929</v>
      </c>
      <c r="AK68" s="6">
        <f t="shared" si="87"/>
        <v>31740.676000000003</v>
      </c>
      <c r="AL68" s="6">
        <f t="shared" si="87"/>
        <v>31401.204000000005</v>
      </c>
      <c r="AM68" s="6">
        <f t="shared" si="87"/>
        <v>31572.666000000005</v>
      </c>
      <c r="AN68" s="6">
        <f t="shared" si="87"/>
        <v>31784.461999999996</v>
      </c>
      <c r="AO68" s="6">
        <f t="shared" si="87"/>
        <v>34534.737000000001</v>
      </c>
      <c r="AP68" s="6">
        <f t="shared" si="87"/>
        <v>36151.909999999996</v>
      </c>
      <c r="AQ68" s="6">
        <f t="shared" si="87"/>
        <v>36243.234000000004</v>
      </c>
      <c r="AR68" s="6">
        <f t="shared" si="87"/>
        <v>35897.127</v>
      </c>
      <c r="AS68" s="6">
        <f t="shared" si="87"/>
        <v>35221.706000000006</v>
      </c>
      <c r="AT68" s="6">
        <f t="shared" si="88"/>
        <v>35440.599000000002</v>
      </c>
      <c r="AU68" s="6">
        <f t="shared" si="88"/>
        <v>34241.104999999996</v>
      </c>
      <c r="AV68" s="6">
        <f t="shared" si="88"/>
        <v>32255.929</v>
      </c>
      <c r="AW68" s="6">
        <f t="shared" si="88"/>
        <v>31740.676000000003</v>
      </c>
      <c r="AX68" s="6">
        <f t="shared" si="88"/>
        <v>31401.204000000005</v>
      </c>
      <c r="AY68" s="6">
        <f t="shared" si="88"/>
        <v>31572.666000000005</v>
      </c>
      <c r="AZ68" s="6">
        <f t="shared" si="88"/>
        <v>31784.461999999996</v>
      </c>
      <c r="BA68" s="6">
        <f t="shared" si="88"/>
        <v>34534.737000000001</v>
      </c>
      <c r="BB68" s="6">
        <f t="shared" si="88"/>
        <v>36151.909999999996</v>
      </c>
      <c r="BC68" s="6">
        <f t="shared" si="88"/>
        <v>36243.234000000004</v>
      </c>
      <c r="BD68" s="6">
        <f t="shared" si="89"/>
        <v>35897.127</v>
      </c>
      <c r="BE68" s="6">
        <f t="shared" si="89"/>
        <v>35221.706000000006</v>
      </c>
      <c r="BF68" s="6">
        <f t="shared" si="89"/>
        <v>35440.599000000002</v>
      </c>
      <c r="BG68" s="6">
        <f t="shared" si="89"/>
        <v>34241.104999999996</v>
      </c>
      <c r="BH68" s="6">
        <f t="shared" si="89"/>
        <v>32255.929</v>
      </c>
      <c r="BI68" s="6">
        <f t="shared" si="89"/>
        <v>31740.676000000003</v>
      </c>
      <c r="BJ68" s="6">
        <f t="shared" si="89"/>
        <v>31401.204000000005</v>
      </c>
      <c r="BK68" s="6">
        <f t="shared" si="89"/>
        <v>31572.666000000005</v>
      </c>
      <c r="BL68" s="6">
        <f t="shared" si="89"/>
        <v>31784.461999999996</v>
      </c>
      <c r="BM68" s="6">
        <f t="shared" si="89"/>
        <v>34534.737000000001</v>
      </c>
      <c r="BN68" s="6">
        <f t="shared" si="89"/>
        <v>36151.909999999996</v>
      </c>
      <c r="BO68" s="6">
        <f t="shared" si="89"/>
        <v>36243.234000000004</v>
      </c>
      <c r="BP68" s="6">
        <f t="shared" si="89"/>
        <v>35897.127</v>
      </c>
      <c r="BQ68" s="6">
        <f t="shared" si="89"/>
        <v>35221.706000000006</v>
      </c>
      <c r="BR68" s="6">
        <f t="shared" si="89"/>
        <v>35440.599000000002</v>
      </c>
      <c r="BS68" s="6">
        <f t="shared" si="89"/>
        <v>34241.104999999996</v>
      </c>
      <c r="BT68" s="6">
        <f t="shared" si="90"/>
        <v>32255.929</v>
      </c>
      <c r="BU68" s="6">
        <f t="shared" si="90"/>
        <v>31740.676000000003</v>
      </c>
      <c r="BV68" s="6">
        <f t="shared" si="90"/>
        <v>31401.204000000005</v>
      </c>
      <c r="BW68" s="6">
        <f t="shared" si="90"/>
        <v>31572.666000000005</v>
      </c>
      <c r="BX68" s="6">
        <f t="shared" si="91"/>
        <v>31784.461999999996</v>
      </c>
      <c r="BY68" s="6">
        <f t="shared" si="92"/>
        <v>34534.737000000001</v>
      </c>
      <c r="BZ68" s="6">
        <f t="shared" si="93"/>
        <v>36151.909999999996</v>
      </c>
      <c r="CA68" s="6">
        <f t="shared" si="94"/>
        <v>36243.234000000004</v>
      </c>
      <c r="CB68" s="6">
        <f t="shared" si="95"/>
        <v>35897.127</v>
      </c>
      <c r="CC68" s="6">
        <f t="shared" si="96"/>
        <v>35221.706000000006</v>
      </c>
      <c r="CD68" s="6">
        <f t="shared" si="97"/>
        <v>35440.599000000002</v>
      </c>
      <c r="CE68" s="6">
        <f t="shared" si="98"/>
        <v>34241.104999999996</v>
      </c>
      <c r="CF68" s="6">
        <f t="shared" si="99"/>
        <v>32255.929</v>
      </c>
      <c r="CG68" s="6">
        <f t="shared" si="100"/>
        <v>31740.676000000003</v>
      </c>
      <c r="CH68" s="6">
        <f t="shared" si="101"/>
        <v>31401.204000000005</v>
      </c>
      <c r="CI68" s="6">
        <f t="shared" si="102"/>
        <v>31572.666000000005</v>
      </c>
      <c r="CJ68" s="287"/>
      <c r="CK68" s="287"/>
      <c r="CL68" s="287"/>
    </row>
    <row r="69" spans="1:90">
      <c r="A69" s="2">
        <v>59</v>
      </c>
      <c r="B69" s="2" t="s">
        <v>32</v>
      </c>
      <c r="C69" s="13">
        <f>'Rate Design'!G28</f>
        <v>1.0762</v>
      </c>
      <c r="D69" s="6">
        <f>'Bill Frequency'!C58+'Contract &amp; Vol Adj'!C58</f>
        <v>404806.89472023799</v>
      </c>
      <c r="E69" s="6">
        <f>'Bill Frequency'!D58+'Contract &amp; Vol Adj'!D58</f>
        <v>471919.80472023779</v>
      </c>
      <c r="F69" s="6">
        <f>'Bill Frequency'!E58+'Contract &amp; Vol Adj'!E58</f>
        <v>525332.28572023823</v>
      </c>
      <c r="G69" s="6">
        <f>'Bill Frequency'!F58+'Contract &amp; Vol Adj'!F58</f>
        <v>567791.31272023835</v>
      </c>
      <c r="H69" s="6">
        <f>'Bill Frequency'!G58+'Contract &amp; Vol Adj'!G58</f>
        <v>676762.24672023824</v>
      </c>
      <c r="I69" s="6">
        <f>'Bill Frequency'!H58+'Contract &amp; Vol Adj'!H58</f>
        <v>551046.99572023796</v>
      </c>
      <c r="J69" s="6">
        <f>'Bill Frequency'!I58+'Contract &amp; Vol Adj'!I58</f>
        <v>503579.26172023814</v>
      </c>
      <c r="K69" s="6">
        <f>'Bill Frequency'!J58+'Contract &amp; Vol Adj'!J58</f>
        <v>440323.09891666664</v>
      </c>
      <c r="L69" s="6">
        <f>'Bill Frequency'!K58+'Contract &amp; Vol Adj'!K58</f>
        <v>411568.39083333343</v>
      </c>
      <c r="M69" s="6">
        <f>'Bill Frequency'!L58+'Contract &amp; Vol Adj'!L58</f>
        <v>412964.15166666661</v>
      </c>
      <c r="N69" s="6">
        <f>'Bill Frequency'!M58+'Contract &amp; Vol Adj'!M58</f>
        <v>406840.55795238109</v>
      </c>
      <c r="O69" s="6">
        <f>'Bill Frequency'!N58+'Contract &amp; Vol Adj'!N58</f>
        <v>413844.60529166675</v>
      </c>
      <c r="P69" s="6">
        <f t="shared" si="85"/>
        <v>404806.89472023799</v>
      </c>
      <c r="Q69" s="6">
        <f t="shared" si="85"/>
        <v>471919.80472023779</v>
      </c>
      <c r="R69" s="6">
        <f t="shared" si="85"/>
        <v>525332.28572023823</v>
      </c>
      <c r="S69" s="6">
        <f t="shared" si="85"/>
        <v>567791.31272023835</v>
      </c>
      <c r="T69" s="6">
        <f t="shared" si="85"/>
        <v>676762.24672023824</v>
      </c>
      <c r="U69" s="6">
        <f t="shared" si="85"/>
        <v>551046.99572023796</v>
      </c>
      <c r="V69" s="6">
        <f t="shared" si="85"/>
        <v>503579.26172023814</v>
      </c>
      <c r="W69" s="6">
        <f t="shared" si="85"/>
        <v>440323.09891666664</v>
      </c>
      <c r="X69" s="6">
        <f t="shared" si="85"/>
        <v>411568.39083333343</v>
      </c>
      <c r="Y69" s="6">
        <f t="shared" si="85"/>
        <v>412964.15166666661</v>
      </c>
      <c r="Z69" s="6">
        <f t="shared" si="86"/>
        <v>406840.55795238109</v>
      </c>
      <c r="AA69" s="6">
        <f t="shared" si="86"/>
        <v>413844.60529166675</v>
      </c>
      <c r="AB69" s="6">
        <f t="shared" si="86"/>
        <v>404806.89472023799</v>
      </c>
      <c r="AC69" s="6">
        <f t="shared" si="86"/>
        <v>471919.80472023779</v>
      </c>
      <c r="AD69" s="6">
        <f t="shared" si="86"/>
        <v>525332.28572023823</v>
      </c>
      <c r="AE69" s="6">
        <f t="shared" si="86"/>
        <v>567791.31272023835</v>
      </c>
      <c r="AF69" s="6">
        <f t="shared" si="86"/>
        <v>676762.24672023824</v>
      </c>
      <c r="AG69" s="6">
        <f t="shared" si="86"/>
        <v>551046.99572023796</v>
      </c>
      <c r="AH69" s="6">
        <f t="shared" si="86"/>
        <v>503579.26172023814</v>
      </c>
      <c r="AI69" s="6">
        <f t="shared" si="86"/>
        <v>440323.09891666664</v>
      </c>
      <c r="AJ69" s="6">
        <f t="shared" si="87"/>
        <v>411568.39083333343</v>
      </c>
      <c r="AK69" s="6">
        <f t="shared" si="87"/>
        <v>412964.15166666661</v>
      </c>
      <c r="AL69" s="6">
        <f t="shared" si="87"/>
        <v>406840.55795238109</v>
      </c>
      <c r="AM69" s="6">
        <f t="shared" si="87"/>
        <v>413844.60529166675</v>
      </c>
      <c r="AN69" s="6">
        <f t="shared" si="87"/>
        <v>404806.89472023799</v>
      </c>
      <c r="AO69" s="6">
        <f t="shared" si="87"/>
        <v>471919.80472023779</v>
      </c>
      <c r="AP69" s="6">
        <f t="shared" si="87"/>
        <v>525332.28572023823</v>
      </c>
      <c r="AQ69" s="6">
        <f t="shared" si="87"/>
        <v>567791.31272023835</v>
      </c>
      <c r="AR69" s="6">
        <f t="shared" si="87"/>
        <v>676762.24672023824</v>
      </c>
      <c r="AS69" s="6">
        <f t="shared" si="87"/>
        <v>551046.99572023796</v>
      </c>
      <c r="AT69" s="6">
        <f t="shared" si="88"/>
        <v>503579.26172023814</v>
      </c>
      <c r="AU69" s="6">
        <f t="shared" si="88"/>
        <v>440323.09891666664</v>
      </c>
      <c r="AV69" s="6">
        <f t="shared" si="88"/>
        <v>411568.39083333343</v>
      </c>
      <c r="AW69" s="6">
        <f t="shared" si="88"/>
        <v>412964.15166666661</v>
      </c>
      <c r="AX69" s="6">
        <f t="shared" si="88"/>
        <v>406840.55795238109</v>
      </c>
      <c r="AY69" s="6">
        <f t="shared" si="88"/>
        <v>413844.60529166675</v>
      </c>
      <c r="AZ69" s="6">
        <f t="shared" si="88"/>
        <v>404806.89472023799</v>
      </c>
      <c r="BA69" s="6">
        <f t="shared" si="88"/>
        <v>471919.80472023779</v>
      </c>
      <c r="BB69" s="6">
        <f t="shared" si="88"/>
        <v>525332.28572023823</v>
      </c>
      <c r="BC69" s="6">
        <f t="shared" si="88"/>
        <v>567791.31272023835</v>
      </c>
      <c r="BD69" s="6">
        <f t="shared" si="89"/>
        <v>676762.24672023824</v>
      </c>
      <c r="BE69" s="6">
        <f t="shared" si="89"/>
        <v>551046.99572023796</v>
      </c>
      <c r="BF69" s="6">
        <f t="shared" si="89"/>
        <v>503579.26172023814</v>
      </c>
      <c r="BG69" s="6">
        <f t="shared" si="89"/>
        <v>440323.09891666664</v>
      </c>
      <c r="BH69" s="6">
        <f t="shared" si="89"/>
        <v>411568.39083333343</v>
      </c>
      <c r="BI69" s="6">
        <f t="shared" si="89"/>
        <v>412964.15166666661</v>
      </c>
      <c r="BJ69" s="6">
        <f t="shared" si="89"/>
        <v>406840.55795238109</v>
      </c>
      <c r="BK69" s="6">
        <f t="shared" si="89"/>
        <v>413844.60529166675</v>
      </c>
      <c r="BL69" s="6">
        <f t="shared" si="89"/>
        <v>404806.89472023799</v>
      </c>
      <c r="BM69" s="6">
        <f t="shared" si="89"/>
        <v>471919.80472023779</v>
      </c>
      <c r="BN69" s="6">
        <f t="shared" si="89"/>
        <v>525332.28572023823</v>
      </c>
      <c r="BO69" s="6">
        <f t="shared" si="89"/>
        <v>567791.31272023835</v>
      </c>
      <c r="BP69" s="6">
        <f t="shared" si="89"/>
        <v>676762.24672023824</v>
      </c>
      <c r="BQ69" s="6">
        <f t="shared" si="89"/>
        <v>551046.99572023796</v>
      </c>
      <c r="BR69" s="6">
        <f t="shared" si="89"/>
        <v>503579.26172023814</v>
      </c>
      <c r="BS69" s="6">
        <f t="shared" si="89"/>
        <v>440323.09891666664</v>
      </c>
      <c r="BT69" s="6">
        <f t="shared" si="90"/>
        <v>411568.39083333343</v>
      </c>
      <c r="BU69" s="6">
        <f t="shared" si="90"/>
        <v>412964.15166666661</v>
      </c>
      <c r="BV69" s="6">
        <f t="shared" si="90"/>
        <v>406840.55795238109</v>
      </c>
      <c r="BW69" s="6">
        <f t="shared" si="90"/>
        <v>413844.60529166675</v>
      </c>
      <c r="BX69" s="6">
        <f t="shared" si="91"/>
        <v>404806.89472023799</v>
      </c>
      <c r="BY69" s="6">
        <f t="shared" si="92"/>
        <v>471919.80472023779</v>
      </c>
      <c r="BZ69" s="6">
        <f t="shared" si="93"/>
        <v>525332.28572023823</v>
      </c>
      <c r="CA69" s="6">
        <f t="shared" si="94"/>
        <v>567791.31272023835</v>
      </c>
      <c r="CB69" s="6">
        <f t="shared" si="95"/>
        <v>676762.24672023824</v>
      </c>
      <c r="CC69" s="6">
        <f t="shared" si="96"/>
        <v>551046.99572023796</v>
      </c>
      <c r="CD69" s="6">
        <f t="shared" si="97"/>
        <v>503579.26172023814</v>
      </c>
      <c r="CE69" s="6">
        <f t="shared" si="98"/>
        <v>440323.09891666664</v>
      </c>
      <c r="CF69" s="6">
        <f t="shared" si="99"/>
        <v>411568.39083333343</v>
      </c>
      <c r="CG69" s="6">
        <f t="shared" si="100"/>
        <v>412964.15166666661</v>
      </c>
      <c r="CH69" s="6">
        <f t="shared" si="101"/>
        <v>406840.55795238109</v>
      </c>
      <c r="CI69" s="6">
        <f t="shared" si="102"/>
        <v>413844.60529166675</v>
      </c>
      <c r="CJ69" s="287"/>
      <c r="CK69" s="287"/>
      <c r="CL69" s="287"/>
    </row>
    <row r="70" spans="1:90">
      <c r="A70" s="2">
        <v>60</v>
      </c>
      <c r="B70" s="2" t="s">
        <v>33</v>
      </c>
      <c r="C70" s="13">
        <f>'Rate Design'!G29</f>
        <v>0.88880000000000003</v>
      </c>
      <c r="D70" s="6">
        <f>'Bill Frequency'!C59+'Contract &amp; Vol Adj'!C59</f>
        <v>108609.992</v>
      </c>
      <c r="E70" s="6">
        <f>'Bill Frequency'!D59+'Contract &amp; Vol Adj'!D59</f>
        <v>143399.11800000002</v>
      </c>
      <c r="F70" s="6">
        <f>'Bill Frequency'!E59+'Contract &amp; Vol Adj'!E59</f>
        <v>152185</v>
      </c>
      <c r="G70" s="6">
        <f>'Bill Frequency'!F59+'Contract &amp; Vol Adj'!F59</f>
        <v>135721.93599999999</v>
      </c>
      <c r="H70" s="6">
        <f>'Bill Frequency'!G59+'Contract &amp; Vol Adj'!G59</f>
        <v>214738.15400000001</v>
      </c>
      <c r="I70" s="6">
        <f>'Bill Frequency'!H59+'Contract &amp; Vol Adj'!H59</f>
        <v>172590.22999999995</v>
      </c>
      <c r="J70" s="6">
        <f>'Bill Frequency'!I59+'Contract &amp; Vol Adj'!I59</f>
        <v>174296.59700000001</v>
      </c>
      <c r="K70" s="6">
        <f>'Bill Frequency'!J59+'Contract &amp; Vol Adj'!J59</f>
        <v>143735.25599999999</v>
      </c>
      <c r="L70" s="6">
        <f>'Bill Frequency'!K59+'Contract &amp; Vol Adj'!K59</f>
        <v>135462.75199999998</v>
      </c>
      <c r="M70" s="6">
        <f>'Bill Frequency'!L59+'Contract &amp; Vol Adj'!L59</f>
        <v>111234.209</v>
      </c>
      <c r="N70" s="6">
        <f>'Bill Frequency'!M59+'Contract &amp; Vol Adj'!M59</f>
        <v>107871.19000000002</v>
      </c>
      <c r="O70" s="6">
        <f>'Bill Frequency'!N59+'Contract &amp; Vol Adj'!N59</f>
        <v>116960.83199999999</v>
      </c>
      <c r="P70" s="6">
        <f t="shared" si="85"/>
        <v>108609.992</v>
      </c>
      <c r="Q70" s="6">
        <f t="shared" si="85"/>
        <v>143399.11800000002</v>
      </c>
      <c r="R70" s="6">
        <f t="shared" si="85"/>
        <v>152185</v>
      </c>
      <c r="S70" s="6">
        <f t="shared" si="85"/>
        <v>135721.93599999999</v>
      </c>
      <c r="T70" s="6">
        <f t="shared" si="85"/>
        <v>214738.15400000001</v>
      </c>
      <c r="U70" s="6">
        <f t="shared" si="85"/>
        <v>172590.22999999995</v>
      </c>
      <c r="V70" s="6">
        <f t="shared" si="85"/>
        <v>174296.59700000001</v>
      </c>
      <c r="W70" s="6">
        <f t="shared" si="85"/>
        <v>143735.25599999999</v>
      </c>
      <c r="X70" s="6">
        <f t="shared" si="85"/>
        <v>135462.75199999998</v>
      </c>
      <c r="Y70" s="6">
        <f t="shared" si="85"/>
        <v>111234.209</v>
      </c>
      <c r="Z70" s="6">
        <f t="shared" si="86"/>
        <v>107871.19000000002</v>
      </c>
      <c r="AA70" s="6">
        <f t="shared" si="86"/>
        <v>116960.83199999999</v>
      </c>
      <c r="AB70" s="6">
        <f t="shared" si="86"/>
        <v>108609.992</v>
      </c>
      <c r="AC70" s="6">
        <f t="shared" si="86"/>
        <v>143399.11800000002</v>
      </c>
      <c r="AD70" s="6">
        <f t="shared" si="86"/>
        <v>152185</v>
      </c>
      <c r="AE70" s="6">
        <f t="shared" si="86"/>
        <v>135721.93599999999</v>
      </c>
      <c r="AF70" s="6">
        <f t="shared" si="86"/>
        <v>214738.15400000001</v>
      </c>
      <c r="AG70" s="6">
        <f t="shared" si="86"/>
        <v>172590.22999999995</v>
      </c>
      <c r="AH70" s="6">
        <f t="shared" si="86"/>
        <v>174296.59700000001</v>
      </c>
      <c r="AI70" s="6">
        <f t="shared" si="86"/>
        <v>143735.25599999999</v>
      </c>
      <c r="AJ70" s="6">
        <f t="shared" si="87"/>
        <v>135462.75199999998</v>
      </c>
      <c r="AK70" s="6">
        <f t="shared" si="87"/>
        <v>111234.209</v>
      </c>
      <c r="AL70" s="6">
        <f t="shared" si="87"/>
        <v>107871.19000000002</v>
      </c>
      <c r="AM70" s="6">
        <f t="shared" si="87"/>
        <v>116960.83199999999</v>
      </c>
      <c r="AN70" s="6">
        <f t="shared" si="87"/>
        <v>108609.992</v>
      </c>
      <c r="AO70" s="6">
        <f t="shared" si="87"/>
        <v>143399.11800000002</v>
      </c>
      <c r="AP70" s="6">
        <f t="shared" si="87"/>
        <v>152185</v>
      </c>
      <c r="AQ70" s="6">
        <f t="shared" si="87"/>
        <v>135721.93599999999</v>
      </c>
      <c r="AR70" s="6">
        <f t="shared" si="87"/>
        <v>214738.15400000001</v>
      </c>
      <c r="AS70" s="6">
        <f t="shared" si="87"/>
        <v>172590.22999999995</v>
      </c>
      <c r="AT70" s="6">
        <f t="shared" si="88"/>
        <v>174296.59700000001</v>
      </c>
      <c r="AU70" s="6">
        <f t="shared" si="88"/>
        <v>143735.25599999999</v>
      </c>
      <c r="AV70" s="6">
        <f t="shared" si="88"/>
        <v>135462.75199999998</v>
      </c>
      <c r="AW70" s="6">
        <f t="shared" si="88"/>
        <v>111234.209</v>
      </c>
      <c r="AX70" s="6">
        <f t="shared" si="88"/>
        <v>107871.19000000002</v>
      </c>
      <c r="AY70" s="6">
        <f t="shared" si="88"/>
        <v>116960.83199999999</v>
      </c>
      <c r="AZ70" s="6">
        <f t="shared" si="88"/>
        <v>108609.992</v>
      </c>
      <c r="BA70" s="6">
        <f t="shared" si="88"/>
        <v>143399.11800000002</v>
      </c>
      <c r="BB70" s="6">
        <f t="shared" si="88"/>
        <v>152185</v>
      </c>
      <c r="BC70" s="6">
        <f t="shared" si="88"/>
        <v>135721.93599999999</v>
      </c>
      <c r="BD70" s="6">
        <f t="shared" si="89"/>
        <v>214738.15400000001</v>
      </c>
      <c r="BE70" s="6">
        <f t="shared" si="89"/>
        <v>172590.22999999995</v>
      </c>
      <c r="BF70" s="6">
        <f t="shared" si="89"/>
        <v>174296.59700000001</v>
      </c>
      <c r="BG70" s="6">
        <f t="shared" si="89"/>
        <v>143735.25599999999</v>
      </c>
      <c r="BH70" s="6">
        <f t="shared" si="89"/>
        <v>135462.75199999998</v>
      </c>
      <c r="BI70" s="6">
        <f t="shared" si="89"/>
        <v>111234.209</v>
      </c>
      <c r="BJ70" s="6">
        <f t="shared" si="89"/>
        <v>107871.19000000002</v>
      </c>
      <c r="BK70" s="6">
        <f t="shared" si="89"/>
        <v>116960.83199999999</v>
      </c>
      <c r="BL70" s="6">
        <f t="shared" si="89"/>
        <v>108609.992</v>
      </c>
      <c r="BM70" s="6">
        <f t="shared" si="89"/>
        <v>143399.11800000002</v>
      </c>
      <c r="BN70" s="6">
        <f t="shared" si="89"/>
        <v>152185</v>
      </c>
      <c r="BO70" s="6">
        <f t="shared" si="89"/>
        <v>135721.93599999999</v>
      </c>
      <c r="BP70" s="6">
        <f t="shared" si="89"/>
        <v>214738.15400000001</v>
      </c>
      <c r="BQ70" s="6">
        <f t="shared" si="89"/>
        <v>172590.22999999995</v>
      </c>
      <c r="BR70" s="6">
        <f t="shared" si="89"/>
        <v>174296.59700000001</v>
      </c>
      <c r="BS70" s="6">
        <f t="shared" si="89"/>
        <v>143735.25599999999</v>
      </c>
      <c r="BT70" s="6">
        <f t="shared" si="90"/>
        <v>135462.75199999998</v>
      </c>
      <c r="BU70" s="6">
        <f t="shared" si="90"/>
        <v>111234.209</v>
      </c>
      <c r="BV70" s="6">
        <f t="shared" si="90"/>
        <v>107871.19000000002</v>
      </c>
      <c r="BW70" s="6">
        <f t="shared" si="90"/>
        <v>116960.83199999999</v>
      </c>
      <c r="BX70" s="6">
        <f t="shared" si="91"/>
        <v>108609.992</v>
      </c>
      <c r="BY70" s="6">
        <f t="shared" si="92"/>
        <v>143399.11800000002</v>
      </c>
      <c r="BZ70" s="6">
        <f t="shared" si="93"/>
        <v>152185</v>
      </c>
      <c r="CA70" s="6">
        <f t="shared" si="94"/>
        <v>135721.93599999999</v>
      </c>
      <c r="CB70" s="6">
        <f t="shared" si="95"/>
        <v>214738.15400000001</v>
      </c>
      <c r="CC70" s="6">
        <f t="shared" si="96"/>
        <v>172590.22999999995</v>
      </c>
      <c r="CD70" s="6">
        <f t="shared" si="97"/>
        <v>174296.59700000001</v>
      </c>
      <c r="CE70" s="6">
        <f t="shared" si="98"/>
        <v>143735.25599999999</v>
      </c>
      <c r="CF70" s="6">
        <f t="shared" si="99"/>
        <v>135462.75199999998</v>
      </c>
      <c r="CG70" s="6">
        <f t="shared" si="100"/>
        <v>111234.209</v>
      </c>
      <c r="CH70" s="6">
        <f t="shared" si="101"/>
        <v>107871.19000000002</v>
      </c>
      <c r="CI70" s="6">
        <f t="shared" si="102"/>
        <v>116960.83199999999</v>
      </c>
      <c r="CJ70" s="287"/>
      <c r="CK70" s="287"/>
      <c r="CL70" s="287"/>
    </row>
    <row r="71" spans="1:90">
      <c r="A71" s="2">
        <v>62</v>
      </c>
      <c r="B71" s="21" t="s">
        <v>53</v>
      </c>
      <c r="C71" s="21"/>
      <c r="D71" s="20">
        <f>D68+D69+D70</f>
        <v>545201.34872023796</v>
      </c>
      <c r="E71" s="20">
        <f t="shared" ref="E71:BP71" si="103">E68+E69+E70</f>
        <v>649853.65972023783</v>
      </c>
      <c r="F71" s="20">
        <f t="shared" si="103"/>
        <v>713669.19572023826</v>
      </c>
      <c r="G71" s="20">
        <f t="shared" si="103"/>
        <v>739756.48272023839</v>
      </c>
      <c r="H71" s="20">
        <f t="shared" si="103"/>
        <v>927397.5277202382</v>
      </c>
      <c r="I71" s="20">
        <f t="shared" si="103"/>
        <v>758858.93172023795</v>
      </c>
      <c r="J71" s="20">
        <f t="shared" si="103"/>
        <v>713316.45772023825</v>
      </c>
      <c r="K71" s="20">
        <f t="shared" si="103"/>
        <v>618299.45991666662</v>
      </c>
      <c r="L71" s="20">
        <f t="shared" si="103"/>
        <v>579287.07183333347</v>
      </c>
      <c r="M71" s="20">
        <f t="shared" si="103"/>
        <v>555939.03666666662</v>
      </c>
      <c r="N71" s="20">
        <f t="shared" si="103"/>
        <v>546112.95195238118</v>
      </c>
      <c r="O71" s="20">
        <f t="shared" si="103"/>
        <v>562378.10329166683</v>
      </c>
      <c r="P71" s="20">
        <f t="shared" si="103"/>
        <v>545201.34872023796</v>
      </c>
      <c r="Q71" s="20">
        <f t="shared" si="103"/>
        <v>649853.65972023783</v>
      </c>
      <c r="R71" s="20">
        <f t="shared" si="103"/>
        <v>713669.19572023826</v>
      </c>
      <c r="S71" s="20">
        <f t="shared" si="103"/>
        <v>739756.48272023839</v>
      </c>
      <c r="T71" s="20">
        <f t="shared" si="103"/>
        <v>927397.5277202382</v>
      </c>
      <c r="U71" s="20">
        <f t="shared" si="103"/>
        <v>758858.93172023795</v>
      </c>
      <c r="V71" s="20">
        <f t="shared" si="103"/>
        <v>713316.45772023825</v>
      </c>
      <c r="W71" s="20">
        <f t="shared" si="103"/>
        <v>618299.45991666662</v>
      </c>
      <c r="X71" s="20">
        <f t="shared" si="103"/>
        <v>579287.07183333347</v>
      </c>
      <c r="Y71" s="20">
        <f t="shared" si="103"/>
        <v>555939.03666666662</v>
      </c>
      <c r="Z71" s="20">
        <f t="shared" si="103"/>
        <v>546112.95195238118</v>
      </c>
      <c r="AA71" s="20">
        <f t="shared" si="103"/>
        <v>562378.10329166683</v>
      </c>
      <c r="AB71" s="20">
        <f t="shared" si="103"/>
        <v>545201.34872023796</v>
      </c>
      <c r="AC71" s="20">
        <f t="shared" si="103"/>
        <v>649853.65972023783</v>
      </c>
      <c r="AD71" s="20">
        <f t="shared" si="103"/>
        <v>713669.19572023826</v>
      </c>
      <c r="AE71" s="20">
        <f t="shared" si="103"/>
        <v>739756.48272023839</v>
      </c>
      <c r="AF71" s="20">
        <f t="shared" si="103"/>
        <v>927397.5277202382</v>
      </c>
      <c r="AG71" s="20">
        <f t="shared" si="103"/>
        <v>758858.93172023795</v>
      </c>
      <c r="AH71" s="20">
        <f t="shared" si="103"/>
        <v>713316.45772023825</v>
      </c>
      <c r="AI71" s="20">
        <f t="shared" si="103"/>
        <v>618299.45991666662</v>
      </c>
      <c r="AJ71" s="20">
        <f t="shared" si="103"/>
        <v>579287.07183333347</v>
      </c>
      <c r="AK71" s="20">
        <f t="shared" si="103"/>
        <v>555939.03666666662</v>
      </c>
      <c r="AL71" s="20">
        <f t="shared" si="103"/>
        <v>546112.95195238118</v>
      </c>
      <c r="AM71" s="20">
        <f t="shared" si="103"/>
        <v>562378.10329166683</v>
      </c>
      <c r="AN71" s="20">
        <f t="shared" si="103"/>
        <v>545201.34872023796</v>
      </c>
      <c r="AO71" s="20">
        <f t="shared" si="103"/>
        <v>649853.65972023783</v>
      </c>
      <c r="AP71" s="20">
        <f t="shared" si="103"/>
        <v>713669.19572023826</v>
      </c>
      <c r="AQ71" s="20">
        <f t="shared" si="103"/>
        <v>739756.48272023839</v>
      </c>
      <c r="AR71" s="20">
        <f t="shared" si="103"/>
        <v>927397.5277202382</v>
      </c>
      <c r="AS71" s="20">
        <f t="shared" si="103"/>
        <v>758858.93172023795</v>
      </c>
      <c r="AT71" s="20">
        <f t="shared" si="103"/>
        <v>713316.45772023825</v>
      </c>
      <c r="AU71" s="20">
        <f t="shared" si="103"/>
        <v>618299.45991666662</v>
      </c>
      <c r="AV71" s="20">
        <f t="shared" si="103"/>
        <v>579287.07183333347</v>
      </c>
      <c r="AW71" s="20">
        <f t="shared" si="103"/>
        <v>555939.03666666662</v>
      </c>
      <c r="AX71" s="20">
        <f t="shared" si="103"/>
        <v>546112.95195238118</v>
      </c>
      <c r="AY71" s="20">
        <f t="shared" si="103"/>
        <v>562378.10329166683</v>
      </c>
      <c r="AZ71" s="20">
        <f t="shared" si="103"/>
        <v>545201.34872023796</v>
      </c>
      <c r="BA71" s="20">
        <f t="shared" si="103"/>
        <v>649853.65972023783</v>
      </c>
      <c r="BB71" s="20">
        <f t="shared" si="103"/>
        <v>713669.19572023826</v>
      </c>
      <c r="BC71" s="20">
        <f t="shared" si="103"/>
        <v>739756.48272023839</v>
      </c>
      <c r="BD71" s="20">
        <f t="shared" si="103"/>
        <v>927397.5277202382</v>
      </c>
      <c r="BE71" s="20">
        <f t="shared" si="103"/>
        <v>758858.93172023795</v>
      </c>
      <c r="BF71" s="20">
        <f t="shared" si="103"/>
        <v>713316.45772023825</v>
      </c>
      <c r="BG71" s="20">
        <f t="shared" si="103"/>
        <v>618299.45991666662</v>
      </c>
      <c r="BH71" s="20">
        <f t="shared" si="103"/>
        <v>579287.07183333347</v>
      </c>
      <c r="BI71" s="20">
        <f t="shared" si="103"/>
        <v>555939.03666666662</v>
      </c>
      <c r="BJ71" s="20">
        <f t="shared" si="103"/>
        <v>546112.95195238118</v>
      </c>
      <c r="BK71" s="20">
        <f t="shared" si="103"/>
        <v>562378.10329166683</v>
      </c>
      <c r="BL71" s="20">
        <f t="shared" si="103"/>
        <v>545201.34872023796</v>
      </c>
      <c r="BM71" s="20">
        <f t="shared" si="103"/>
        <v>649853.65972023783</v>
      </c>
      <c r="BN71" s="20">
        <f t="shared" si="103"/>
        <v>713669.19572023826</v>
      </c>
      <c r="BO71" s="20">
        <f t="shared" si="103"/>
        <v>739756.48272023839</v>
      </c>
      <c r="BP71" s="20">
        <f t="shared" si="103"/>
        <v>927397.5277202382</v>
      </c>
      <c r="BQ71" s="20">
        <f t="shared" ref="BQ71:CI71" si="104">BQ68+BQ69+BQ70</f>
        <v>758858.93172023795</v>
      </c>
      <c r="BR71" s="20">
        <f t="shared" si="104"/>
        <v>713316.45772023825</v>
      </c>
      <c r="BS71" s="20">
        <f t="shared" si="104"/>
        <v>618299.45991666662</v>
      </c>
      <c r="BT71" s="20">
        <f t="shared" si="104"/>
        <v>579287.07183333347</v>
      </c>
      <c r="BU71" s="20">
        <f t="shared" si="104"/>
        <v>555939.03666666662</v>
      </c>
      <c r="BV71" s="20">
        <f t="shared" si="104"/>
        <v>546112.95195238118</v>
      </c>
      <c r="BW71" s="20">
        <f t="shared" si="104"/>
        <v>562378.10329166683</v>
      </c>
      <c r="BX71" s="20">
        <f t="shared" si="104"/>
        <v>545201.34872023796</v>
      </c>
      <c r="BY71" s="20">
        <f t="shared" si="104"/>
        <v>649853.65972023783</v>
      </c>
      <c r="BZ71" s="20">
        <f t="shared" si="104"/>
        <v>713669.19572023826</v>
      </c>
      <c r="CA71" s="20">
        <f t="shared" si="104"/>
        <v>739756.48272023839</v>
      </c>
      <c r="CB71" s="20">
        <f t="shared" si="104"/>
        <v>927397.5277202382</v>
      </c>
      <c r="CC71" s="20">
        <f t="shared" si="104"/>
        <v>758858.93172023795</v>
      </c>
      <c r="CD71" s="20">
        <f t="shared" si="104"/>
        <v>713316.45772023825</v>
      </c>
      <c r="CE71" s="20">
        <f t="shared" si="104"/>
        <v>618299.45991666662</v>
      </c>
      <c r="CF71" s="20">
        <f t="shared" si="104"/>
        <v>579287.07183333347</v>
      </c>
      <c r="CG71" s="20">
        <f t="shared" si="104"/>
        <v>555939.03666666662</v>
      </c>
      <c r="CH71" s="20">
        <f t="shared" si="104"/>
        <v>546112.95195238118</v>
      </c>
      <c r="CI71" s="20">
        <f t="shared" si="104"/>
        <v>562378.10329166683</v>
      </c>
      <c r="CJ71" s="288"/>
      <c r="CK71" s="288"/>
      <c r="CL71" s="288"/>
    </row>
    <row r="72" spans="1:90">
      <c r="A72" s="2">
        <v>63</v>
      </c>
      <c r="Z72" s="13"/>
      <c r="AA72" s="6"/>
    </row>
    <row r="73" spans="1:90">
      <c r="A73" s="2">
        <v>64</v>
      </c>
      <c r="B73" s="23" t="s">
        <v>571</v>
      </c>
      <c r="D73" s="50">
        <f>+D74*$C$74+D75*$C$75+D76*$C$76</f>
        <v>0</v>
      </c>
      <c r="E73" s="50">
        <f t="shared" ref="E73:BP73" si="105">+E74*$C$74+E75*$C$75+E76*$C$76</f>
        <v>0</v>
      </c>
      <c r="F73" s="50">
        <f t="shared" si="105"/>
        <v>0</v>
      </c>
      <c r="G73" s="50">
        <f t="shared" si="105"/>
        <v>0</v>
      </c>
      <c r="H73" s="50">
        <f t="shared" si="105"/>
        <v>0</v>
      </c>
      <c r="I73" s="50">
        <f t="shared" si="105"/>
        <v>0</v>
      </c>
      <c r="J73" s="50">
        <f t="shared" si="105"/>
        <v>0</v>
      </c>
      <c r="K73" s="50">
        <f t="shared" si="105"/>
        <v>0</v>
      </c>
      <c r="L73" s="50">
        <f t="shared" si="105"/>
        <v>0</v>
      </c>
      <c r="M73" s="50">
        <f t="shared" si="105"/>
        <v>0</v>
      </c>
      <c r="N73" s="50">
        <f t="shared" si="105"/>
        <v>0</v>
      </c>
      <c r="O73" s="50">
        <f t="shared" si="105"/>
        <v>0</v>
      </c>
      <c r="P73" s="50">
        <f t="shared" si="105"/>
        <v>0</v>
      </c>
      <c r="Q73" s="50">
        <f t="shared" si="105"/>
        <v>0</v>
      </c>
      <c r="R73" s="50">
        <f t="shared" si="105"/>
        <v>0</v>
      </c>
      <c r="S73" s="50">
        <f t="shared" si="105"/>
        <v>0</v>
      </c>
      <c r="T73" s="50">
        <f t="shared" si="105"/>
        <v>0</v>
      </c>
      <c r="U73" s="50">
        <f t="shared" si="105"/>
        <v>0</v>
      </c>
      <c r="V73" s="50">
        <f t="shared" si="105"/>
        <v>0</v>
      </c>
      <c r="W73" s="50">
        <f t="shared" si="105"/>
        <v>0</v>
      </c>
      <c r="X73" s="50">
        <f t="shared" si="105"/>
        <v>0</v>
      </c>
      <c r="Y73" s="50">
        <f t="shared" si="105"/>
        <v>0</v>
      </c>
      <c r="Z73" s="50">
        <f t="shared" si="105"/>
        <v>0</v>
      </c>
      <c r="AA73" s="50">
        <f t="shared" si="105"/>
        <v>0</v>
      </c>
      <c r="AB73" s="50">
        <f t="shared" si="105"/>
        <v>0</v>
      </c>
      <c r="AC73" s="50">
        <f t="shared" si="105"/>
        <v>0</v>
      </c>
      <c r="AD73" s="50">
        <f t="shared" si="105"/>
        <v>0</v>
      </c>
      <c r="AE73" s="50">
        <f t="shared" si="105"/>
        <v>0</v>
      </c>
      <c r="AF73" s="50">
        <f t="shared" si="105"/>
        <v>0</v>
      </c>
      <c r="AG73" s="50">
        <f t="shared" si="105"/>
        <v>0</v>
      </c>
      <c r="AH73" s="50">
        <f t="shared" si="105"/>
        <v>0</v>
      </c>
      <c r="AI73" s="50">
        <f t="shared" si="105"/>
        <v>0</v>
      </c>
      <c r="AJ73" s="50">
        <f t="shared" si="105"/>
        <v>0</v>
      </c>
      <c r="AK73" s="50">
        <f t="shared" si="105"/>
        <v>0</v>
      </c>
      <c r="AL73" s="50">
        <f t="shared" si="105"/>
        <v>0</v>
      </c>
      <c r="AM73" s="50">
        <f t="shared" si="105"/>
        <v>0</v>
      </c>
      <c r="AN73" s="50">
        <f t="shared" si="105"/>
        <v>0</v>
      </c>
      <c r="AO73" s="50">
        <f t="shared" si="105"/>
        <v>0</v>
      </c>
      <c r="AP73" s="50">
        <f t="shared" si="105"/>
        <v>0</v>
      </c>
      <c r="AQ73" s="50">
        <f t="shared" si="105"/>
        <v>0</v>
      </c>
      <c r="AR73" s="50">
        <f t="shared" si="105"/>
        <v>0</v>
      </c>
      <c r="AS73" s="50">
        <f t="shared" si="105"/>
        <v>0</v>
      </c>
      <c r="AT73" s="50">
        <f t="shared" si="105"/>
        <v>0</v>
      </c>
      <c r="AU73" s="50">
        <f t="shared" si="105"/>
        <v>0</v>
      </c>
      <c r="AV73" s="50">
        <f t="shared" si="105"/>
        <v>0</v>
      </c>
      <c r="AW73" s="50">
        <f t="shared" si="105"/>
        <v>0</v>
      </c>
      <c r="AX73" s="50">
        <f t="shared" si="105"/>
        <v>0</v>
      </c>
      <c r="AY73" s="50">
        <f t="shared" si="105"/>
        <v>0</v>
      </c>
      <c r="AZ73" s="50">
        <f t="shared" si="105"/>
        <v>0</v>
      </c>
      <c r="BA73" s="50">
        <f t="shared" si="105"/>
        <v>0</v>
      </c>
      <c r="BB73" s="50">
        <f t="shared" si="105"/>
        <v>0</v>
      </c>
      <c r="BC73" s="50">
        <f t="shared" si="105"/>
        <v>0</v>
      </c>
      <c r="BD73" s="50">
        <f t="shared" si="105"/>
        <v>0</v>
      </c>
      <c r="BE73" s="50">
        <f t="shared" si="105"/>
        <v>0</v>
      </c>
      <c r="BF73" s="50">
        <f t="shared" si="105"/>
        <v>0</v>
      </c>
      <c r="BG73" s="50">
        <f t="shared" si="105"/>
        <v>0</v>
      </c>
      <c r="BH73" s="50">
        <f t="shared" si="105"/>
        <v>0</v>
      </c>
      <c r="BI73" s="50">
        <f t="shared" si="105"/>
        <v>0</v>
      </c>
      <c r="BJ73" s="50">
        <f t="shared" si="105"/>
        <v>0</v>
      </c>
      <c r="BK73" s="50">
        <f t="shared" si="105"/>
        <v>0</v>
      </c>
      <c r="BL73" s="50">
        <f t="shared" si="105"/>
        <v>0</v>
      </c>
      <c r="BM73" s="50">
        <f t="shared" si="105"/>
        <v>0</v>
      </c>
      <c r="BN73" s="50">
        <f t="shared" si="105"/>
        <v>0</v>
      </c>
      <c r="BO73" s="50">
        <f t="shared" si="105"/>
        <v>0</v>
      </c>
      <c r="BP73" s="50">
        <f t="shared" si="105"/>
        <v>0</v>
      </c>
      <c r="BQ73" s="50">
        <f t="shared" ref="BQ73:CI73" si="106">+BQ74*$C$74+BQ75*$C$75+BQ76*$C$76</f>
        <v>0</v>
      </c>
      <c r="BR73" s="50">
        <f t="shared" si="106"/>
        <v>0</v>
      </c>
      <c r="BS73" s="50">
        <f t="shared" si="106"/>
        <v>0</v>
      </c>
      <c r="BT73" s="50">
        <f t="shared" si="106"/>
        <v>0</v>
      </c>
      <c r="BU73" s="50">
        <f t="shared" si="106"/>
        <v>0</v>
      </c>
      <c r="BV73" s="50">
        <f t="shared" si="106"/>
        <v>0</v>
      </c>
      <c r="BW73" s="50">
        <f t="shared" si="106"/>
        <v>0</v>
      </c>
      <c r="BX73" s="50">
        <f t="shared" si="106"/>
        <v>0</v>
      </c>
      <c r="BY73" s="50">
        <f t="shared" si="106"/>
        <v>0</v>
      </c>
      <c r="BZ73" s="50">
        <f t="shared" si="106"/>
        <v>0</v>
      </c>
      <c r="CA73" s="50">
        <f t="shared" si="106"/>
        <v>0</v>
      </c>
      <c r="CB73" s="50">
        <f t="shared" si="106"/>
        <v>0</v>
      </c>
      <c r="CC73" s="50">
        <f t="shared" si="106"/>
        <v>0</v>
      </c>
      <c r="CD73" s="50">
        <f t="shared" si="106"/>
        <v>0</v>
      </c>
      <c r="CE73" s="50">
        <f t="shared" si="106"/>
        <v>0</v>
      </c>
      <c r="CF73" s="50">
        <f t="shared" si="106"/>
        <v>0</v>
      </c>
      <c r="CG73" s="50">
        <f t="shared" si="106"/>
        <v>0</v>
      </c>
      <c r="CH73" s="50">
        <f t="shared" si="106"/>
        <v>0</v>
      </c>
      <c r="CI73" s="50">
        <f t="shared" si="106"/>
        <v>0</v>
      </c>
      <c r="CJ73" s="291"/>
      <c r="CK73" s="291"/>
      <c r="CL73" s="291"/>
    </row>
    <row r="74" spans="1:90">
      <c r="A74" s="2">
        <v>65</v>
      </c>
      <c r="B74" s="2" t="s">
        <v>31</v>
      </c>
      <c r="C74" s="468">
        <f>'Rate Design'!T27</f>
        <v>1.161225</v>
      </c>
      <c r="D74" s="6">
        <f>'Bill Frequency'!C63+'Contract &amp; Vol Adj'!C63</f>
        <v>0</v>
      </c>
      <c r="E74" s="6">
        <f>'Bill Frequency'!D63+'Contract &amp; Vol Adj'!D63</f>
        <v>0</v>
      </c>
      <c r="F74" s="6">
        <f>'Bill Frequency'!E63+'Contract &amp; Vol Adj'!E63</f>
        <v>0</v>
      </c>
      <c r="G74" s="6">
        <f>'Bill Frequency'!F63+'Contract &amp; Vol Adj'!F63</f>
        <v>0</v>
      </c>
      <c r="H74" s="6">
        <f>'Bill Frequency'!G63+'Contract &amp; Vol Adj'!G63</f>
        <v>0</v>
      </c>
      <c r="I74" s="6">
        <f>'Bill Frequency'!H63+'Contract &amp; Vol Adj'!H63</f>
        <v>0</v>
      </c>
      <c r="J74" s="6">
        <f>'Bill Frequency'!I63+'Contract &amp; Vol Adj'!I63</f>
        <v>0</v>
      </c>
      <c r="K74" s="6">
        <f>'Bill Frequency'!J63+'Contract &amp; Vol Adj'!J63</f>
        <v>0</v>
      </c>
      <c r="L74" s="6">
        <f>'Bill Frequency'!K63+'Contract &amp; Vol Adj'!K63</f>
        <v>0</v>
      </c>
      <c r="M74" s="6">
        <f>'Bill Frequency'!L63+'Contract &amp; Vol Adj'!L63</f>
        <v>0</v>
      </c>
      <c r="N74" s="6">
        <f>'Bill Frequency'!M63+'Contract &amp; Vol Adj'!M63</f>
        <v>0</v>
      </c>
      <c r="O74" s="6">
        <f>'Bill Frequency'!N63+'Contract &amp; Vol Adj'!N63</f>
        <v>0</v>
      </c>
      <c r="P74" s="6">
        <f t="shared" ref="P74:P76" si="107">D74</f>
        <v>0</v>
      </c>
      <c r="Q74" s="6">
        <f t="shared" ref="Q74:Q76" si="108">E74</f>
        <v>0</v>
      </c>
      <c r="R74" s="6">
        <f t="shared" ref="R74:R76" si="109">F74</f>
        <v>0</v>
      </c>
      <c r="S74" s="6">
        <f t="shared" ref="S74:S76" si="110">G74</f>
        <v>0</v>
      </c>
      <c r="T74" s="6">
        <f t="shared" ref="T74:T76" si="111">H74</f>
        <v>0</v>
      </c>
      <c r="U74" s="6">
        <f t="shared" ref="U74:U76" si="112">I74</f>
        <v>0</v>
      </c>
      <c r="V74" s="6">
        <f t="shared" ref="V74:V76" si="113">J74</f>
        <v>0</v>
      </c>
      <c r="W74" s="6">
        <f t="shared" ref="W74:W76" si="114">K74</f>
        <v>0</v>
      </c>
      <c r="X74" s="6">
        <f t="shared" ref="X74:X76" si="115">L74</f>
        <v>0</v>
      </c>
      <c r="Y74" s="6">
        <f t="shared" ref="Y74:Y76" si="116">M74</f>
        <v>0</v>
      </c>
      <c r="Z74" s="6">
        <f t="shared" ref="Z74:Z76" si="117">N74</f>
        <v>0</v>
      </c>
      <c r="AA74" s="6">
        <f t="shared" ref="AA74:AA76" si="118">O74</f>
        <v>0</v>
      </c>
      <c r="AB74" s="6">
        <f t="shared" ref="AB74:AB76" si="119">P74</f>
        <v>0</v>
      </c>
      <c r="AC74" s="6">
        <f t="shared" ref="AC74:AC76" si="120">Q74</f>
        <v>0</v>
      </c>
      <c r="AD74" s="6">
        <f t="shared" ref="AD74:AD76" si="121">R74</f>
        <v>0</v>
      </c>
      <c r="AE74" s="6">
        <f t="shared" ref="AE74:AE76" si="122">S74</f>
        <v>0</v>
      </c>
      <c r="AF74" s="6">
        <f t="shared" ref="AF74:AF76" si="123">T74</f>
        <v>0</v>
      </c>
      <c r="AG74" s="6">
        <f t="shared" ref="AG74:AG76" si="124">U74</f>
        <v>0</v>
      </c>
      <c r="AH74" s="6">
        <f t="shared" ref="AH74:AH76" si="125">V74</f>
        <v>0</v>
      </c>
      <c r="AI74" s="6">
        <f t="shared" ref="AI74:AI76" si="126">W74</f>
        <v>0</v>
      </c>
      <c r="AJ74" s="6">
        <f t="shared" ref="AJ74:AJ76" si="127">X74</f>
        <v>0</v>
      </c>
      <c r="AK74" s="6">
        <f t="shared" ref="AK74:AK76" si="128">Y74</f>
        <v>0</v>
      </c>
      <c r="AL74" s="6">
        <f t="shared" ref="AL74:AL76" si="129">Z74</f>
        <v>0</v>
      </c>
      <c r="AM74" s="6">
        <f t="shared" ref="AM74:AM76" si="130">AA74</f>
        <v>0</v>
      </c>
      <c r="AN74" s="6">
        <f t="shared" ref="AN74:AN76" si="131">AB74</f>
        <v>0</v>
      </c>
      <c r="AO74" s="6">
        <f t="shared" ref="AO74:AO76" si="132">AC74</f>
        <v>0</v>
      </c>
      <c r="AP74" s="6">
        <f t="shared" ref="AP74:AP76" si="133">AD74</f>
        <v>0</v>
      </c>
      <c r="AQ74" s="6">
        <f t="shared" ref="AQ74:AQ76" si="134">AE74</f>
        <v>0</v>
      </c>
      <c r="AR74" s="6">
        <f t="shared" ref="AR74:AR76" si="135">AF74</f>
        <v>0</v>
      </c>
      <c r="AS74" s="6">
        <f t="shared" ref="AS74:AS76" si="136">AG74</f>
        <v>0</v>
      </c>
      <c r="AT74" s="6">
        <f t="shared" ref="AT74:AT76" si="137">AH74</f>
        <v>0</v>
      </c>
      <c r="AU74" s="6">
        <f t="shared" ref="AU74:AU76" si="138">AI74</f>
        <v>0</v>
      </c>
      <c r="AV74" s="6">
        <f t="shared" ref="AV74:AV76" si="139">AJ74</f>
        <v>0</v>
      </c>
      <c r="AW74" s="6">
        <f t="shared" ref="AW74:AW76" si="140">AK74</f>
        <v>0</v>
      </c>
      <c r="AX74" s="6">
        <f t="shared" ref="AX74:AX76" si="141">AL74</f>
        <v>0</v>
      </c>
      <c r="AY74" s="6">
        <f t="shared" ref="AY74:AY76" si="142">AM74</f>
        <v>0</v>
      </c>
      <c r="AZ74" s="6">
        <f t="shared" ref="AZ74:AZ76" si="143">AN74</f>
        <v>0</v>
      </c>
      <c r="BA74" s="6">
        <f t="shared" ref="BA74:BA76" si="144">AO74</f>
        <v>0</v>
      </c>
      <c r="BB74" s="6">
        <f t="shared" ref="BB74:BB76" si="145">AP74</f>
        <v>0</v>
      </c>
      <c r="BC74" s="6">
        <f t="shared" ref="BC74:BC76" si="146">AQ74</f>
        <v>0</v>
      </c>
      <c r="BD74" s="6">
        <f t="shared" ref="BD74:BD76" si="147">AR74</f>
        <v>0</v>
      </c>
      <c r="BE74" s="6">
        <f t="shared" ref="BE74:BE76" si="148">AS74</f>
        <v>0</v>
      </c>
      <c r="BF74" s="6">
        <f t="shared" ref="BF74:BF76" si="149">AT74</f>
        <v>0</v>
      </c>
      <c r="BG74" s="6">
        <f t="shared" ref="BG74:BG76" si="150">AU74</f>
        <v>0</v>
      </c>
      <c r="BH74" s="6">
        <f t="shared" ref="BH74:BH76" si="151">AV74</f>
        <v>0</v>
      </c>
      <c r="BI74" s="6">
        <f t="shared" ref="BI74:BI76" si="152">AW74</f>
        <v>0</v>
      </c>
      <c r="BJ74" s="6">
        <f t="shared" ref="BJ74:BJ76" si="153">AX74</f>
        <v>0</v>
      </c>
      <c r="BK74" s="6">
        <f t="shared" ref="BK74:BK76" si="154">AY74</f>
        <v>0</v>
      </c>
      <c r="BL74" s="6">
        <f t="shared" ref="BL74:BL76" si="155">AZ74</f>
        <v>0</v>
      </c>
      <c r="BM74" s="6">
        <f t="shared" ref="BM74:BM76" si="156">BA74</f>
        <v>0</v>
      </c>
      <c r="BN74" s="6">
        <f t="shared" ref="BN74:BN76" si="157">BB74</f>
        <v>0</v>
      </c>
      <c r="BO74" s="6">
        <f t="shared" ref="BO74:BO76" si="158">BC74</f>
        <v>0</v>
      </c>
      <c r="BP74" s="6">
        <f t="shared" ref="BP74:BP76" si="159">BD74</f>
        <v>0</v>
      </c>
      <c r="BQ74" s="6">
        <f t="shared" ref="BQ74:BQ76" si="160">BE74</f>
        <v>0</v>
      </c>
      <c r="BR74" s="6">
        <f t="shared" ref="BR74:BR76" si="161">BF74</f>
        <v>0</v>
      </c>
      <c r="BS74" s="6">
        <f t="shared" ref="BS74:BS76" si="162">BG74</f>
        <v>0</v>
      </c>
      <c r="BT74" s="6">
        <f t="shared" ref="BT74:BT76" si="163">BH74</f>
        <v>0</v>
      </c>
      <c r="BU74" s="6">
        <f t="shared" ref="BU74:BU76" si="164">BI74</f>
        <v>0</v>
      </c>
      <c r="BV74" s="6">
        <f t="shared" ref="BV74:BV76" si="165">BJ74</f>
        <v>0</v>
      </c>
      <c r="BW74" s="6">
        <f t="shared" ref="BW74:BW76" si="166">BK74</f>
        <v>0</v>
      </c>
      <c r="BX74" s="6">
        <f t="shared" ref="BX74:BX76" si="167">BL74</f>
        <v>0</v>
      </c>
      <c r="BY74" s="6">
        <f t="shared" ref="BY74:BY76" si="168">BM74</f>
        <v>0</v>
      </c>
      <c r="BZ74" s="6">
        <f t="shared" ref="BZ74:BZ76" si="169">BN74</f>
        <v>0</v>
      </c>
      <c r="CA74" s="6">
        <f t="shared" ref="CA74:CA76" si="170">BO74</f>
        <v>0</v>
      </c>
      <c r="CB74" s="6">
        <f t="shared" ref="CB74:CB76" si="171">BP74</f>
        <v>0</v>
      </c>
      <c r="CC74" s="6">
        <f t="shared" ref="CC74:CC76" si="172">BQ74</f>
        <v>0</v>
      </c>
      <c r="CD74" s="6">
        <f t="shared" ref="CD74:CD76" si="173">BR74</f>
        <v>0</v>
      </c>
      <c r="CE74" s="6">
        <f t="shared" ref="CE74:CE76" si="174">BS74</f>
        <v>0</v>
      </c>
      <c r="CF74" s="6">
        <f t="shared" ref="CF74:CF76" si="175">BT74</f>
        <v>0</v>
      </c>
      <c r="CG74" s="6">
        <f t="shared" ref="CG74:CG76" si="176">BU74</f>
        <v>0</v>
      </c>
      <c r="CH74" s="6">
        <f t="shared" ref="CH74:CH76" si="177">BV74</f>
        <v>0</v>
      </c>
      <c r="CI74" s="6">
        <f t="shared" ref="CI74:CI76" si="178">BW74</f>
        <v>0</v>
      </c>
      <c r="CJ74" s="287"/>
      <c r="CK74" s="287"/>
      <c r="CL74" s="287"/>
    </row>
    <row r="75" spans="1:90">
      <c r="A75" s="2">
        <v>66</v>
      </c>
      <c r="B75" s="2" t="s">
        <v>32</v>
      </c>
      <c r="C75" s="468">
        <f>'Rate Design'!T28</f>
        <v>0.80715000000000003</v>
      </c>
      <c r="D75" s="6">
        <f>'Bill Frequency'!C64+'Contract &amp; Vol Adj'!C64</f>
        <v>0</v>
      </c>
      <c r="E75" s="6">
        <f>'Bill Frequency'!D64+'Contract &amp; Vol Adj'!D64</f>
        <v>0</v>
      </c>
      <c r="F75" s="6">
        <f>'Bill Frequency'!E64+'Contract &amp; Vol Adj'!E64</f>
        <v>0</v>
      </c>
      <c r="G75" s="6">
        <f>'Bill Frequency'!F64+'Contract &amp; Vol Adj'!F64</f>
        <v>0</v>
      </c>
      <c r="H75" s="6">
        <f>'Bill Frequency'!G64+'Contract &amp; Vol Adj'!G64</f>
        <v>0</v>
      </c>
      <c r="I75" s="6">
        <f>'Bill Frequency'!H64+'Contract &amp; Vol Adj'!H64</f>
        <v>0</v>
      </c>
      <c r="J75" s="6">
        <f>'Bill Frequency'!I64+'Contract &amp; Vol Adj'!I64</f>
        <v>0</v>
      </c>
      <c r="K75" s="6">
        <f>'Bill Frequency'!J64+'Contract &amp; Vol Adj'!J64</f>
        <v>0</v>
      </c>
      <c r="L75" s="6">
        <f>'Bill Frequency'!K64+'Contract &amp; Vol Adj'!K64</f>
        <v>0</v>
      </c>
      <c r="M75" s="6">
        <f>'Bill Frequency'!L64+'Contract &amp; Vol Adj'!L64</f>
        <v>0</v>
      </c>
      <c r="N75" s="6">
        <f>'Bill Frequency'!M64+'Contract &amp; Vol Adj'!M64</f>
        <v>0</v>
      </c>
      <c r="O75" s="6">
        <f>'Bill Frequency'!N64+'Contract &amp; Vol Adj'!N64</f>
        <v>0</v>
      </c>
      <c r="P75" s="6">
        <f t="shared" si="107"/>
        <v>0</v>
      </c>
      <c r="Q75" s="6">
        <f t="shared" si="108"/>
        <v>0</v>
      </c>
      <c r="R75" s="6">
        <f t="shared" si="109"/>
        <v>0</v>
      </c>
      <c r="S75" s="6">
        <f t="shared" si="110"/>
        <v>0</v>
      </c>
      <c r="T75" s="6">
        <f t="shared" si="111"/>
        <v>0</v>
      </c>
      <c r="U75" s="6">
        <f t="shared" si="112"/>
        <v>0</v>
      </c>
      <c r="V75" s="6">
        <f t="shared" si="113"/>
        <v>0</v>
      </c>
      <c r="W75" s="6">
        <f t="shared" si="114"/>
        <v>0</v>
      </c>
      <c r="X75" s="6">
        <f t="shared" si="115"/>
        <v>0</v>
      </c>
      <c r="Y75" s="6">
        <f t="shared" si="116"/>
        <v>0</v>
      </c>
      <c r="Z75" s="6">
        <f t="shared" si="117"/>
        <v>0</v>
      </c>
      <c r="AA75" s="6">
        <f t="shared" si="118"/>
        <v>0</v>
      </c>
      <c r="AB75" s="6">
        <f t="shared" si="119"/>
        <v>0</v>
      </c>
      <c r="AC75" s="6">
        <f t="shared" si="120"/>
        <v>0</v>
      </c>
      <c r="AD75" s="6">
        <f t="shared" si="121"/>
        <v>0</v>
      </c>
      <c r="AE75" s="6">
        <f t="shared" si="122"/>
        <v>0</v>
      </c>
      <c r="AF75" s="6">
        <f t="shared" si="123"/>
        <v>0</v>
      </c>
      <c r="AG75" s="6">
        <f t="shared" si="124"/>
        <v>0</v>
      </c>
      <c r="AH75" s="6">
        <f t="shared" si="125"/>
        <v>0</v>
      </c>
      <c r="AI75" s="6">
        <f t="shared" si="126"/>
        <v>0</v>
      </c>
      <c r="AJ75" s="6">
        <f t="shared" si="127"/>
        <v>0</v>
      </c>
      <c r="AK75" s="6">
        <f t="shared" si="128"/>
        <v>0</v>
      </c>
      <c r="AL75" s="6">
        <f t="shared" si="129"/>
        <v>0</v>
      </c>
      <c r="AM75" s="6">
        <f t="shared" si="130"/>
        <v>0</v>
      </c>
      <c r="AN75" s="6">
        <f t="shared" si="131"/>
        <v>0</v>
      </c>
      <c r="AO75" s="6">
        <f t="shared" si="132"/>
        <v>0</v>
      </c>
      <c r="AP75" s="6">
        <f t="shared" si="133"/>
        <v>0</v>
      </c>
      <c r="AQ75" s="6">
        <f t="shared" si="134"/>
        <v>0</v>
      </c>
      <c r="AR75" s="6">
        <f t="shared" si="135"/>
        <v>0</v>
      </c>
      <c r="AS75" s="6">
        <f t="shared" si="136"/>
        <v>0</v>
      </c>
      <c r="AT75" s="6">
        <f t="shared" si="137"/>
        <v>0</v>
      </c>
      <c r="AU75" s="6">
        <f t="shared" si="138"/>
        <v>0</v>
      </c>
      <c r="AV75" s="6">
        <f t="shared" si="139"/>
        <v>0</v>
      </c>
      <c r="AW75" s="6">
        <f t="shared" si="140"/>
        <v>0</v>
      </c>
      <c r="AX75" s="6">
        <f t="shared" si="141"/>
        <v>0</v>
      </c>
      <c r="AY75" s="6">
        <f t="shared" si="142"/>
        <v>0</v>
      </c>
      <c r="AZ75" s="6">
        <f t="shared" si="143"/>
        <v>0</v>
      </c>
      <c r="BA75" s="6">
        <f t="shared" si="144"/>
        <v>0</v>
      </c>
      <c r="BB75" s="6">
        <f t="shared" si="145"/>
        <v>0</v>
      </c>
      <c r="BC75" s="6">
        <f t="shared" si="146"/>
        <v>0</v>
      </c>
      <c r="BD75" s="6">
        <f t="shared" si="147"/>
        <v>0</v>
      </c>
      <c r="BE75" s="6">
        <f t="shared" si="148"/>
        <v>0</v>
      </c>
      <c r="BF75" s="6">
        <f t="shared" si="149"/>
        <v>0</v>
      </c>
      <c r="BG75" s="6">
        <f t="shared" si="150"/>
        <v>0</v>
      </c>
      <c r="BH75" s="6">
        <f t="shared" si="151"/>
        <v>0</v>
      </c>
      <c r="BI75" s="6">
        <f t="shared" si="152"/>
        <v>0</v>
      </c>
      <c r="BJ75" s="6">
        <f t="shared" si="153"/>
        <v>0</v>
      </c>
      <c r="BK75" s="6">
        <f t="shared" si="154"/>
        <v>0</v>
      </c>
      <c r="BL75" s="6">
        <f t="shared" si="155"/>
        <v>0</v>
      </c>
      <c r="BM75" s="6">
        <f t="shared" si="156"/>
        <v>0</v>
      </c>
      <c r="BN75" s="6">
        <f t="shared" si="157"/>
        <v>0</v>
      </c>
      <c r="BO75" s="6">
        <f t="shared" si="158"/>
        <v>0</v>
      </c>
      <c r="BP75" s="6">
        <f t="shared" si="159"/>
        <v>0</v>
      </c>
      <c r="BQ75" s="6">
        <f t="shared" si="160"/>
        <v>0</v>
      </c>
      <c r="BR75" s="6">
        <f t="shared" si="161"/>
        <v>0</v>
      </c>
      <c r="BS75" s="6">
        <f t="shared" si="162"/>
        <v>0</v>
      </c>
      <c r="BT75" s="6">
        <f t="shared" si="163"/>
        <v>0</v>
      </c>
      <c r="BU75" s="6">
        <f t="shared" si="164"/>
        <v>0</v>
      </c>
      <c r="BV75" s="6">
        <f t="shared" si="165"/>
        <v>0</v>
      </c>
      <c r="BW75" s="6">
        <f t="shared" si="166"/>
        <v>0</v>
      </c>
      <c r="BX75" s="6">
        <f t="shared" si="167"/>
        <v>0</v>
      </c>
      <c r="BY75" s="6">
        <f t="shared" si="168"/>
        <v>0</v>
      </c>
      <c r="BZ75" s="6">
        <f t="shared" si="169"/>
        <v>0</v>
      </c>
      <c r="CA75" s="6">
        <f t="shared" si="170"/>
        <v>0</v>
      </c>
      <c r="CB75" s="6">
        <f t="shared" si="171"/>
        <v>0</v>
      </c>
      <c r="CC75" s="6">
        <f t="shared" si="172"/>
        <v>0</v>
      </c>
      <c r="CD75" s="6">
        <f t="shared" si="173"/>
        <v>0</v>
      </c>
      <c r="CE75" s="6">
        <f t="shared" si="174"/>
        <v>0</v>
      </c>
      <c r="CF75" s="6">
        <f t="shared" si="175"/>
        <v>0</v>
      </c>
      <c r="CG75" s="6">
        <f t="shared" si="176"/>
        <v>0</v>
      </c>
      <c r="CH75" s="6">
        <f t="shared" si="177"/>
        <v>0</v>
      </c>
      <c r="CI75" s="6">
        <f t="shared" si="178"/>
        <v>0</v>
      </c>
      <c r="CJ75" s="287"/>
      <c r="CK75" s="287"/>
      <c r="CL75" s="287"/>
    </row>
    <row r="76" spans="1:90">
      <c r="A76" s="2">
        <v>67</v>
      </c>
      <c r="B76" s="2" t="s">
        <v>572</v>
      </c>
      <c r="C76" s="468">
        <f>'Rate Design'!T29</f>
        <v>0.66660000000000008</v>
      </c>
      <c r="D76" s="6">
        <f>'Bill Frequency'!C65+'Contract &amp; Vol Adj'!C65</f>
        <v>0</v>
      </c>
      <c r="E76" s="6">
        <f>'Bill Frequency'!D65+'Contract &amp; Vol Adj'!D65</f>
        <v>0</v>
      </c>
      <c r="F76" s="6">
        <f>'Bill Frequency'!E65+'Contract &amp; Vol Adj'!E65</f>
        <v>0</v>
      </c>
      <c r="G76" s="6">
        <f>'Bill Frequency'!F65+'Contract &amp; Vol Adj'!F65</f>
        <v>0</v>
      </c>
      <c r="H76" s="6">
        <f>'Bill Frequency'!G65+'Contract &amp; Vol Adj'!G65</f>
        <v>0</v>
      </c>
      <c r="I76" s="6">
        <f>'Bill Frequency'!H65+'Contract &amp; Vol Adj'!H65</f>
        <v>0</v>
      </c>
      <c r="J76" s="6">
        <f>'Bill Frequency'!I65+'Contract &amp; Vol Adj'!I65</f>
        <v>0</v>
      </c>
      <c r="K76" s="6">
        <f>'Bill Frequency'!J65+'Contract &amp; Vol Adj'!J65</f>
        <v>0</v>
      </c>
      <c r="L76" s="6">
        <f>'Bill Frequency'!K65+'Contract &amp; Vol Adj'!K65</f>
        <v>0</v>
      </c>
      <c r="M76" s="6">
        <f>'Bill Frequency'!L65+'Contract &amp; Vol Adj'!L65</f>
        <v>0</v>
      </c>
      <c r="N76" s="6">
        <f>'Bill Frequency'!M65+'Contract &amp; Vol Adj'!M65</f>
        <v>0</v>
      </c>
      <c r="O76" s="6">
        <f>'Bill Frequency'!N65+'Contract &amp; Vol Adj'!N65</f>
        <v>0</v>
      </c>
      <c r="P76" s="6">
        <f t="shared" si="107"/>
        <v>0</v>
      </c>
      <c r="Q76" s="6">
        <f t="shared" si="108"/>
        <v>0</v>
      </c>
      <c r="R76" s="6">
        <f t="shared" si="109"/>
        <v>0</v>
      </c>
      <c r="S76" s="6">
        <f t="shared" si="110"/>
        <v>0</v>
      </c>
      <c r="T76" s="6">
        <f t="shared" si="111"/>
        <v>0</v>
      </c>
      <c r="U76" s="6">
        <f t="shared" si="112"/>
        <v>0</v>
      </c>
      <c r="V76" s="6">
        <f t="shared" si="113"/>
        <v>0</v>
      </c>
      <c r="W76" s="6">
        <f t="shared" si="114"/>
        <v>0</v>
      </c>
      <c r="X76" s="6">
        <f t="shared" si="115"/>
        <v>0</v>
      </c>
      <c r="Y76" s="6">
        <f t="shared" si="116"/>
        <v>0</v>
      </c>
      <c r="Z76" s="6">
        <f t="shared" si="117"/>
        <v>0</v>
      </c>
      <c r="AA76" s="6">
        <f t="shared" si="118"/>
        <v>0</v>
      </c>
      <c r="AB76" s="6">
        <f t="shared" si="119"/>
        <v>0</v>
      </c>
      <c r="AC76" s="6">
        <f t="shared" si="120"/>
        <v>0</v>
      </c>
      <c r="AD76" s="6">
        <f t="shared" si="121"/>
        <v>0</v>
      </c>
      <c r="AE76" s="6">
        <f t="shared" si="122"/>
        <v>0</v>
      </c>
      <c r="AF76" s="6">
        <f t="shared" si="123"/>
        <v>0</v>
      </c>
      <c r="AG76" s="6">
        <f t="shared" si="124"/>
        <v>0</v>
      </c>
      <c r="AH76" s="6">
        <f t="shared" si="125"/>
        <v>0</v>
      </c>
      <c r="AI76" s="6">
        <f t="shared" si="126"/>
        <v>0</v>
      </c>
      <c r="AJ76" s="6">
        <f t="shared" si="127"/>
        <v>0</v>
      </c>
      <c r="AK76" s="6">
        <f t="shared" si="128"/>
        <v>0</v>
      </c>
      <c r="AL76" s="6">
        <f t="shared" si="129"/>
        <v>0</v>
      </c>
      <c r="AM76" s="6">
        <f t="shared" si="130"/>
        <v>0</v>
      </c>
      <c r="AN76" s="6">
        <f t="shared" si="131"/>
        <v>0</v>
      </c>
      <c r="AO76" s="6">
        <f t="shared" si="132"/>
        <v>0</v>
      </c>
      <c r="AP76" s="6">
        <f t="shared" si="133"/>
        <v>0</v>
      </c>
      <c r="AQ76" s="6">
        <f t="shared" si="134"/>
        <v>0</v>
      </c>
      <c r="AR76" s="6">
        <f t="shared" si="135"/>
        <v>0</v>
      </c>
      <c r="AS76" s="6">
        <f t="shared" si="136"/>
        <v>0</v>
      </c>
      <c r="AT76" s="6">
        <f t="shared" si="137"/>
        <v>0</v>
      </c>
      <c r="AU76" s="6">
        <f t="shared" si="138"/>
        <v>0</v>
      </c>
      <c r="AV76" s="6">
        <f t="shared" si="139"/>
        <v>0</v>
      </c>
      <c r="AW76" s="6">
        <f t="shared" si="140"/>
        <v>0</v>
      </c>
      <c r="AX76" s="6">
        <f t="shared" si="141"/>
        <v>0</v>
      </c>
      <c r="AY76" s="6">
        <f t="shared" si="142"/>
        <v>0</v>
      </c>
      <c r="AZ76" s="6">
        <f t="shared" si="143"/>
        <v>0</v>
      </c>
      <c r="BA76" s="6">
        <f t="shared" si="144"/>
        <v>0</v>
      </c>
      <c r="BB76" s="6">
        <f t="shared" si="145"/>
        <v>0</v>
      </c>
      <c r="BC76" s="6">
        <f t="shared" si="146"/>
        <v>0</v>
      </c>
      <c r="BD76" s="6">
        <f t="shared" si="147"/>
        <v>0</v>
      </c>
      <c r="BE76" s="6">
        <f t="shared" si="148"/>
        <v>0</v>
      </c>
      <c r="BF76" s="6">
        <f t="shared" si="149"/>
        <v>0</v>
      </c>
      <c r="BG76" s="6">
        <f t="shared" si="150"/>
        <v>0</v>
      </c>
      <c r="BH76" s="6">
        <f t="shared" si="151"/>
        <v>0</v>
      </c>
      <c r="BI76" s="6">
        <f t="shared" si="152"/>
        <v>0</v>
      </c>
      <c r="BJ76" s="6">
        <f t="shared" si="153"/>
        <v>0</v>
      </c>
      <c r="BK76" s="6">
        <f t="shared" si="154"/>
        <v>0</v>
      </c>
      <c r="BL76" s="6">
        <f t="shared" si="155"/>
        <v>0</v>
      </c>
      <c r="BM76" s="6">
        <f t="shared" si="156"/>
        <v>0</v>
      </c>
      <c r="BN76" s="6">
        <f t="shared" si="157"/>
        <v>0</v>
      </c>
      <c r="BO76" s="6">
        <f t="shared" si="158"/>
        <v>0</v>
      </c>
      <c r="BP76" s="6">
        <f t="shared" si="159"/>
        <v>0</v>
      </c>
      <c r="BQ76" s="6">
        <f t="shared" si="160"/>
        <v>0</v>
      </c>
      <c r="BR76" s="6">
        <f t="shared" si="161"/>
        <v>0</v>
      </c>
      <c r="BS76" s="6">
        <f t="shared" si="162"/>
        <v>0</v>
      </c>
      <c r="BT76" s="6">
        <f t="shared" si="163"/>
        <v>0</v>
      </c>
      <c r="BU76" s="6">
        <f t="shared" si="164"/>
        <v>0</v>
      </c>
      <c r="BV76" s="6">
        <f t="shared" si="165"/>
        <v>0</v>
      </c>
      <c r="BW76" s="6">
        <f t="shared" si="166"/>
        <v>0</v>
      </c>
      <c r="BX76" s="6">
        <f t="shared" si="167"/>
        <v>0</v>
      </c>
      <c r="BY76" s="6">
        <f t="shared" si="168"/>
        <v>0</v>
      </c>
      <c r="BZ76" s="6">
        <f t="shared" si="169"/>
        <v>0</v>
      </c>
      <c r="CA76" s="6">
        <f t="shared" si="170"/>
        <v>0</v>
      </c>
      <c r="CB76" s="6">
        <f t="shared" si="171"/>
        <v>0</v>
      </c>
      <c r="CC76" s="6">
        <f t="shared" si="172"/>
        <v>0</v>
      </c>
      <c r="CD76" s="6">
        <f t="shared" si="173"/>
        <v>0</v>
      </c>
      <c r="CE76" s="6">
        <f t="shared" si="174"/>
        <v>0</v>
      </c>
      <c r="CF76" s="6">
        <f t="shared" si="175"/>
        <v>0</v>
      </c>
      <c r="CG76" s="6">
        <f t="shared" si="176"/>
        <v>0</v>
      </c>
      <c r="CH76" s="6">
        <f t="shared" si="177"/>
        <v>0</v>
      </c>
      <c r="CI76" s="6">
        <f t="shared" si="178"/>
        <v>0</v>
      </c>
      <c r="CJ76" s="287"/>
      <c r="CK76" s="287"/>
      <c r="CL76" s="287"/>
    </row>
    <row r="77" spans="1:90">
      <c r="A77" s="2">
        <v>68</v>
      </c>
      <c r="B77" s="21" t="s">
        <v>53</v>
      </c>
      <c r="C77" s="20"/>
      <c r="D77" s="20">
        <f>D74+D75+D76</f>
        <v>0</v>
      </c>
      <c r="E77" s="20">
        <f t="shared" ref="E77:BP77" si="179">E74+E75+E76</f>
        <v>0</v>
      </c>
      <c r="F77" s="20">
        <f t="shared" si="179"/>
        <v>0</v>
      </c>
      <c r="G77" s="20">
        <f t="shared" si="179"/>
        <v>0</v>
      </c>
      <c r="H77" s="20">
        <f t="shared" si="179"/>
        <v>0</v>
      </c>
      <c r="I77" s="20">
        <f t="shared" si="179"/>
        <v>0</v>
      </c>
      <c r="J77" s="20">
        <f t="shared" si="179"/>
        <v>0</v>
      </c>
      <c r="K77" s="20">
        <f t="shared" si="179"/>
        <v>0</v>
      </c>
      <c r="L77" s="20">
        <f t="shared" si="179"/>
        <v>0</v>
      </c>
      <c r="M77" s="20">
        <f t="shared" si="179"/>
        <v>0</v>
      </c>
      <c r="N77" s="20">
        <f t="shared" si="179"/>
        <v>0</v>
      </c>
      <c r="O77" s="20">
        <f t="shared" si="179"/>
        <v>0</v>
      </c>
      <c r="P77" s="20">
        <f t="shared" si="179"/>
        <v>0</v>
      </c>
      <c r="Q77" s="20">
        <f t="shared" si="179"/>
        <v>0</v>
      </c>
      <c r="R77" s="20">
        <f t="shared" si="179"/>
        <v>0</v>
      </c>
      <c r="S77" s="20">
        <f t="shared" si="179"/>
        <v>0</v>
      </c>
      <c r="T77" s="20">
        <f t="shared" si="179"/>
        <v>0</v>
      </c>
      <c r="U77" s="20">
        <f t="shared" si="179"/>
        <v>0</v>
      </c>
      <c r="V77" s="20">
        <f t="shared" si="179"/>
        <v>0</v>
      </c>
      <c r="W77" s="20">
        <f t="shared" si="179"/>
        <v>0</v>
      </c>
      <c r="X77" s="20">
        <f t="shared" si="179"/>
        <v>0</v>
      </c>
      <c r="Y77" s="20">
        <f t="shared" si="179"/>
        <v>0</v>
      </c>
      <c r="Z77" s="20">
        <f t="shared" si="179"/>
        <v>0</v>
      </c>
      <c r="AA77" s="20">
        <f t="shared" si="179"/>
        <v>0</v>
      </c>
      <c r="AB77" s="20">
        <f t="shared" si="179"/>
        <v>0</v>
      </c>
      <c r="AC77" s="20">
        <f t="shared" si="179"/>
        <v>0</v>
      </c>
      <c r="AD77" s="20">
        <f t="shared" si="179"/>
        <v>0</v>
      </c>
      <c r="AE77" s="20">
        <f t="shared" si="179"/>
        <v>0</v>
      </c>
      <c r="AF77" s="20">
        <f t="shared" si="179"/>
        <v>0</v>
      </c>
      <c r="AG77" s="20">
        <f t="shared" si="179"/>
        <v>0</v>
      </c>
      <c r="AH77" s="20">
        <f t="shared" si="179"/>
        <v>0</v>
      </c>
      <c r="AI77" s="20">
        <f t="shared" si="179"/>
        <v>0</v>
      </c>
      <c r="AJ77" s="20">
        <f t="shared" si="179"/>
        <v>0</v>
      </c>
      <c r="AK77" s="20">
        <f t="shared" si="179"/>
        <v>0</v>
      </c>
      <c r="AL77" s="20">
        <f t="shared" si="179"/>
        <v>0</v>
      </c>
      <c r="AM77" s="20">
        <f t="shared" si="179"/>
        <v>0</v>
      </c>
      <c r="AN77" s="20">
        <f t="shared" si="179"/>
        <v>0</v>
      </c>
      <c r="AO77" s="20">
        <f t="shared" si="179"/>
        <v>0</v>
      </c>
      <c r="AP77" s="20">
        <f t="shared" si="179"/>
        <v>0</v>
      </c>
      <c r="AQ77" s="20">
        <f t="shared" si="179"/>
        <v>0</v>
      </c>
      <c r="AR77" s="20">
        <f t="shared" si="179"/>
        <v>0</v>
      </c>
      <c r="AS77" s="20">
        <f t="shared" si="179"/>
        <v>0</v>
      </c>
      <c r="AT77" s="20">
        <f t="shared" si="179"/>
        <v>0</v>
      </c>
      <c r="AU77" s="20">
        <f t="shared" si="179"/>
        <v>0</v>
      </c>
      <c r="AV77" s="20">
        <f t="shared" si="179"/>
        <v>0</v>
      </c>
      <c r="AW77" s="20">
        <f t="shared" si="179"/>
        <v>0</v>
      </c>
      <c r="AX77" s="20">
        <f t="shared" si="179"/>
        <v>0</v>
      </c>
      <c r="AY77" s="20">
        <f t="shared" si="179"/>
        <v>0</v>
      </c>
      <c r="AZ77" s="20">
        <f t="shared" si="179"/>
        <v>0</v>
      </c>
      <c r="BA77" s="20">
        <f t="shared" si="179"/>
        <v>0</v>
      </c>
      <c r="BB77" s="20">
        <f t="shared" si="179"/>
        <v>0</v>
      </c>
      <c r="BC77" s="20">
        <f t="shared" si="179"/>
        <v>0</v>
      </c>
      <c r="BD77" s="20">
        <f t="shared" si="179"/>
        <v>0</v>
      </c>
      <c r="BE77" s="20">
        <f t="shared" si="179"/>
        <v>0</v>
      </c>
      <c r="BF77" s="20">
        <f t="shared" si="179"/>
        <v>0</v>
      </c>
      <c r="BG77" s="20">
        <f t="shared" si="179"/>
        <v>0</v>
      </c>
      <c r="BH77" s="20">
        <f t="shared" si="179"/>
        <v>0</v>
      </c>
      <c r="BI77" s="20">
        <f t="shared" si="179"/>
        <v>0</v>
      </c>
      <c r="BJ77" s="20">
        <f t="shared" si="179"/>
        <v>0</v>
      </c>
      <c r="BK77" s="20">
        <f t="shared" si="179"/>
        <v>0</v>
      </c>
      <c r="BL77" s="20">
        <f t="shared" si="179"/>
        <v>0</v>
      </c>
      <c r="BM77" s="20">
        <f t="shared" si="179"/>
        <v>0</v>
      </c>
      <c r="BN77" s="20">
        <f t="shared" si="179"/>
        <v>0</v>
      </c>
      <c r="BO77" s="20">
        <f t="shared" si="179"/>
        <v>0</v>
      </c>
      <c r="BP77" s="20">
        <f t="shared" si="179"/>
        <v>0</v>
      </c>
      <c r="BQ77" s="20">
        <f t="shared" ref="BQ77:CI77" si="180">BQ74+BQ75+BQ76</f>
        <v>0</v>
      </c>
      <c r="BR77" s="20">
        <f t="shared" si="180"/>
        <v>0</v>
      </c>
      <c r="BS77" s="20">
        <f t="shared" si="180"/>
        <v>0</v>
      </c>
      <c r="BT77" s="20">
        <f t="shared" si="180"/>
        <v>0</v>
      </c>
      <c r="BU77" s="20">
        <f t="shared" si="180"/>
        <v>0</v>
      </c>
      <c r="BV77" s="20">
        <f t="shared" si="180"/>
        <v>0</v>
      </c>
      <c r="BW77" s="20">
        <f t="shared" si="180"/>
        <v>0</v>
      </c>
      <c r="BX77" s="20">
        <f t="shared" si="180"/>
        <v>0</v>
      </c>
      <c r="BY77" s="20">
        <f t="shared" si="180"/>
        <v>0</v>
      </c>
      <c r="BZ77" s="20">
        <f t="shared" si="180"/>
        <v>0</v>
      </c>
      <c r="CA77" s="20">
        <f t="shared" si="180"/>
        <v>0</v>
      </c>
      <c r="CB77" s="20">
        <f t="shared" si="180"/>
        <v>0</v>
      </c>
      <c r="CC77" s="20">
        <f t="shared" si="180"/>
        <v>0</v>
      </c>
      <c r="CD77" s="20">
        <f t="shared" si="180"/>
        <v>0</v>
      </c>
      <c r="CE77" s="20">
        <f t="shared" si="180"/>
        <v>0</v>
      </c>
      <c r="CF77" s="20">
        <f t="shared" si="180"/>
        <v>0</v>
      </c>
      <c r="CG77" s="20">
        <f t="shared" si="180"/>
        <v>0</v>
      </c>
      <c r="CH77" s="20">
        <f t="shared" si="180"/>
        <v>0</v>
      </c>
      <c r="CI77" s="20">
        <f t="shared" si="180"/>
        <v>0</v>
      </c>
      <c r="CJ77" s="288"/>
      <c r="CK77" s="288"/>
      <c r="CL77" s="288"/>
    </row>
    <row r="78" spans="1:90">
      <c r="A78" s="2">
        <v>69</v>
      </c>
      <c r="Z78" s="13"/>
      <c r="AA78" s="6"/>
    </row>
    <row r="79" spans="1:90">
      <c r="A79" s="2">
        <v>70</v>
      </c>
      <c r="B79" s="23" t="s">
        <v>63</v>
      </c>
      <c r="D79" s="50">
        <f t="shared" ref="D79:AI79" si="181">D80*$C$80+D84*$C$84+D85*$C$85+D81+D82+D83</f>
        <v>620421.47616889991</v>
      </c>
      <c r="E79" s="50">
        <f t="shared" si="181"/>
        <v>714360.6939538999</v>
      </c>
      <c r="F79" s="50">
        <f t="shared" si="181"/>
        <v>732692.03859330015</v>
      </c>
      <c r="G79" s="50">
        <f t="shared" si="181"/>
        <v>735838.19689160003</v>
      </c>
      <c r="H79" s="50">
        <f t="shared" si="181"/>
        <v>788493.51774319995</v>
      </c>
      <c r="I79" s="50">
        <f t="shared" si="181"/>
        <v>713430.92607280007</v>
      </c>
      <c r="J79" s="50">
        <f t="shared" si="181"/>
        <v>712342.12782889989</v>
      </c>
      <c r="K79" s="50">
        <f t="shared" si="181"/>
        <v>669431.70955269993</v>
      </c>
      <c r="L79" s="50">
        <f t="shared" si="181"/>
        <v>663066.36363599985</v>
      </c>
      <c r="M79" s="50">
        <f t="shared" si="181"/>
        <v>656524.32050020015</v>
      </c>
      <c r="N79" s="50">
        <f t="shared" si="181"/>
        <v>620772.97449199972</v>
      </c>
      <c r="O79" s="50">
        <f t="shared" si="181"/>
        <v>552211.7715261</v>
      </c>
      <c r="P79" s="50">
        <f t="shared" si="181"/>
        <v>620421.47616889991</v>
      </c>
      <c r="Q79" s="50">
        <f t="shared" si="181"/>
        <v>714360.6939538999</v>
      </c>
      <c r="R79" s="50">
        <f t="shared" si="181"/>
        <v>732692.03859330015</v>
      </c>
      <c r="S79" s="50">
        <f t="shared" si="181"/>
        <v>735838.19689160003</v>
      </c>
      <c r="T79" s="50">
        <f t="shared" si="181"/>
        <v>788493.51774319995</v>
      </c>
      <c r="U79" s="50">
        <f t="shared" si="181"/>
        <v>713430.92607280007</v>
      </c>
      <c r="V79" s="50">
        <f t="shared" si="181"/>
        <v>712342.12782889989</v>
      </c>
      <c r="W79" s="50">
        <f t="shared" si="181"/>
        <v>669431.70955269993</v>
      </c>
      <c r="X79" s="50">
        <f t="shared" si="181"/>
        <v>663066.36363599985</v>
      </c>
      <c r="Y79" s="50">
        <f t="shared" si="181"/>
        <v>656524.32050020015</v>
      </c>
      <c r="Z79" s="50">
        <f t="shared" si="181"/>
        <v>620772.97449199972</v>
      </c>
      <c r="AA79" s="50">
        <f t="shared" si="181"/>
        <v>552211.7715261</v>
      </c>
      <c r="AB79" s="50">
        <f t="shared" si="181"/>
        <v>620421.47616889991</v>
      </c>
      <c r="AC79" s="50">
        <f t="shared" si="181"/>
        <v>714360.6939538999</v>
      </c>
      <c r="AD79" s="50">
        <f t="shared" si="181"/>
        <v>732692.03859330015</v>
      </c>
      <c r="AE79" s="50">
        <f t="shared" si="181"/>
        <v>735838.19689160003</v>
      </c>
      <c r="AF79" s="50">
        <f t="shared" si="181"/>
        <v>788493.51774319995</v>
      </c>
      <c r="AG79" s="50">
        <f t="shared" si="181"/>
        <v>713430.92607280007</v>
      </c>
      <c r="AH79" s="50">
        <f t="shared" si="181"/>
        <v>712342.12782889989</v>
      </c>
      <c r="AI79" s="50">
        <f t="shared" si="181"/>
        <v>669431.70955269993</v>
      </c>
      <c r="AJ79" s="50">
        <f t="shared" ref="AJ79:BO79" si="182">AJ80*$C$80+AJ84*$C$84+AJ85*$C$85+AJ81+AJ82+AJ83</f>
        <v>663066.36363599985</v>
      </c>
      <c r="AK79" s="50">
        <f t="shared" si="182"/>
        <v>656524.32050020015</v>
      </c>
      <c r="AL79" s="50">
        <f t="shared" si="182"/>
        <v>620772.97449199972</v>
      </c>
      <c r="AM79" s="50">
        <f t="shared" si="182"/>
        <v>552211.7715261</v>
      </c>
      <c r="AN79" s="50">
        <f t="shared" si="182"/>
        <v>620421.47616889991</v>
      </c>
      <c r="AO79" s="50">
        <f t="shared" si="182"/>
        <v>714360.6939538999</v>
      </c>
      <c r="AP79" s="50">
        <f t="shared" si="182"/>
        <v>732692.03859330015</v>
      </c>
      <c r="AQ79" s="50">
        <f t="shared" si="182"/>
        <v>735838.19689160003</v>
      </c>
      <c r="AR79" s="50">
        <f t="shared" si="182"/>
        <v>788493.51774319995</v>
      </c>
      <c r="AS79" s="50">
        <f t="shared" si="182"/>
        <v>713430.92607280007</v>
      </c>
      <c r="AT79" s="50">
        <f t="shared" si="182"/>
        <v>712342.12782889989</v>
      </c>
      <c r="AU79" s="50">
        <f t="shared" si="182"/>
        <v>669431.70955269993</v>
      </c>
      <c r="AV79" s="50">
        <f t="shared" si="182"/>
        <v>663066.36363599985</v>
      </c>
      <c r="AW79" s="50">
        <f t="shared" si="182"/>
        <v>656524.32050020015</v>
      </c>
      <c r="AX79" s="50">
        <f t="shared" si="182"/>
        <v>620772.97449199972</v>
      </c>
      <c r="AY79" s="50">
        <f t="shared" si="182"/>
        <v>552211.7715261</v>
      </c>
      <c r="AZ79" s="50">
        <f t="shared" si="182"/>
        <v>620421.47616889991</v>
      </c>
      <c r="BA79" s="50">
        <f t="shared" si="182"/>
        <v>714360.6939538999</v>
      </c>
      <c r="BB79" s="50">
        <f t="shared" si="182"/>
        <v>732692.03859330015</v>
      </c>
      <c r="BC79" s="50">
        <f t="shared" si="182"/>
        <v>735838.19689160003</v>
      </c>
      <c r="BD79" s="50">
        <f t="shared" si="182"/>
        <v>788493.51774319995</v>
      </c>
      <c r="BE79" s="50">
        <f t="shared" si="182"/>
        <v>713430.92607280007</v>
      </c>
      <c r="BF79" s="50">
        <f t="shared" si="182"/>
        <v>712342.12782889989</v>
      </c>
      <c r="BG79" s="50">
        <f t="shared" si="182"/>
        <v>669431.70955269993</v>
      </c>
      <c r="BH79" s="50">
        <f t="shared" si="182"/>
        <v>663066.36363599985</v>
      </c>
      <c r="BI79" s="50">
        <f t="shared" si="182"/>
        <v>656524.32050020015</v>
      </c>
      <c r="BJ79" s="50">
        <f t="shared" si="182"/>
        <v>620772.97449199972</v>
      </c>
      <c r="BK79" s="50">
        <f t="shared" si="182"/>
        <v>552211.7715261</v>
      </c>
      <c r="BL79" s="50">
        <f t="shared" si="182"/>
        <v>620421.47616889991</v>
      </c>
      <c r="BM79" s="50">
        <f t="shared" si="182"/>
        <v>714360.6939538999</v>
      </c>
      <c r="BN79" s="50">
        <f t="shared" si="182"/>
        <v>732692.03859330015</v>
      </c>
      <c r="BO79" s="50">
        <f t="shared" si="182"/>
        <v>735838.19689160003</v>
      </c>
      <c r="BP79" s="50">
        <f t="shared" ref="BP79:CI79" si="183">BP80*$C$80+BP84*$C$84+BP85*$C$85+BP81+BP82+BP83</f>
        <v>788493.51774319995</v>
      </c>
      <c r="BQ79" s="50">
        <f t="shared" si="183"/>
        <v>713430.92607280007</v>
      </c>
      <c r="BR79" s="50">
        <f t="shared" si="183"/>
        <v>712342.12782889989</v>
      </c>
      <c r="BS79" s="50">
        <f t="shared" si="183"/>
        <v>669431.70955269993</v>
      </c>
      <c r="BT79" s="50">
        <f t="shared" si="183"/>
        <v>663066.36363599985</v>
      </c>
      <c r="BU79" s="50">
        <f t="shared" si="183"/>
        <v>656524.32050020015</v>
      </c>
      <c r="BV79" s="50">
        <f t="shared" si="183"/>
        <v>620772.97449199972</v>
      </c>
      <c r="BW79" s="50">
        <f t="shared" si="183"/>
        <v>552211.7715261</v>
      </c>
      <c r="BX79" s="50">
        <f t="shared" si="183"/>
        <v>620421.47616889991</v>
      </c>
      <c r="BY79" s="50">
        <f t="shared" si="183"/>
        <v>714360.6939538999</v>
      </c>
      <c r="BZ79" s="50">
        <f t="shared" si="183"/>
        <v>732692.03859330015</v>
      </c>
      <c r="CA79" s="50">
        <f t="shared" si="183"/>
        <v>735838.19689160003</v>
      </c>
      <c r="CB79" s="50">
        <f t="shared" si="183"/>
        <v>788493.51774319995</v>
      </c>
      <c r="CC79" s="50">
        <f t="shared" si="183"/>
        <v>713430.92607280007</v>
      </c>
      <c r="CD79" s="50">
        <f t="shared" si="183"/>
        <v>712342.12782889989</v>
      </c>
      <c r="CE79" s="50">
        <f t="shared" si="183"/>
        <v>669431.70955269993</v>
      </c>
      <c r="CF79" s="50">
        <f t="shared" si="183"/>
        <v>663066.36363599985</v>
      </c>
      <c r="CG79" s="50">
        <f t="shared" si="183"/>
        <v>656524.32050020015</v>
      </c>
      <c r="CH79" s="50">
        <f t="shared" si="183"/>
        <v>620772.97449199972</v>
      </c>
      <c r="CI79" s="50">
        <f t="shared" si="183"/>
        <v>552211.7715261</v>
      </c>
      <c r="CJ79" s="291"/>
      <c r="CK79" s="291"/>
      <c r="CL79" s="291"/>
    </row>
    <row r="80" spans="1:90">
      <c r="A80" s="2">
        <v>71</v>
      </c>
      <c r="B80" s="2" t="s">
        <v>61</v>
      </c>
      <c r="C80" s="535">
        <f>'Rate Design'!G16</f>
        <v>520</v>
      </c>
      <c r="D80" s="6">
        <f>'Bill Frequency'!C69+'Contract &amp; Vol Adj'!C69</f>
        <v>71</v>
      </c>
      <c r="E80" s="6">
        <f>'Bill Frequency'!D69+'Contract &amp; Vol Adj'!D69</f>
        <v>71</v>
      </c>
      <c r="F80" s="6">
        <f>'Bill Frequency'!E69+'Contract &amp; Vol Adj'!E69</f>
        <v>71</v>
      </c>
      <c r="G80" s="6">
        <f>'Bill Frequency'!F69+'Contract &amp; Vol Adj'!F69</f>
        <v>71</v>
      </c>
      <c r="H80" s="6">
        <f>'Bill Frequency'!G69+'Contract &amp; Vol Adj'!G69</f>
        <v>71</v>
      </c>
      <c r="I80" s="6">
        <f>'Bill Frequency'!H69+'Contract &amp; Vol Adj'!H69</f>
        <v>71</v>
      </c>
      <c r="J80" s="6">
        <f>'Bill Frequency'!I69+'Contract &amp; Vol Adj'!I69</f>
        <v>71</v>
      </c>
      <c r="K80" s="6">
        <f>'Bill Frequency'!J69+'Contract &amp; Vol Adj'!J69</f>
        <v>71</v>
      </c>
      <c r="L80" s="6">
        <f>'Bill Frequency'!K69+'Contract &amp; Vol Adj'!K69</f>
        <v>71</v>
      </c>
      <c r="M80" s="6">
        <f>'Bill Frequency'!L69+'Contract &amp; Vol Adj'!L69</f>
        <v>71</v>
      </c>
      <c r="N80" s="6">
        <f>'Bill Frequency'!M69+'Contract &amp; Vol Adj'!M69</f>
        <v>71</v>
      </c>
      <c r="O80" s="6">
        <f>'Bill Frequency'!N69+'Contract &amp; Vol Adj'!N69</f>
        <v>71</v>
      </c>
      <c r="P80" s="6">
        <f t="shared" ref="P80:Y85" si="184">D80</f>
        <v>71</v>
      </c>
      <c r="Q80" s="6">
        <f t="shared" si="184"/>
        <v>71</v>
      </c>
      <c r="R80" s="6">
        <f t="shared" si="184"/>
        <v>71</v>
      </c>
      <c r="S80" s="6">
        <f t="shared" si="184"/>
        <v>71</v>
      </c>
      <c r="T80" s="6">
        <f t="shared" si="184"/>
        <v>71</v>
      </c>
      <c r="U80" s="6">
        <f t="shared" si="184"/>
        <v>71</v>
      </c>
      <c r="V80" s="6">
        <f t="shared" si="184"/>
        <v>71</v>
      </c>
      <c r="W80" s="6">
        <f t="shared" si="184"/>
        <v>71</v>
      </c>
      <c r="X80" s="6">
        <f t="shared" si="184"/>
        <v>71</v>
      </c>
      <c r="Y80" s="6">
        <f t="shared" si="184"/>
        <v>71</v>
      </c>
      <c r="Z80" s="6">
        <f t="shared" ref="Z80:AI85" si="185">N80</f>
        <v>71</v>
      </c>
      <c r="AA80" s="6">
        <f t="shared" si="185"/>
        <v>71</v>
      </c>
      <c r="AB80" s="6">
        <f t="shared" si="185"/>
        <v>71</v>
      </c>
      <c r="AC80" s="6">
        <f t="shared" si="185"/>
        <v>71</v>
      </c>
      <c r="AD80" s="6">
        <f t="shared" si="185"/>
        <v>71</v>
      </c>
      <c r="AE80" s="6">
        <f t="shared" si="185"/>
        <v>71</v>
      </c>
      <c r="AF80" s="6">
        <f t="shared" si="185"/>
        <v>71</v>
      </c>
      <c r="AG80" s="6">
        <f t="shared" si="185"/>
        <v>71</v>
      </c>
      <c r="AH80" s="6">
        <f t="shared" si="185"/>
        <v>71</v>
      </c>
      <c r="AI80" s="6">
        <f t="shared" si="185"/>
        <v>71</v>
      </c>
      <c r="AJ80" s="6">
        <f t="shared" ref="AJ80:AS85" si="186">X80</f>
        <v>71</v>
      </c>
      <c r="AK80" s="6">
        <f t="shared" si="186"/>
        <v>71</v>
      </c>
      <c r="AL80" s="6">
        <f t="shared" si="186"/>
        <v>71</v>
      </c>
      <c r="AM80" s="6">
        <f t="shared" si="186"/>
        <v>71</v>
      </c>
      <c r="AN80" s="6">
        <f t="shared" si="186"/>
        <v>71</v>
      </c>
      <c r="AO80" s="6">
        <f t="shared" si="186"/>
        <v>71</v>
      </c>
      <c r="AP80" s="6">
        <f t="shared" si="186"/>
        <v>71</v>
      </c>
      <c r="AQ80" s="6">
        <f t="shared" si="186"/>
        <v>71</v>
      </c>
      <c r="AR80" s="6">
        <f t="shared" si="186"/>
        <v>71</v>
      </c>
      <c r="AS80" s="6">
        <f t="shared" si="186"/>
        <v>71</v>
      </c>
      <c r="AT80" s="6">
        <f t="shared" ref="AT80:BC85" si="187">AH80</f>
        <v>71</v>
      </c>
      <c r="AU80" s="6">
        <f t="shared" si="187"/>
        <v>71</v>
      </c>
      <c r="AV80" s="6">
        <f t="shared" si="187"/>
        <v>71</v>
      </c>
      <c r="AW80" s="6">
        <f t="shared" si="187"/>
        <v>71</v>
      </c>
      <c r="AX80" s="6">
        <f t="shared" si="187"/>
        <v>71</v>
      </c>
      <c r="AY80" s="6">
        <f t="shared" si="187"/>
        <v>71</v>
      </c>
      <c r="AZ80" s="6">
        <f t="shared" si="187"/>
        <v>71</v>
      </c>
      <c r="BA80" s="6">
        <f t="shared" si="187"/>
        <v>71</v>
      </c>
      <c r="BB80" s="6">
        <f t="shared" si="187"/>
        <v>71</v>
      </c>
      <c r="BC80" s="6">
        <f t="shared" si="187"/>
        <v>71</v>
      </c>
      <c r="BD80" s="6">
        <f t="shared" ref="BD80:BS85" si="188">AR80</f>
        <v>71</v>
      </c>
      <c r="BE80" s="6">
        <f t="shared" si="188"/>
        <v>71</v>
      </c>
      <c r="BF80" s="6">
        <f t="shared" si="188"/>
        <v>71</v>
      </c>
      <c r="BG80" s="6">
        <f t="shared" si="188"/>
        <v>71</v>
      </c>
      <c r="BH80" s="6">
        <f t="shared" si="188"/>
        <v>71</v>
      </c>
      <c r="BI80" s="6">
        <f t="shared" si="188"/>
        <v>71</v>
      </c>
      <c r="BJ80" s="6">
        <f t="shared" si="188"/>
        <v>71</v>
      </c>
      <c r="BK80" s="6">
        <f t="shared" si="188"/>
        <v>71</v>
      </c>
      <c r="BL80" s="6">
        <f t="shared" si="188"/>
        <v>71</v>
      </c>
      <c r="BM80" s="6">
        <f t="shared" si="188"/>
        <v>71</v>
      </c>
      <c r="BN80" s="6">
        <f t="shared" si="188"/>
        <v>71</v>
      </c>
      <c r="BO80" s="6">
        <f t="shared" si="188"/>
        <v>71</v>
      </c>
      <c r="BP80" s="6">
        <f t="shared" si="188"/>
        <v>71</v>
      </c>
      <c r="BQ80" s="6">
        <f t="shared" si="188"/>
        <v>71</v>
      </c>
      <c r="BR80" s="6">
        <f t="shared" si="188"/>
        <v>71</v>
      </c>
      <c r="BS80" s="6">
        <f t="shared" si="188"/>
        <v>71</v>
      </c>
      <c r="BT80" s="6">
        <f t="shared" ref="BT80:BW85" si="189">BH80</f>
        <v>71</v>
      </c>
      <c r="BU80" s="6">
        <f t="shared" si="189"/>
        <v>71</v>
      </c>
      <c r="BV80" s="6">
        <f t="shared" si="189"/>
        <v>71</v>
      </c>
      <c r="BW80" s="6">
        <f t="shared" si="189"/>
        <v>71</v>
      </c>
      <c r="BX80" s="6">
        <f t="shared" ref="BX80:BX85" si="190">BL80</f>
        <v>71</v>
      </c>
      <c r="BY80" s="6">
        <f t="shared" ref="BY80:BY85" si="191">BM80</f>
        <v>71</v>
      </c>
      <c r="BZ80" s="6">
        <f t="shared" ref="BZ80:BZ85" si="192">BN80</f>
        <v>71</v>
      </c>
      <c r="CA80" s="6">
        <f t="shared" ref="CA80:CA85" si="193">BO80</f>
        <v>71</v>
      </c>
      <c r="CB80" s="6">
        <f t="shared" ref="CB80:CB85" si="194">BP80</f>
        <v>71</v>
      </c>
      <c r="CC80" s="6">
        <f t="shared" ref="CC80:CC85" si="195">BQ80</f>
        <v>71</v>
      </c>
      <c r="CD80" s="6">
        <f t="shared" ref="CD80:CD85" si="196">BR80</f>
        <v>71</v>
      </c>
      <c r="CE80" s="6">
        <f t="shared" ref="CE80:CE85" si="197">BS80</f>
        <v>71</v>
      </c>
      <c r="CF80" s="6">
        <f t="shared" ref="CF80:CF85" si="198">BT80</f>
        <v>71</v>
      </c>
      <c r="CG80" s="6">
        <f t="shared" ref="CG80:CG85" si="199">BU80</f>
        <v>71</v>
      </c>
      <c r="CH80" s="6">
        <f t="shared" ref="CH80:CH85" si="200">BV80</f>
        <v>71</v>
      </c>
      <c r="CI80" s="6">
        <f t="shared" ref="CI80:CI85" si="201">BW80</f>
        <v>71</v>
      </c>
      <c r="CJ80" s="287"/>
      <c r="CK80" s="287"/>
      <c r="CL80" s="287"/>
    </row>
    <row r="81" spans="1:90">
      <c r="A81" s="2">
        <v>72</v>
      </c>
      <c r="B81" s="2" t="s">
        <v>1</v>
      </c>
      <c r="D81" s="3">
        <f>'Bill Frequency'!C70+'Contract &amp; Vol Adj'!C70</f>
        <v>3500</v>
      </c>
      <c r="E81" s="3">
        <f>'Bill Frequency'!D70+'Contract &amp; Vol Adj'!D70</f>
        <v>3500</v>
      </c>
      <c r="F81" s="3">
        <f>'Bill Frequency'!E70+'Contract &amp; Vol Adj'!E70</f>
        <v>3500</v>
      </c>
      <c r="G81" s="3">
        <f>'Bill Frequency'!F70+'Contract &amp; Vol Adj'!F70</f>
        <v>3500</v>
      </c>
      <c r="H81" s="3">
        <f>'Bill Frequency'!G70+'Contract &amp; Vol Adj'!G70</f>
        <v>3500</v>
      </c>
      <c r="I81" s="3">
        <f>'Bill Frequency'!H70+'Contract &amp; Vol Adj'!H70</f>
        <v>3500</v>
      </c>
      <c r="J81" s="3">
        <f>'Bill Frequency'!I70+'Contract &amp; Vol Adj'!I70</f>
        <v>3500</v>
      </c>
      <c r="K81" s="3">
        <f>'Bill Frequency'!J70+'Contract &amp; Vol Adj'!J70</f>
        <v>3500</v>
      </c>
      <c r="L81" s="3">
        <f>'Bill Frequency'!K70+'Contract &amp; Vol Adj'!K70</f>
        <v>3500</v>
      </c>
      <c r="M81" s="3">
        <f>'Bill Frequency'!L70+'Contract &amp; Vol Adj'!L70</f>
        <v>3500</v>
      </c>
      <c r="N81" s="3">
        <f>'Bill Frequency'!M70+'Contract &amp; Vol Adj'!M70</f>
        <v>3500</v>
      </c>
      <c r="O81" s="3">
        <f>'Bill Frequency'!N70+'Contract &amp; Vol Adj'!N70</f>
        <v>3500</v>
      </c>
      <c r="P81" s="3">
        <f t="shared" si="184"/>
        <v>3500</v>
      </c>
      <c r="Q81" s="3">
        <f t="shared" si="184"/>
        <v>3500</v>
      </c>
      <c r="R81" s="3">
        <f t="shared" si="184"/>
        <v>3500</v>
      </c>
      <c r="S81" s="3">
        <f t="shared" si="184"/>
        <v>3500</v>
      </c>
      <c r="T81" s="3">
        <f t="shared" si="184"/>
        <v>3500</v>
      </c>
      <c r="U81" s="3">
        <f t="shared" si="184"/>
        <v>3500</v>
      </c>
      <c r="V81" s="3">
        <f t="shared" si="184"/>
        <v>3500</v>
      </c>
      <c r="W81" s="3">
        <f t="shared" si="184"/>
        <v>3500</v>
      </c>
      <c r="X81" s="3">
        <f t="shared" si="184"/>
        <v>3500</v>
      </c>
      <c r="Y81" s="3">
        <f t="shared" si="184"/>
        <v>3500</v>
      </c>
      <c r="Z81" s="3">
        <f t="shared" si="185"/>
        <v>3500</v>
      </c>
      <c r="AA81" s="3">
        <f t="shared" si="185"/>
        <v>3500</v>
      </c>
      <c r="AB81" s="3">
        <f t="shared" si="185"/>
        <v>3500</v>
      </c>
      <c r="AC81" s="3">
        <f t="shared" si="185"/>
        <v>3500</v>
      </c>
      <c r="AD81" s="3">
        <f t="shared" si="185"/>
        <v>3500</v>
      </c>
      <c r="AE81" s="3">
        <f t="shared" si="185"/>
        <v>3500</v>
      </c>
      <c r="AF81" s="3">
        <f t="shared" si="185"/>
        <v>3500</v>
      </c>
      <c r="AG81" s="3">
        <f t="shared" si="185"/>
        <v>3500</v>
      </c>
      <c r="AH81" s="3">
        <f t="shared" si="185"/>
        <v>3500</v>
      </c>
      <c r="AI81" s="3">
        <f t="shared" si="185"/>
        <v>3500</v>
      </c>
      <c r="AJ81" s="3">
        <f t="shared" si="186"/>
        <v>3500</v>
      </c>
      <c r="AK81" s="3">
        <f t="shared" si="186"/>
        <v>3500</v>
      </c>
      <c r="AL81" s="3">
        <f t="shared" si="186"/>
        <v>3500</v>
      </c>
      <c r="AM81" s="3">
        <f t="shared" si="186"/>
        <v>3500</v>
      </c>
      <c r="AN81" s="3">
        <f t="shared" si="186"/>
        <v>3500</v>
      </c>
      <c r="AO81" s="3">
        <f t="shared" si="186"/>
        <v>3500</v>
      </c>
      <c r="AP81" s="3">
        <f t="shared" si="186"/>
        <v>3500</v>
      </c>
      <c r="AQ81" s="3">
        <f t="shared" si="186"/>
        <v>3500</v>
      </c>
      <c r="AR81" s="3">
        <f t="shared" si="186"/>
        <v>3500</v>
      </c>
      <c r="AS81" s="3">
        <f t="shared" si="186"/>
        <v>3500</v>
      </c>
      <c r="AT81" s="3">
        <f t="shared" si="187"/>
        <v>3500</v>
      </c>
      <c r="AU81" s="3">
        <f t="shared" si="187"/>
        <v>3500</v>
      </c>
      <c r="AV81" s="3">
        <f t="shared" si="187"/>
        <v>3500</v>
      </c>
      <c r="AW81" s="3">
        <f t="shared" si="187"/>
        <v>3500</v>
      </c>
      <c r="AX81" s="3">
        <f t="shared" si="187"/>
        <v>3500</v>
      </c>
      <c r="AY81" s="3">
        <f t="shared" si="187"/>
        <v>3500</v>
      </c>
      <c r="AZ81" s="3">
        <f t="shared" si="187"/>
        <v>3500</v>
      </c>
      <c r="BA81" s="3">
        <f t="shared" si="187"/>
        <v>3500</v>
      </c>
      <c r="BB81" s="3">
        <f t="shared" si="187"/>
        <v>3500</v>
      </c>
      <c r="BC81" s="3">
        <f t="shared" si="187"/>
        <v>3500</v>
      </c>
      <c r="BD81" s="3">
        <f t="shared" si="188"/>
        <v>3500</v>
      </c>
      <c r="BE81" s="3">
        <f t="shared" si="188"/>
        <v>3500</v>
      </c>
      <c r="BF81" s="3">
        <f t="shared" si="188"/>
        <v>3500</v>
      </c>
      <c r="BG81" s="3">
        <f t="shared" si="188"/>
        <v>3500</v>
      </c>
      <c r="BH81" s="3">
        <f t="shared" si="188"/>
        <v>3500</v>
      </c>
      <c r="BI81" s="3">
        <f t="shared" si="188"/>
        <v>3500</v>
      </c>
      <c r="BJ81" s="3">
        <f t="shared" si="188"/>
        <v>3500</v>
      </c>
      <c r="BK81" s="3">
        <f t="shared" si="188"/>
        <v>3500</v>
      </c>
      <c r="BL81" s="3">
        <f t="shared" si="188"/>
        <v>3500</v>
      </c>
      <c r="BM81" s="3">
        <f t="shared" si="188"/>
        <v>3500</v>
      </c>
      <c r="BN81" s="3">
        <f t="shared" si="188"/>
        <v>3500</v>
      </c>
      <c r="BO81" s="3">
        <f t="shared" si="188"/>
        <v>3500</v>
      </c>
      <c r="BP81" s="3">
        <f t="shared" si="188"/>
        <v>3500</v>
      </c>
      <c r="BQ81" s="3">
        <f t="shared" si="188"/>
        <v>3500</v>
      </c>
      <c r="BR81" s="3">
        <f t="shared" si="188"/>
        <v>3500</v>
      </c>
      <c r="BS81" s="3">
        <f t="shared" si="188"/>
        <v>3500</v>
      </c>
      <c r="BT81" s="3">
        <f t="shared" si="189"/>
        <v>3500</v>
      </c>
      <c r="BU81" s="3">
        <f t="shared" si="189"/>
        <v>3500</v>
      </c>
      <c r="BV81" s="3">
        <f t="shared" si="189"/>
        <v>3500</v>
      </c>
      <c r="BW81" s="3">
        <f t="shared" si="189"/>
        <v>3500</v>
      </c>
      <c r="BX81" s="3">
        <f t="shared" si="190"/>
        <v>3500</v>
      </c>
      <c r="BY81" s="3">
        <f t="shared" si="191"/>
        <v>3500</v>
      </c>
      <c r="BZ81" s="3">
        <f t="shared" si="192"/>
        <v>3500</v>
      </c>
      <c r="CA81" s="3">
        <f t="shared" si="193"/>
        <v>3500</v>
      </c>
      <c r="CB81" s="3">
        <f t="shared" si="194"/>
        <v>3500</v>
      </c>
      <c r="CC81" s="3">
        <f t="shared" si="195"/>
        <v>3500</v>
      </c>
      <c r="CD81" s="3">
        <f t="shared" si="196"/>
        <v>3500</v>
      </c>
      <c r="CE81" s="3">
        <f t="shared" si="197"/>
        <v>3500</v>
      </c>
      <c r="CF81" s="3">
        <f t="shared" si="198"/>
        <v>3500</v>
      </c>
      <c r="CG81" s="3">
        <f t="shared" si="199"/>
        <v>3500</v>
      </c>
      <c r="CH81" s="3">
        <f t="shared" si="200"/>
        <v>3500</v>
      </c>
      <c r="CI81" s="3">
        <f t="shared" si="201"/>
        <v>3500</v>
      </c>
      <c r="CJ81" s="286"/>
      <c r="CK81" s="286"/>
      <c r="CL81" s="286"/>
    </row>
    <row r="82" spans="1:90">
      <c r="A82" s="2">
        <v>73</v>
      </c>
      <c r="B82" s="2" t="s">
        <v>48</v>
      </c>
      <c r="D82" s="3">
        <f>'Bill Frequency'!C71+'Contract &amp; Vol Adj'!C71</f>
        <v>3975</v>
      </c>
      <c r="E82" s="3">
        <f>'Bill Frequency'!D71+'Contract &amp; Vol Adj'!D71</f>
        <v>3975</v>
      </c>
      <c r="F82" s="3">
        <f>'Bill Frequency'!E71+'Contract &amp; Vol Adj'!E71</f>
        <v>3975</v>
      </c>
      <c r="G82" s="3">
        <f>'Bill Frequency'!F71+'Contract &amp; Vol Adj'!F71</f>
        <v>3975</v>
      </c>
      <c r="H82" s="3">
        <f>'Bill Frequency'!G71+'Contract &amp; Vol Adj'!G71</f>
        <v>3975</v>
      </c>
      <c r="I82" s="3">
        <f>'Bill Frequency'!H71+'Contract &amp; Vol Adj'!H71</f>
        <v>3975</v>
      </c>
      <c r="J82" s="3">
        <f>'Bill Frequency'!I71+'Contract &amp; Vol Adj'!I71</f>
        <v>3975</v>
      </c>
      <c r="K82" s="3">
        <f>'Bill Frequency'!J71+'Contract &amp; Vol Adj'!J71</f>
        <v>3975</v>
      </c>
      <c r="L82" s="3">
        <f>'Bill Frequency'!K71+'Contract &amp; Vol Adj'!K71</f>
        <v>3975</v>
      </c>
      <c r="M82" s="3">
        <f>'Bill Frequency'!L71+'Contract &amp; Vol Adj'!L71</f>
        <v>3975</v>
      </c>
      <c r="N82" s="3">
        <f>'Bill Frequency'!M71+'Contract &amp; Vol Adj'!M71</f>
        <v>3975</v>
      </c>
      <c r="O82" s="3">
        <f>'Bill Frequency'!N71+'Contract &amp; Vol Adj'!N71</f>
        <v>3975</v>
      </c>
      <c r="P82" s="3">
        <f t="shared" si="184"/>
        <v>3975</v>
      </c>
      <c r="Q82" s="3">
        <f t="shared" si="184"/>
        <v>3975</v>
      </c>
      <c r="R82" s="3">
        <f t="shared" si="184"/>
        <v>3975</v>
      </c>
      <c r="S82" s="3">
        <f t="shared" si="184"/>
        <v>3975</v>
      </c>
      <c r="T82" s="3">
        <f t="shared" si="184"/>
        <v>3975</v>
      </c>
      <c r="U82" s="3">
        <f t="shared" si="184"/>
        <v>3975</v>
      </c>
      <c r="V82" s="3">
        <f t="shared" si="184"/>
        <v>3975</v>
      </c>
      <c r="W82" s="3">
        <f t="shared" si="184"/>
        <v>3975</v>
      </c>
      <c r="X82" s="3">
        <f t="shared" si="184"/>
        <v>3975</v>
      </c>
      <c r="Y82" s="3">
        <f t="shared" si="184"/>
        <v>3975</v>
      </c>
      <c r="Z82" s="3">
        <f t="shared" si="185"/>
        <v>3975</v>
      </c>
      <c r="AA82" s="3">
        <f t="shared" si="185"/>
        <v>3975</v>
      </c>
      <c r="AB82" s="3">
        <f t="shared" si="185"/>
        <v>3975</v>
      </c>
      <c r="AC82" s="3">
        <f t="shared" si="185"/>
        <v>3975</v>
      </c>
      <c r="AD82" s="3">
        <f t="shared" si="185"/>
        <v>3975</v>
      </c>
      <c r="AE82" s="3">
        <f t="shared" si="185"/>
        <v>3975</v>
      </c>
      <c r="AF82" s="3">
        <f t="shared" si="185"/>
        <v>3975</v>
      </c>
      <c r="AG82" s="3">
        <f t="shared" si="185"/>
        <v>3975</v>
      </c>
      <c r="AH82" s="3">
        <f t="shared" si="185"/>
        <v>3975</v>
      </c>
      <c r="AI82" s="3">
        <f t="shared" si="185"/>
        <v>3975</v>
      </c>
      <c r="AJ82" s="3">
        <f t="shared" si="186"/>
        <v>3975</v>
      </c>
      <c r="AK82" s="3">
        <f t="shared" si="186"/>
        <v>3975</v>
      </c>
      <c r="AL82" s="3">
        <f t="shared" si="186"/>
        <v>3975</v>
      </c>
      <c r="AM82" s="3">
        <f t="shared" si="186"/>
        <v>3975</v>
      </c>
      <c r="AN82" s="3">
        <f t="shared" si="186"/>
        <v>3975</v>
      </c>
      <c r="AO82" s="3">
        <f t="shared" si="186"/>
        <v>3975</v>
      </c>
      <c r="AP82" s="3">
        <f t="shared" si="186"/>
        <v>3975</v>
      </c>
      <c r="AQ82" s="3">
        <f t="shared" si="186"/>
        <v>3975</v>
      </c>
      <c r="AR82" s="3">
        <f t="shared" si="186"/>
        <v>3975</v>
      </c>
      <c r="AS82" s="3">
        <f t="shared" si="186"/>
        <v>3975</v>
      </c>
      <c r="AT82" s="3">
        <f t="shared" si="187"/>
        <v>3975</v>
      </c>
      <c r="AU82" s="3">
        <f t="shared" si="187"/>
        <v>3975</v>
      </c>
      <c r="AV82" s="3">
        <f t="shared" si="187"/>
        <v>3975</v>
      </c>
      <c r="AW82" s="3">
        <f t="shared" si="187"/>
        <v>3975</v>
      </c>
      <c r="AX82" s="3">
        <f t="shared" si="187"/>
        <v>3975</v>
      </c>
      <c r="AY82" s="3">
        <f t="shared" si="187"/>
        <v>3975</v>
      </c>
      <c r="AZ82" s="3">
        <f t="shared" si="187"/>
        <v>3975</v>
      </c>
      <c r="BA82" s="3">
        <f t="shared" si="187"/>
        <v>3975</v>
      </c>
      <c r="BB82" s="3">
        <f t="shared" si="187"/>
        <v>3975</v>
      </c>
      <c r="BC82" s="3">
        <f t="shared" si="187"/>
        <v>3975</v>
      </c>
      <c r="BD82" s="3">
        <f t="shared" si="188"/>
        <v>3975</v>
      </c>
      <c r="BE82" s="3">
        <f t="shared" si="188"/>
        <v>3975</v>
      </c>
      <c r="BF82" s="3">
        <f t="shared" si="188"/>
        <v>3975</v>
      </c>
      <c r="BG82" s="3">
        <f t="shared" si="188"/>
        <v>3975</v>
      </c>
      <c r="BH82" s="3">
        <f t="shared" si="188"/>
        <v>3975</v>
      </c>
      <c r="BI82" s="3">
        <f t="shared" si="188"/>
        <v>3975</v>
      </c>
      <c r="BJ82" s="3">
        <f t="shared" si="188"/>
        <v>3975</v>
      </c>
      <c r="BK82" s="3">
        <f t="shared" si="188"/>
        <v>3975</v>
      </c>
      <c r="BL82" s="3">
        <f t="shared" si="188"/>
        <v>3975</v>
      </c>
      <c r="BM82" s="3">
        <f t="shared" si="188"/>
        <v>3975</v>
      </c>
      <c r="BN82" s="3">
        <f t="shared" si="188"/>
        <v>3975</v>
      </c>
      <c r="BO82" s="3">
        <f t="shared" si="188"/>
        <v>3975</v>
      </c>
      <c r="BP82" s="3">
        <f t="shared" si="188"/>
        <v>3975</v>
      </c>
      <c r="BQ82" s="3">
        <f t="shared" si="188"/>
        <v>3975</v>
      </c>
      <c r="BR82" s="3">
        <f t="shared" si="188"/>
        <v>3975</v>
      </c>
      <c r="BS82" s="3">
        <f t="shared" si="188"/>
        <v>3975</v>
      </c>
      <c r="BT82" s="3">
        <f t="shared" si="189"/>
        <v>3975</v>
      </c>
      <c r="BU82" s="3">
        <f t="shared" si="189"/>
        <v>3975</v>
      </c>
      <c r="BV82" s="3">
        <f t="shared" si="189"/>
        <v>3975</v>
      </c>
      <c r="BW82" s="3">
        <f t="shared" si="189"/>
        <v>3975</v>
      </c>
      <c r="BX82" s="3">
        <f t="shared" si="190"/>
        <v>3975</v>
      </c>
      <c r="BY82" s="3">
        <f t="shared" si="191"/>
        <v>3975</v>
      </c>
      <c r="BZ82" s="3">
        <f t="shared" si="192"/>
        <v>3975</v>
      </c>
      <c r="CA82" s="3">
        <f t="shared" si="193"/>
        <v>3975</v>
      </c>
      <c r="CB82" s="3">
        <f t="shared" si="194"/>
        <v>3975</v>
      </c>
      <c r="CC82" s="3">
        <f t="shared" si="195"/>
        <v>3975</v>
      </c>
      <c r="CD82" s="3">
        <f t="shared" si="196"/>
        <v>3975</v>
      </c>
      <c r="CE82" s="3">
        <f t="shared" si="197"/>
        <v>3975</v>
      </c>
      <c r="CF82" s="3">
        <f t="shared" si="198"/>
        <v>3975</v>
      </c>
      <c r="CG82" s="3">
        <f t="shared" si="199"/>
        <v>3975</v>
      </c>
      <c r="CH82" s="3">
        <f t="shared" si="200"/>
        <v>3975</v>
      </c>
      <c r="CI82" s="3">
        <f t="shared" si="201"/>
        <v>3975</v>
      </c>
      <c r="CJ82" s="286"/>
      <c r="CK82" s="286"/>
      <c r="CL82" s="286"/>
    </row>
    <row r="83" spans="1:90">
      <c r="A83" s="2">
        <v>74</v>
      </c>
      <c r="B83" s="2" t="s">
        <v>2</v>
      </c>
      <c r="D83" s="3">
        <f>'Bill Frequency'!C72+'Contract &amp; Vol Adj'!C72</f>
        <v>0</v>
      </c>
      <c r="E83" s="3">
        <f>'Bill Frequency'!D72+'Contract &amp; Vol Adj'!D72</f>
        <v>0</v>
      </c>
      <c r="F83" s="3">
        <f>'Bill Frequency'!E72+'Contract &amp; Vol Adj'!E72</f>
        <v>0</v>
      </c>
      <c r="G83" s="3">
        <f>'Bill Frequency'!F72+'Contract &amp; Vol Adj'!F72</f>
        <v>0</v>
      </c>
      <c r="H83" s="3">
        <f>'Bill Frequency'!G72+'Contract &amp; Vol Adj'!G72</f>
        <v>0</v>
      </c>
      <c r="I83" s="3">
        <f>'Bill Frequency'!H72+'Contract &amp; Vol Adj'!H72</f>
        <v>0</v>
      </c>
      <c r="J83" s="3">
        <f>'Bill Frequency'!I72+'Contract &amp; Vol Adj'!I72</f>
        <v>0</v>
      </c>
      <c r="K83" s="3">
        <f>'Bill Frequency'!J72+'Contract &amp; Vol Adj'!J72</f>
        <v>0</v>
      </c>
      <c r="L83" s="3">
        <f>'Bill Frequency'!K72+'Contract &amp; Vol Adj'!K72</f>
        <v>0</v>
      </c>
      <c r="M83" s="3">
        <f>'Bill Frequency'!L72+'Contract &amp; Vol Adj'!L72</f>
        <v>0</v>
      </c>
      <c r="N83" s="3">
        <f>'Bill Frequency'!M72+'Contract &amp; Vol Adj'!M72</f>
        <v>0</v>
      </c>
      <c r="O83" s="3">
        <f>'Bill Frequency'!N72+'Contract &amp; Vol Adj'!N72</f>
        <v>0</v>
      </c>
      <c r="P83" s="3">
        <f t="shared" si="184"/>
        <v>0</v>
      </c>
      <c r="Q83" s="3">
        <f t="shared" si="184"/>
        <v>0</v>
      </c>
      <c r="R83" s="3">
        <f t="shared" si="184"/>
        <v>0</v>
      </c>
      <c r="S83" s="3">
        <f t="shared" si="184"/>
        <v>0</v>
      </c>
      <c r="T83" s="3">
        <f t="shared" si="184"/>
        <v>0</v>
      </c>
      <c r="U83" s="3">
        <f t="shared" si="184"/>
        <v>0</v>
      </c>
      <c r="V83" s="3">
        <f t="shared" si="184"/>
        <v>0</v>
      </c>
      <c r="W83" s="3">
        <f t="shared" si="184"/>
        <v>0</v>
      </c>
      <c r="X83" s="3">
        <f t="shared" si="184"/>
        <v>0</v>
      </c>
      <c r="Y83" s="3">
        <f t="shared" si="184"/>
        <v>0</v>
      </c>
      <c r="Z83" s="3">
        <f t="shared" si="185"/>
        <v>0</v>
      </c>
      <c r="AA83" s="3">
        <f t="shared" si="185"/>
        <v>0</v>
      </c>
      <c r="AB83" s="3">
        <f t="shared" si="185"/>
        <v>0</v>
      </c>
      <c r="AC83" s="3">
        <f t="shared" si="185"/>
        <v>0</v>
      </c>
      <c r="AD83" s="3">
        <f t="shared" si="185"/>
        <v>0</v>
      </c>
      <c r="AE83" s="3">
        <f t="shared" si="185"/>
        <v>0</v>
      </c>
      <c r="AF83" s="3">
        <f t="shared" si="185"/>
        <v>0</v>
      </c>
      <c r="AG83" s="3">
        <f t="shared" si="185"/>
        <v>0</v>
      </c>
      <c r="AH83" s="3">
        <f t="shared" si="185"/>
        <v>0</v>
      </c>
      <c r="AI83" s="3">
        <f t="shared" si="185"/>
        <v>0</v>
      </c>
      <c r="AJ83" s="3">
        <f t="shared" si="186"/>
        <v>0</v>
      </c>
      <c r="AK83" s="3">
        <f t="shared" si="186"/>
        <v>0</v>
      </c>
      <c r="AL83" s="3">
        <f t="shared" si="186"/>
        <v>0</v>
      </c>
      <c r="AM83" s="3">
        <f t="shared" si="186"/>
        <v>0</v>
      </c>
      <c r="AN83" s="3">
        <f t="shared" si="186"/>
        <v>0</v>
      </c>
      <c r="AO83" s="3">
        <f t="shared" si="186"/>
        <v>0</v>
      </c>
      <c r="AP83" s="3">
        <f t="shared" si="186"/>
        <v>0</v>
      </c>
      <c r="AQ83" s="3">
        <f t="shared" si="186"/>
        <v>0</v>
      </c>
      <c r="AR83" s="3">
        <f t="shared" si="186"/>
        <v>0</v>
      </c>
      <c r="AS83" s="3">
        <f t="shared" si="186"/>
        <v>0</v>
      </c>
      <c r="AT83" s="3">
        <f t="shared" si="187"/>
        <v>0</v>
      </c>
      <c r="AU83" s="3">
        <f t="shared" si="187"/>
        <v>0</v>
      </c>
      <c r="AV83" s="3">
        <f t="shared" si="187"/>
        <v>0</v>
      </c>
      <c r="AW83" s="3">
        <f t="shared" si="187"/>
        <v>0</v>
      </c>
      <c r="AX83" s="3">
        <f t="shared" si="187"/>
        <v>0</v>
      </c>
      <c r="AY83" s="3">
        <f t="shared" si="187"/>
        <v>0</v>
      </c>
      <c r="AZ83" s="3">
        <f t="shared" si="187"/>
        <v>0</v>
      </c>
      <c r="BA83" s="3">
        <f t="shared" si="187"/>
        <v>0</v>
      </c>
      <c r="BB83" s="3">
        <f t="shared" si="187"/>
        <v>0</v>
      </c>
      <c r="BC83" s="3">
        <f t="shared" si="187"/>
        <v>0</v>
      </c>
      <c r="BD83" s="3">
        <f t="shared" si="188"/>
        <v>0</v>
      </c>
      <c r="BE83" s="3">
        <f t="shared" si="188"/>
        <v>0</v>
      </c>
      <c r="BF83" s="3">
        <f t="shared" si="188"/>
        <v>0</v>
      </c>
      <c r="BG83" s="3">
        <f t="shared" si="188"/>
        <v>0</v>
      </c>
      <c r="BH83" s="3">
        <f t="shared" si="188"/>
        <v>0</v>
      </c>
      <c r="BI83" s="3">
        <f t="shared" si="188"/>
        <v>0</v>
      </c>
      <c r="BJ83" s="3">
        <f t="shared" si="188"/>
        <v>0</v>
      </c>
      <c r="BK83" s="3">
        <f t="shared" si="188"/>
        <v>0</v>
      </c>
      <c r="BL83" s="3">
        <f t="shared" si="188"/>
        <v>0</v>
      </c>
      <c r="BM83" s="3">
        <f t="shared" si="188"/>
        <v>0</v>
      </c>
      <c r="BN83" s="3">
        <f t="shared" si="188"/>
        <v>0</v>
      </c>
      <c r="BO83" s="3">
        <f t="shared" si="188"/>
        <v>0</v>
      </c>
      <c r="BP83" s="3">
        <f t="shared" si="188"/>
        <v>0</v>
      </c>
      <c r="BQ83" s="3">
        <f t="shared" si="188"/>
        <v>0</v>
      </c>
      <c r="BR83" s="3">
        <f t="shared" si="188"/>
        <v>0</v>
      </c>
      <c r="BS83" s="3">
        <f t="shared" si="188"/>
        <v>0</v>
      </c>
      <c r="BT83" s="3">
        <f t="shared" si="189"/>
        <v>0</v>
      </c>
      <c r="BU83" s="3">
        <f t="shared" si="189"/>
        <v>0</v>
      </c>
      <c r="BV83" s="3">
        <f t="shared" si="189"/>
        <v>0</v>
      </c>
      <c r="BW83" s="3">
        <f t="shared" si="189"/>
        <v>0</v>
      </c>
      <c r="BX83" s="3">
        <f t="shared" si="190"/>
        <v>0</v>
      </c>
      <c r="BY83" s="3">
        <f t="shared" si="191"/>
        <v>0</v>
      </c>
      <c r="BZ83" s="3">
        <f t="shared" si="192"/>
        <v>0</v>
      </c>
      <c r="CA83" s="3">
        <f t="shared" si="193"/>
        <v>0</v>
      </c>
      <c r="CB83" s="3">
        <f t="shared" si="194"/>
        <v>0</v>
      </c>
      <c r="CC83" s="3">
        <f t="shared" si="195"/>
        <v>0</v>
      </c>
      <c r="CD83" s="3">
        <f t="shared" si="196"/>
        <v>0</v>
      </c>
      <c r="CE83" s="3">
        <f t="shared" si="197"/>
        <v>0</v>
      </c>
      <c r="CF83" s="3">
        <f t="shared" si="198"/>
        <v>0</v>
      </c>
      <c r="CG83" s="3">
        <f t="shared" si="199"/>
        <v>0</v>
      </c>
      <c r="CH83" s="3">
        <f t="shared" si="200"/>
        <v>0</v>
      </c>
      <c r="CI83" s="3">
        <f t="shared" si="201"/>
        <v>0</v>
      </c>
      <c r="CJ83" s="286"/>
      <c r="CK83" s="286"/>
      <c r="CL83" s="286"/>
    </row>
    <row r="84" spans="1:90">
      <c r="A84" s="2">
        <v>75</v>
      </c>
      <c r="B84" s="2" t="s">
        <v>39</v>
      </c>
      <c r="C84" s="13">
        <f>'Rate Design'!G34</f>
        <v>0.95569999999999999</v>
      </c>
      <c r="D84" s="6">
        <f>'Bill Frequency'!C73+'Contract &amp; Vol Adj'!C73</f>
        <v>399640.08999999991</v>
      </c>
      <c r="E84" s="6">
        <f>'Bill Frequency'!D73+'Contract &amp; Vol Adj'!D73</f>
        <v>444351.85199999996</v>
      </c>
      <c r="F84" s="6">
        <f>'Bill Frequency'!E73+'Contract &amp; Vol Adj'!E73</f>
        <v>465474.78000000009</v>
      </c>
      <c r="G84" s="6">
        <f>'Bill Frequency'!F73+'Contract &amp; Vol Adj'!F73</f>
        <v>465884.10000000003</v>
      </c>
      <c r="H84" s="6">
        <f>'Bill Frequency'!G73+'Contract &amp; Vol Adj'!G73</f>
        <v>488045.31699999992</v>
      </c>
      <c r="I84" s="6">
        <f>'Bill Frequency'!H73+'Contract &amp; Vol Adj'!H73</f>
        <v>447164.79100000003</v>
      </c>
      <c r="J84" s="6">
        <f>'Bill Frequency'!I73+'Contract &amp; Vol Adj'!I73</f>
        <v>436683.45099999994</v>
      </c>
      <c r="K84" s="6">
        <f>'Bill Frequency'!J73+'Contract &amp; Vol Adj'!J73</f>
        <v>426391.45600000001</v>
      </c>
      <c r="L84" s="6">
        <f>'Bill Frequency'!K73+'Contract &amp; Vol Adj'!K73</f>
        <v>425511.52199999994</v>
      </c>
      <c r="M84" s="6">
        <f>'Bill Frequency'!L73+'Contract &amp; Vol Adj'!L73</f>
        <v>417295.32500000007</v>
      </c>
      <c r="N84" s="6">
        <f>'Bill Frequency'!M73+'Contract &amp; Vol Adj'!M73</f>
        <v>401974.18699999986</v>
      </c>
      <c r="O84" s="6">
        <f>'Bill Frequency'!N73+'Contract &amp; Vol Adj'!N73</f>
        <v>388998.01500000001</v>
      </c>
      <c r="P84" s="6">
        <f t="shared" si="184"/>
        <v>399640.08999999991</v>
      </c>
      <c r="Q84" s="6">
        <f t="shared" si="184"/>
        <v>444351.85199999996</v>
      </c>
      <c r="R84" s="6">
        <f t="shared" si="184"/>
        <v>465474.78000000009</v>
      </c>
      <c r="S84" s="6">
        <f t="shared" si="184"/>
        <v>465884.10000000003</v>
      </c>
      <c r="T84" s="6">
        <f t="shared" si="184"/>
        <v>488045.31699999992</v>
      </c>
      <c r="U84" s="6">
        <f t="shared" si="184"/>
        <v>447164.79100000003</v>
      </c>
      <c r="V84" s="6">
        <f t="shared" si="184"/>
        <v>436683.45099999994</v>
      </c>
      <c r="W84" s="6">
        <f t="shared" si="184"/>
        <v>426391.45600000001</v>
      </c>
      <c r="X84" s="6">
        <f t="shared" si="184"/>
        <v>425511.52199999994</v>
      </c>
      <c r="Y84" s="6">
        <f t="shared" si="184"/>
        <v>417295.32500000007</v>
      </c>
      <c r="Z84" s="6">
        <f t="shared" si="185"/>
        <v>401974.18699999986</v>
      </c>
      <c r="AA84" s="6">
        <f t="shared" si="185"/>
        <v>388998.01500000001</v>
      </c>
      <c r="AB84" s="6">
        <f t="shared" si="185"/>
        <v>399640.08999999991</v>
      </c>
      <c r="AC84" s="6">
        <f t="shared" si="185"/>
        <v>444351.85199999996</v>
      </c>
      <c r="AD84" s="6">
        <f t="shared" si="185"/>
        <v>465474.78000000009</v>
      </c>
      <c r="AE84" s="6">
        <f t="shared" si="185"/>
        <v>465884.10000000003</v>
      </c>
      <c r="AF84" s="6">
        <f t="shared" si="185"/>
        <v>488045.31699999992</v>
      </c>
      <c r="AG84" s="6">
        <f t="shared" si="185"/>
        <v>447164.79100000003</v>
      </c>
      <c r="AH84" s="6">
        <f t="shared" si="185"/>
        <v>436683.45099999994</v>
      </c>
      <c r="AI84" s="6">
        <f t="shared" si="185"/>
        <v>426391.45600000001</v>
      </c>
      <c r="AJ84" s="6">
        <f t="shared" si="186"/>
        <v>425511.52199999994</v>
      </c>
      <c r="AK84" s="6">
        <f t="shared" si="186"/>
        <v>417295.32500000007</v>
      </c>
      <c r="AL84" s="6">
        <f t="shared" si="186"/>
        <v>401974.18699999986</v>
      </c>
      <c r="AM84" s="6">
        <f t="shared" si="186"/>
        <v>388998.01500000001</v>
      </c>
      <c r="AN84" s="6">
        <f t="shared" si="186"/>
        <v>399640.08999999991</v>
      </c>
      <c r="AO84" s="6">
        <f t="shared" si="186"/>
        <v>444351.85199999996</v>
      </c>
      <c r="AP84" s="6">
        <f t="shared" si="186"/>
        <v>465474.78000000009</v>
      </c>
      <c r="AQ84" s="6">
        <f t="shared" si="186"/>
        <v>465884.10000000003</v>
      </c>
      <c r="AR84" s="6">
        <f t="shared" si="186"/>
        <v>488045.31699999992</v>
      </c>
      <c r="AS84" s="6">
        <f t="shared" si="186"/>
        <v>447164.79100000003</v>
      </c>
      <c r="AT84" s="6">
        <f t="shared" si="187"/>
        <v>436683.45099999994</v>
      </c>
      <c r="AU84" s="6">
        <f t="shared" si="187"/>
        <v>426391.45600000001</v>
      </c>
      <c r="AV84" s="6">
        <f t="shared" si="187"/>
        <v>425511.52199999994</v>
      </c>
      <c r="AW84" s="6">
        <f t="shared" si="187"/>
        <v>417295.32500000007</v>
      </c>
      <c r="AX84" s="6">
        <f t="shared" si="187"/>
        <v>401974.18699999986</v>
      </c>
      <c r="AY84" s="6">
        <f t="shared" si="187"/>
        <v>388998.01500000001</v>
      </c>
      <c r="AZ84" s="6">
        <f t="shared" si="187"/>
        <v>399640.08999999991</v>
      </c>
      <c r="BA84" s="6">
        <f t="shared" si="187"/>
        <v>444351.85199999996</v>
      </c>
      <c r="BB84" s="6">
        <f t="shared" si="187"/>
        <v>465474.78000000009</v>
      </c>
      <c r="BC84" s="6">
        <f t="shared" si="187"/>
        <v>465884.10000000003</v>
      </c>
      <c r="BD84" s="6">
        <f t="shared" si="188"/>
        <v>488045.31699999992</v>
      </c>
      <c r="BE84" s="6">
        <f t="shared" si="188"/>
        <v>447164.79100000003</v>
      </c>
      <c r="BF84" s="6">
        <f t="shared" si="188"/>
        <v>436683.45099999994</v>
      </c>
      <c r="BG84" s="6">
        <f t="shared" si="188"/>
        <v>426391.45600000001</v>
      </c>
      <c r="BH84" s="6">
        <f t="shared" si="188"/>
        <v>425511.52199999994</v>
      </c>
      <c r="BI84" s="6">
        <f t="shared" si="188"/>
        <v>417295.32500000007</v>
      </c>
      <c r="BJ84" s="6">
        <f t="shared" si="188"/>
        <v>401974.18699999986</v>
      </c>
      <c r="BK84" s="6">
        <f t="shared" si="188"/>
        <v>388998.01500000001</v>
      </c>
      <c r="BL84" s="6">
        <f t="shared" si="188"/>
        <v>399640.08999999991</v>
      </c>
      <c r="BM84" s="6">
        <f t="shared" si="188"/>
        <v>444351.85199999996</v>
      </c>
      <c r="BN84" s="6">
        <f t="shared" si="188"/>
        <v>465474.78000000009</v>
      </c>
      <c r="BO84" s="6">
        <f t="shared" si="188"/>
        <v>465884.10000000003</v>
      </c>
      <c r="BP84" s="6">
        <f t="shared" si="188"/>
        <v>488045.31699999992</v>
      </c>
      <c r="BQ84" s="6">
        <f t="shared" si="188"/>
        <v>447164.79100000003</v>
      </c>
      <c r="BR84" s="6">
        <f t="shared" si="188"/>
        <v>436683.45099999994</v>
      </c>
      <c r="BS84" s="6">
        <f t="shared" si="188"/>
        <v>426391.45600000001</v>
      </c>
      <c r="BT84" s="6">
        <f t="shared" si="189"/>
        <v>425511.52199999994</v>
      </c>
      <c r="BU84" s="6">
        <f t="shared" si="189"/>
        <v>417295.32500000007</v>
      </c>
      <c r="BV84" s="6">
        <f t="shared" si="189"/>
        <v>401974.18699999986</v>
      </c>
      <c r="BW84" s="6">
        <f t="shared" si="189"/>
        <v>388998.01500000001</v>
      </c>
      <c r="BX84" s="6">
        <f t="shared" si="190"/>
        <v>399640.08999999991</v>
      </c>
      <c r="BY84" s="6">
        <f t="shared" si="191"/>
        <v>444351.85199999996</v>
      </c>
      <c r="BZ84" s="6">
        <f t="shared" si="192"/>
        <v>465474.78000000009</v>
      </c>
      <c r="CA84" s="6">
        <f t="shared" si="193"/>
        <v>465884.10000000003</v>
      </c>
      <c r="CB84" s="6">
        <f t="shared" si="194"/>
        <v>488045.31699999992</v>
      </c>
      <c r="CC84" s="6">
        <f t="shared" si="195"/>
        <v>447164.79100000003</v>
      </c>
      <c r="CD84" s="6">
        <f t="shared" si="196"/>
        <v>436683.45099999994</v>
      </c>
      <c r="CE84" s="6">
        <f t="shared" si="197"/>
        <v>426391.45600000001</v>
      </c>
      <c r="CF84" s="6">
        <f t="shared" si="198"/>
        <v>425511.52199999994</v>
      </c>
      <c r="CG84" s="6">
        <f t="shared" si="199"/>
        <v>417295.32500000007</v>
      </c>
      <c r="CH84" s="6">
        <f t="shared" si="200"/>
        <v>401974.18699999986</v>
      </c>
      <c r="CI84" s="6">
        <f t="shared" si="201"/>
        <v>388998.01500000001</v>
      </c>
      <c r="CJ84" s="287"/>
      <c r="CK84" s="287"/>
      <c r="CL84" s="287"/>
    </row>
    <row r="85" spans="1:90">
      <c r="A85" s="2">
        <v>76</v>
      </c>
      <c r="B85" s="2" t="s">
        <v>40</v>
      </c>
      <c r="C85" s="13">
        <f>'Rate Design'!G35</f>
        <v>0.78369999999999995</v>
      </c>
      <c r="D85" s="6">
        <f>'Bill Frequency'!C74+'Contract &amp; Vol Adj'!C74</f>
        <v>247659.10700000005</v>
      </c>
      <c r="E85" s="6">
        <f>'Bill Frequency'!D74+'Contract &amp; Vol Adj'!D74</f>
        <v>313000.67499999999</v>
      </c>
      <c r="F85" s="6">
        <f>'Bill Frequency'!E74+'Contract &amp; Vol Adj'!E74</f>
        <v>310632.62900000002</v>
      </c>
      <c r="G85" s="6">
        <f>'Bill Frequency'!F74+'Contract &amp; Vol Adj'!F74</f>
        <v>314147.96799999994</v>
      </c>
      <c r="H85" s="6">
        <f>'Bill Frequency'!G74+'Contract &amp; Vol Adj'!G74</f>
        <v>354311.09900000005</v>
      </c>
      <c r="I85" s="6">
        <f>'Bill Frequency'!H74+'Contract &amp; Vol Adj'!H74</f>
        <v>308383.99300000007</v>
      </c>
      <c r="J85" s="6">
        <f>'Bill Frequency'!I74+'Contract &amp; Vol Adj'!I74</f>
        <v>319776.386</v>
      </c>
      <c r="K85" s="6">
        <f>'Bill Frequency'!J74+'Contract &amp; Vol Adj'!J74</f>
        <v>277573.55499999993</v>
      </c>
      <c r="L85" s="6">
        <f>'Bill Frequency'!K74+'Contract &amp; Vol Adj'!K74</f>
        <v>270524.43799999997</v>
      </c>
      <c r="M85" s="6">
        <f>'Bill Frequency'!L74+'Contract &amp; Vol Adj'!L74</f>
        <v>272196.22100000002</v>
      </c>
      <c r="N85" s="6">
        <f>'Bill Frequency'!M74+'Contract &amp; Vol Adj'!M74</f>
        <v>245261.25299999994</v>
      </c>
      <c r="O85" s="6">
        <f>'Bill Frequency'!N74+'Contract &amp; Vol Adj'!N74</f>
        <v>173601.33800000002</v>
      </c>
      <c r="P85" s="6">
        <f t="shared" si="184"/>
        <v>247659.10700000005</v>
      </c>
      <c r="Q85" s="6">
        <f t="shared" si="184"/>
        <v>313000.67499999999</v>
      </c>
      <c r="R85" s="6">
        <f t="shared" si="184"/>
        <v>310632.62900000002</v>
      </c>
      <c r="S85" s="6">
        <f t="shared" si="184"/>
        <v>314147.96799999994</v>
      </c>
      <c r="T85" s="6">
        <f t="shared" si="184"/>
        <v>354311.09900000005</v>
      </c>
      <c r="U85" s="6">
        <f t="shared" si="184"/>
        <v>308383.99300000007</v>
      </c>
      <c r="V85" s="6">
        <f t="shared" si="184"/>
        <v>319776.386</v>
      </c>
      <c r="W85" s="6">
        <f t="shared" si="184"/>
        <v>277573.55499999993</v>
      </c>
      <c r="X85" s="6">
        <f t="shared" si="184"/>
        <v>270524.43799999997</v>
      </c>
      <c r="Y85" s="6">
        <f t="shared" si="184"/>
        <v>272196.22100000002</v>
      </c>
      <c r="Z85" s="6">
        <f t="shared" si="185"/>
        <v>245261.25299999994</v>
      </c>
      <c r="AA85" s="6">
        <f t="shared" si="185"/>
        <v>173601.33800000002</v>
      </c>
      <c r="AB85" s="6">
        <f t="shared" si="185"/>
        <v>247659.10700000005</v>
      </c>
      <c r="AC85" s="6">
        <f t="shared" si="185"/>
        <v>313000.67499999999</v>
      </c>
      <c r="AD85" s="6">
        <f t="shared" si="185"/>
        <v>310632.62900000002</v>
      </c>
      <c r="AE85" s="6">
        <f t="shared" si="185"/>
        <v>314147.96799999994</v>
      </c>
      <c r="AF85" s="6">
        <f t="shared" si="185"/>
        <v>354311.09900000005</v>
      </c>
      <c r="AG85" s="6">
        <f t="shared" si="185"/>
        <v>308383.99300000007</v>
      </c>
      <c r="AH85" s="6">
        <f t="shared" si="185"/>
        <v>319776.386</v>
      </c>
      <c r="AI85" s="6">
        <f t="shared" si="185"/>
        <v>277573.55499999993</v>
      </c>
      <c r="AJ85" s="6">
        <f t="shared" si="186"/>
        <v>270524.43799999997</v>
      </c>
      <c r="AK85" s="6">
        <f t="shared" si="186"/>
        <v>272196.22100000002</v>
      </c>
      <c r="AL85" s="6">
        <f t="shared" si="186"/>
        <v>245261.25299999994</v>
      </c>
      <c r="AM85" s="6">
        <f t="shared" si="186"/>
        <v>173601.33800000002</v>
      </c>
      <c r="AN85" s="6">
        <f t="shared" si="186"/>
        <v>247659.10700000005</v>
      </c>
      <c r="AO85" s="6">
        <f t="shared" si="186"/>
        <v>313000.67499999999</v>
      </c>
      <c r="AP85" s="6">
        <f t="shared" si="186"/>
        <v>310632.62900000002</v>
      </c>
      <c r="AQ85" s="6">
        <f t="shared" si="186"/>
        <v>314147.96799999994</v>
      </c>
      <c r="AR85" s="6">
        <f t="shared" si="186"/>
        <v>354311.09900000005</v>
      </c>
      <c r="AS85" s="6">
        <f t="shared" si="186"/>
        <v>308383.99300000007</v>
      </c>
      <c r="AT85" s="6">
        <f t="shared" si="187"/>
        <v>319776.386</v>
      </c>
      <c r="AU85" s="6">
        <f t="shared" si="187"/>
        <v>277573.55499999993</v>
      </c>
      <c r="AV85" s="6">
        <f t="shared" si="187"/>
        <v>270524.43799999997</v>
      </c>
      <c r="AW85" s="6">
        <f t="shared" si="187"/>
        <v>272196.22100000002</v>
      </c>
      <c r="AX85" s="6">
        <f t="shared" si="187"/>
        <v>245261.25299999994</v>
      </c>
      <c r="AY85" s="6">
        <f t="shared" si="187"/>
        <v>173601.33800000002</v>
      </c>
      <c r="AZ85" s="6">
        <f t="shared" si="187"/>
        <v>247659.10700000005</v>
      </c>
      <c r="BA85" s="6">
        <f t="shared" si="187"/>
        <v>313000.67499999999</v>
      </c>
      <c r="BB85" s="6">
        <f t="shared" si="187"/>
        <v>310632.62900000002</v>
      </c>
      <c r="BC85" s="6">
        <f t="shared" si="187"/>
        <v>314147.96799999994</v>
      </c>
      <c r="BD85" s="6">
        <f t="shared" si="188"/>
        <v>354311.09900000005</v>
      </c>
      <c r="BE85" s="6">
        <f t="shared" si="188"/>
        <v>308383.99300000007</v>
      </c>
      <c r="BF85" s="6">
        <f t="shared" si="188"/>
        <v>319776.386</v>
      </c>
      <c r="BG85" s="6">
        <f t="shared" si="188"/>
        <v>277573.55499999993</v>
      </c>
      <c r="BH85" s="6">
        <f t="shared" si="188"/>
        <v>270524.43799999997</v>
      </c>
      <c r="BI85" s="6">
        <f t="shared" si="188"/>
        <v>272196.22100000002</v>
      </c>
      <c r="BJ85" s="6">
        <f t="shared" si="188"/>
        <v>245261.25299999994</v>
      </c>
      <c r="BK85" s="6">
        <f t="shared" si="188"/>
        <v>173601.33800000002</v>
      </c>
      <c r="BL85" s="6">
        <f t="shared" si="188"/>
        <v>247659.10700000005</v>
      </c>
      <c r="BM85" s="6">
        <f t="shared" si="188"/>
        <v>313000.67499999999</v>
      </c>
      <c r="BN85" s="6">
        <f t="shared" si="188"/>
        <v>310632.62900000002</v>
      </c>
      <c r="BO85" s="6">
        <f t="shared" si="188"/>
        <v>314147.96799999994</v>
      </c>
      <c r="BP85" s="6">
        <f t="shared" si="188"/>
        <v>354311.09900000005</v>
      </c>
      <c r="BQ85" s="6">
        <f t="shared" si="188"/>
        <v>308383.99300000007</v>
      </c>
      <c r="BR85" s="6">
        <f t="shared" si="188"/>
        <v>319776.386</v>
      </c>
      <c r="BS85" s="6">
        <f t="shared" si="188"/>
        <v>277573.55499999993</v>
      </c>
      <c r="BT85" s="6">
        <f t="shared" si="189"/>
        <v>270524.43799999997</v>
      </c>
      <c r="BU85" s="6">
        <f t="shared" si="189"/>
        <v>272196.22100000002</v>
      </c>
      <c r="BV85" s="6">
        <f t="shared" si="189"/>
        <v>245261.25299999994</v>
      </c>
      <c r="BW85" s="6">
        <f t="shared" si="189"/>
        <v>173601.33800000002</v>
      </c>
      <c r="BX85" s="6">
        <f t="shared" si="190"/>
        <v>247659.10700000005</v>
      </c>
      <c r="BY85" s="6">
        <f t="shared" si="191"/>
        <v>313000.67499999999</v>
      </c>
      <c r="BZ85" s="6">
        <f t="shared" si="192"/>
        <v>310632.62900000002</v>
      </c>
      <c r="CA85" s="6">
        <f t="shared" si="193"/>
        <v>314147.96799999994</v>
      </c>
      <c r="CB85" s="6">
        <f t="shared" si="194"/>
        <v>354311.09900000005</v>
      </c>
      <c r="CC85" s="6">
        <f t="shared" si="195"/>
        <v>308383.99300000007</v>
      </c>
      <c r="CD85" s="6">
        <f t="shared" si="196"/>
        <v>319776.386</v>
      </c>
      <c r="CE85" s="6">
        <f t="shared" si="197"/>
        <v>277573.55499999993</v>
      </c>
      <c r="CF85" s="6">
        <f t="shared" si="198"/>
        <v>270524.43799999997</v>
      </c>
      <c r="CG85" s="6">
        <f t="shared" si="199"/>
        <v>272196.22100000002</v>
      </c>
      <c r="CH85" s="6">
        <f t="shared" si="200"/>
        <v>245261.25299999994</v>
      </c>
      <c r="CI85" s="6">
        <f t="shared" si="201"/>
        <v>173601.33800000002</v>
      </c>
      <c r="CJ85" s="287"/>
      <c r="CK85" s="287"/>
      <c r="CL85" s="287"/>
    </row>
    <row r="86" spans="1:90">
      <c r="A86" s="2">
        <v>77</v>
      </c>
      <c r="B86" s="21" t="s">
        <v>53</v>
      </c>
      <c r="C86" s="21"/>
      <c r="D86" s="20">
        <f t="shared" ref="D86:AI86" si="202">D84+D85</f>
        <v>647299.19699999993</v>
      </c>
      <c r="E86" s="20">
        <f t="shared" si="202"/>
        <v>757352.527</v>
      </c>
      <c r="F86" s="20">
        <f t="shared" si="202"/>
        <v>776107.4090000001</v>
      </c>
      <c r="G86" s="20">
        <f t="shared" si="202"/>
        <v>780032.06799999997</v>
      </c>
      <c r="H86" s="20">
        <f t="shared" si="202"/>
        <v>842356.41599999997</v>
      </c>
      <c r="I86" s="20">
        <f t="shared" si="202"/>
        <v>755548.7840000001</v>
      </c>
      <c r="J86" s="20">
        <f t="shared" si="202"/>
        <v>756459.83699999994</v>
      </c>
      <c r="K86" s="20">
        <f t="shared" si="202"/>
        <v>703965.01099999994</v>
      </c>
      <c r="L86" s="20">
        <f t="shared" si="202"/>
        <v>696035.96</v>
      </c>
      <c r="M86" s="20">
        <f t="shared" si="202"/>
        <v>689491.54600000009</v>
      </c>
      <c r="N86" s="20">
        <f t="shared" si="202"/>
        <v>647235.43999999983</v>
      </c>
      <c r="O86" s="20">
        <f t="shared" si="202"/>
        <v>562599.353</v>
      </c>
      <c r="P86" s="20">
        <f t="shared" si="202"/>
        <v>647299.19699999993</v>
      </c>
      <c r="Q86" s="20">
        <f t="shared" si="202"/>
        <v>757352.527</v>
      </c>
      <c r="R86" s="20">
        <f t="shared" si="202"/>
        <v>776107.4090000001</v>
      </c>
      <c r="S86" s="20">
        <f t="shared" si="202"/>
        <v>780032.06799999997</v>
      </c>
      <c r="T86" s="20">
        <f t="shared" si="202"/>
        <v>842356.41599999997</v>
      </c>
      <c r="U86" s="20">
        <f t="shared" si="202"/>
        <v>755548.7840000001</v>
      </c>
      <c r="V86" s="20">
        <f t="shared" si="202"/>
        <v>756459.83699999994</v>
      </c>
      <c r="W86" s="20">
        <f t="shared" si="202"/>
        <v>703965.01099999994</v>
      </c>
      <c r="X86" s="20">
        <f t="shared" si="202"/>
        <v>696035.96</v>
      </c>
      <c r="Y86" s="20">
        <f t="shared" si="202"/>
        <v>689491.54600000009</v>
      </c>
      <c r="Z86" s="20">
        <f t="shared" si="202"/>
        <v>647235.43999999983</v>
      </c>
      <c r="AA86" s="20">
        <f t="shared" si="202"/>
        <v>562599.353</v>
      </c>
      <c r="AB86" s="20">
        <f t="shared" si="202"/>
        <v>647299.19699999993</v>
      </c>
      <c r="AC86" s="20">
        <f t="shared" si="202"/>
        <v>757352.527</v>
      </c>
      <c r="AD86" s="20">
        <f t="shared" si="202"/>
        <v>776107.4090000001</v>
      </c>
      <c r="AE86" s="20">
        <f t="shared" si="202"/>
        <v>780032.06799999997</v>
      </c>
      <c r="AF86" s="20">
        <f t="shared" si="202"/>
        <v>842356.41599999997</v>
      </c>
      <c r="AG86" s="20">
        <f t="shared" si="202"/>
        <v>755548.7840000001</v>
      </c>
      <c r="AH86" s="20">
        <f t="shared" si="202"/>
        <v>756459.83699999994</v>
      </c>
      <c r="AI86" s="20">
        <f t="shared" si="202"/>
        <v>703965.01099999994</v>
      </c>
      <c r="AJ86" s="20">
        <f t="shared" ref="AJ86:BW86" si="203">AJ84+AJ85</f>
        <v>696035.96</v>
      </c>
      <c r="AK86" s="20">
        <f t="shared" si="203"/>
        <v>689491.54600000009</v>
      </c>
      <c r="AL86" s="20">
        <f t="shared" si="203"/>
        <v>647235.43999999983</v>
      </c>
      <c r="AM86" s="20">
        <f t="shared" si="203"/>
        <v>562599.353</v>
      </c>
      <c r="AN86" s="20">
        <f t="shared" si="203"/>
        <v>647299.19699999993</v>
      </c>
      <c r="AO86" s="20">
        <f t="shared" si="203"/>
        <v>757352.527</v>
      </c>
      <c r="AP86" s="20">
        <f t="shared" si="203"/>
        <v>776107.4090000001</v>
      </c>
      <c r="AQ86" s="20">
        <f t="shared" si="203"/>
        <v>780032.06799999997</v>
      </c>
      <c r="AR86" s="20">
        <f t="shared" si="203"/>
        <v>842356.41599999997</v>
      </c>
      <c r="AS86" s="20">
        <f t="shared" si="203"/>
        <v>755548.7840000001</v>
      </c>
      <c r="AT86" s="20">
        <f t="shared" si="203"/>
        <v>756459.83699999994</v>
      </c>
      <c r="AU86" s="20">
        <f t="shared" si="203"/>
        <v>703965.01099999994</v>
      </c>
      <c r="AV86" s="20">
        <f t="shared" si="203"/>
        <v>696035.96</v>
      </c>
      <c r="AW86" s="20">
        <f t="shared" si="203"/>
        <v>689491.54600000009</v>
      </c>
      <c r="AX86" s="20">
        <f t="shared" si="203"/>
        <v>647235.43999999983</v>
      </c>
      <c r="AY86" s="20">
        <f t="shared" si="203"/>
        <v>562599.353</v>
      </c>
      <c r="AZ86" s="20">
        <f t="shared" si="203"/>
        <v>647299.19699999993</v>
      </c>
      <c r="BA86" s="20">
        <f t="shared" si="203"/>
        <v>757352.527</v>
      </c>
      <c r="BB86" s="20">
        <f t="shared" si="203"/>
        <v>776107.4090000001</v>
      </c>
      <c r="BC86" s="20">
        <f t="shared" si="203"/>
        <v>780032.06799999997</v>
      </c>
      <c r="BD86" s="20">
        <f t="shared" si="203"/>
        <v>842356.41599999997</v>
      </c>
      <c r="BE86" s="20">
        <f t="shared" si="203"/>
        <v>755548.7840000001</v>
      </c>
      <c r="BF86" s="20">
        <f t="shared" si="203"/>
        <v>756459.83699999994</v>
      </c>
      <c r="BG86" s="20">
        <f t="shared" si="203"/>
        <v>703965.01099999994</v>
      </c>
      <c r="BH86" s="20">
        <f t="shared" si="203"/>
        <v>696035.96</v>
      </c>
      <c r="BI86" s="20">
        <f t="shared" si="203"/>
        <v>689491.54600000009</v>
      </c>
      <c r="BJ86" s="20">
        <f t="shared" si="203"/>
        <v>647235.43999999983</v>
      </c>
      <c r="BK86" s="20">
        <f t="shared" si="203"/>
        <v>562599.353</v>
      </c>
      <c r="BL86" s="20">
        <f t="shared" si="203"/>
        <v>647299.19699999993</v>
      </c>
      <c r="BM86" s="20">
        <f t="shared" si="203"/>
        <v>757352.527</v>
      </c>
      <c r="BN86" s="20">
        <f t="shared" si="203"/>
        <v>776107.4090000001</v>
      </c>
      <c r="BO86" s="20">
        <f t="shared" si="203"/>
        <v>780032.06799999997</v>
      </c>
      <c r="BP86" s="20">
        <f t="shared" si="203"/>
        <v>842356.41599999997</v>
      </c>
      <c r="BQ86" s="20">
        <f t="shared" si="203"/>
        <v>755548.7840000001</v>
      </c>
      <c r="BR86" s="20">
        <f t="shared" si="203"/>
        <v>756459.83699999994</v>
      </c>
      <c r="BS86" s="20">
        <f t="shared" si="203"/>
        <v>703965.01099999994</v>
      </c>
      <c r="BT86" s="20">
        <f t="shared" si="203"/>
        <v>696035.96</v>
      </c>
      <c r="BU86" s="20">
        <f t="shared" si="203"/>
        <v>689491.54600000009</v>
      </c>
      <c r="BV86" s="20">
        <f t="shared" si="203"/>
        <v>647235.43999999983</v>
      </c>
      <c r="BW86" s="20">
        <f t="shared" si="203"/>
        <v>562599.353</v>
      </c>
      <c r="BX86" s="20">
        <f t="shared" ref="BX86:CI86" si="204">BX84+BX85</f>
        <v>647299.19699999993</v>
      </c>
      <c r="BY86" s="20">
        <f t="shared" si="204"/>
        <v>757352.527</v>
      </c>
      <c r="BZ86" s="20">
        <f t="shared" si="204"/>
        <v>776107.4090000001</v>
      </c>
      <c r="CA86" s="20">
        <f t="shared" si="204"/>
        <v>780032.06799999997</v>
      </c>
      <c r="CB86" s="20">
        <f t="shared" si="204"/>
        <v>842356.41599999997</v>
      </c>
      <c r="CC86" s="20">
        <f t="shared" si="204"/>
        <v>755548.7840000001</v>
      </c>
      <c r="CD86" s="20">
        <f t="shared" si="204"/>
        <v>756459.83699999994</v>
      </c>
      <c r="CE86" s="20">
        <f t="shared" si="204"/>
        <v>703965.01099999994</v>
      </c>
      <c r="CF86" s="20">
        <f t="shared" si="204"/>
        <v>696035.96</v>
      </c>
      <c r="CG86" s="20">
        <f t="shared" si="204"/>
        <v>689491.54600000009</v>
      </c>
      <c r="CH86" s="20">
        <f t="shared" si="204"/>
        <v>647235.43999999983</v>
      </c>
      <c r="CI86" s="20">
        <f t="shared" si="204"/>
        <v>562599.353</v>
      </c>
      <c r="CJ86" s="288"/>
      <c r="CK86" s="288"/>
      <c r="CL86" s="288"/>
    </row>
    <row r="87" spans="1:90">
      <c r="A87" s="2">
        <v>78</v>
      </c>
      <c r="D87" s="17"/>
    </row>
    <row r="88" spans="1:90">
      <c r="A88" s="2">
        <v>79</v>
      </c>
      <c r="B88" s="23" t="s">
        <v>64</v>
      </c>
      <c r="D88" s="50">
        <f t="shared" ref="D88:AI88" si="205">D89*$C$89+D90+D91+D92+D94</f>
        <v>224506.49249999999</v>
      </c>
      <c r="E88" s="50">
        <f t="shared" si="205"/>
        <v>270434.41250000003</v>
      </c>
      <c r="F88" s="50">
        <f t="shared" si="205"/>
        <v>240831.22249999997</v>
      </c>
      <c r="G88" s="50">
        <f t="shared" si="205"/>
        <v>215894.06249999997</v>
      </c>
      <c r="H88" s="50">
        <f t="shared" si="205"/>
        <v>256668.56250000003</v>
      </c>
      <c r="I88" s="50">
        <f t="shared" si="205"/>
        <v>240852.4425</v>
      </c>
      <c r="J88" s="50">
        <f t="shared" si="205"/>
        <v>258975.85250000001</v>
      </c>
      <c r="K88" s="50">
        <f t="shared" si="205"/>
        <v>304933.69250000006</v>
      </c>
      <c r="L88" s="50">
        <f t="shared" si="205"/>
        <v>280519.34250000003</v>
      </c>
      <c r="M88" s="50">
        <f t="shared" si="205"/>
        <v>294856.53250000003</v>
      </c>
      <c r="N88" s="50">
        <f t="shared" si="205"/>
        <v>274115.96250000002</v>
      </c>
      <c r="O88" s="50">
        <f t="shared" si="205"/>
        <v>255651.05249999999</v>
      </c>
      <c r="P88" s="50">
        <f t="shared" si="205"/>
        <v>224506.49249999999</v>
      </c>
      <c r="Q88" s="50">
        <f t="shared" si="205"/>
        <v>270434.41250000003</v>
      </c>
      <c r="R88" s="50">
        <f t="shared" si="205"/>
        <v>240831.22249999997</v>
      </c>
      <c r="S88" s="50">
        <f t="shared" si="205"/>
        <v>215894.06249999997</v>
      </c>
      <c r="T88" s="50">
        <f t="shared" si="205"/>
        <v>256668.56250000003</v>
      </c>
      <c r="U88" s="50">
        <f t="shared" si="205"/>
        <v>240852.4425</v>
      </c>
      <c r="V88" s="50">
        <f t="shared" si="205"/>
        <v>258975.85250000001</v>
      </c>
      <c r="W88" s="50">
        <f t="shared" si="205"/>
        <v>304933.69250000006</v>
      </c>
      <c r="X88" s="50">
        <f t="shared" si="205"/>
        <v>280519.34250000003</v>
      </c>
      <c r="Y88" s="50">
        <f t="shared" si="205"/>
        <v>294856.53250000003</v>
      </c>
      <c r="Z88" s="50">
        <f t="shared" si="205"/>
        <v>274115.96250000002</v>
      </c>
      <c r="AA88" s="50">
        <f t="shared" si="205"/>
        <v>255651.05249999999</v>
      </c>
      <c r="AB88" s="50">
        <f t="shared" si="205"/>
        <v>224506.49249999999</v>
      </c>
      <c r="AC88" s="50">
        <f t="shared" si="205"/>
        <v>270434.41250000003</v>
      </c>
      <c r="AD88" s="50">
        <f t="shared" si="205"/>
        <v>240831.22249999997</v>
      </c>
      <c r="AE88" s="50">
        <f t="shared" si="205"/>
        <v>215894.06249999997</v>
      </c>
      <c r="AF88" s="50">
        <f t="shared" si="205"/>
        <v>256668.56250000003</v>
      </c>
      <c r="AG88" s="50">
        <f t="shared" si="205"/>
        <v>240852.4425</v>
      </c>
      <c r="AH88" s="50">
        <f t="shared" si="205"/>
        <v>258975.85250000001</v>
      </c>
      <c r="AI88" s="50">
        <f t="shared" si="205"/>
        <v>304933.69250000006</v>
      </c>
      <c r="AJ88" s="50">
        <f t="shared" ref="AJ88:BO88" si="206">AJ89*$C$89+AJ90+AJ91+AJ92+AJ94</f>
        <v>280519.34250000003</v>
      </c>
      <c r="AK88" s="50">
        <f t="shared" si="206"/>
        <v>294856.53250000003</v>
      </c>
      <c r="AL88" s="50">
        <f t="shared" si="206"/>
        <v>274115.96250000002</v>
      </c>
      <c r="AM88" s="50">
        <f t="shared" si="206"/>
        <v>255651.05249999999</v>
      </c>
      <c r="AN88" s="50">
        <f t="shared" si="206"/>
        <v>224506.49249999999</v>
      </c>
      <c r="AO88" s="50">
        <f t="shared" si="206"/>
        <v>270434.41250000003</v>
      </c>
      <c r="AP88" s="50">
        <f t="shared" si="206"/>
        <v>240831.22249999997</v>
      </c>
      <c r="AQ88" s="50">
        <f t="shared" si="206"/>
        <v>215894.06249999997</v>
      </c>
      <c r="AR88" s="50">
        <f t="shared" si="206"/>
        <v>256668.56250000003</v>
      </c>
      <c r="AS88" s="50">
        <f t="shared" si="206"/>
        <v>240852.4425</v>
      </c>
      <c r="AT88" s="50">
        <f t="shared" si="206"/>
        <v>258975.85250000001</v>
      </c>
      <c r="AU88" s="50">
        <f t="shared" si="206"/>
        <v>304933.69250000006</v>
      </c>
      <c r="AV88" s="50">
        <f t="shared" si="206"/>
        <v>280519.34250000003</v>
      </c>
      <c r="AW88" s="50">
        <f t="shared" si="206"/>
        <v>294856.53250000003</v>
      </c>
      <c r="AX88" s="50">
        <f t="shared" si="206"/>
        <v>274115.96250000002</v>
      </c>
      <c r="AY88" s="50">
        <f t="shared" si="206"/>
        <v>255651.05249999999</v>
      </c>
      <c r="AZ88" s="50">
        <f t="shared" si="206"/>
        <v>224506.49249999999</v>
      </c>
      <c r="BA88" s="50">
        <f t="shared" si="206"/>
        <v>270434.41250000003</v>
      </c>
      <c r="BB88" s="50">
        <f t="shared" si="206"/>
        <v>240831.22249999997</v>
      </c>
      <c r="BC88" s="50">
        <f t="shared" si="206"/>
        <v>215894.06249999997</v>
      </c>
      <c r="BD88" s="50">
        <f t="shared" si="206"/>
        <v>256668.56250000003</v>
      </c>
      <c r="BE88" s="50">
        <f t="shared" si="206"/>
        <v>240852.4425</v>
      </c>
      <c r="BF88" s="50">
        <f t="shared" si="206"/>
        <v>258975.85250000001</v>
      </c>
      <c r="BG88" s="50">
        <f t="shared" si="206"/>
        <v>304933.69250000006</v>
      </c>
      <c r="BH88" s="50">
        <f t="shared" si="206"/>
        <v>280519.34250000003</v>
      </c>
      <c r="BI88" s="50">
        <f t="shared" si="206"/>
        <v>294856.53250000003</v>
      </c>
      <c r="BJ88" s="50">
        <f t="shared" si="206"/>
        <v>274115.96250000002</v>
      </c>
      <c r="BK88" s="50">
        <f t="shared" si="206"/>
        <v>255651.05249999999</v>
      </c>
      <c r="BL88" s="50">
        <f t="shared" si="206"/>
        <v>224506.49249999999</v>
      </c>
      <c r="BM88" s="50">
        <f t="shared" si="206"/>
        <v>270434.41250000003</v>
      </c>
      <c r="BN88" s="50">
        <f t="shared" si="206"/>
        <v>240831.22249999997</v>
      </c>
      <c r="BO88" s="50">
        <f t="shared" si="206"/>
        <v>215894.06249999997</v>
      </c>
      <c r="BP88" s="50">
        <f t="shared" ref="BP88:CI88" si="207">BP89*$C$89+BP90+BP91+BP92+BP94</f>
        <v>256668.56250000003</v>
      </c>
      <c r="BQ88" s="50">
        <f t="shared" si="207"/>
        <v>240852.4425</v>
      </c>
      <c r="BR88" s="50">
        <f t="shared" si="207"/>
        <v>258975.85250000001</v>
      </c>
      <c r="BS88" s="50">
        <f t="shared" si="207"/>
        <v>304933.69250000006</v>
      </c>
      <c r="BT88" s="50">
        <f t="shared" si="207"/>
        <v>280519.34250000003</v>
      </c>
      <c r="BU88" s="50">
        <f t="shared" si="207"/>
        <v>294856.53250000003</v>
      </c>
      <c r="BV88" s="50">
        <f t="shared" si="207"/>
        <v>274115.96250000002</v>
      </c>
      <c r="BW88" s="50">
        <f t="shared" si="207"/>
        <v>255651.05249999999</v>
      </c>
      <c r="BX88" s="50">
        <f t="shared" si="207"/>
        <v>224506.49249999999</v>
      </c>
      <c r="BY88" s="50">
        <f t="shared" si="207"/>
        <v>270434.41250000003</v>
      </c>
      <c r="BZ88" s="50">
        <f t="shared" si="207"/>
        <v>240831.22249999997</v>
      </c>
      <c r="CA88" s="50">
        <f t="shared" si="207"/>
        <v>215894.06249999997</v>
      </c>
      <c r="CB88" s="50">
        <f t="shared" si="207"/>
        <v>256668.56250000003</v>
      </c>
      <c r="CC88" s="50">
        <f t="shared" si="207"/>
        <v>240852.4425</v>
      </c>
      <c r="CD88" s="50">
        <f t="shared" si="207"/>
        <v>258975.85250000001</v>
      </c>
      <c r="CE88" s="50">
        <f t="shared" si="207"/>
        <v>304933.69250000006</v>
      </c>
      <c r="CF88" s="50">
        <f t="shared" si="207"/>
        <v>280519.34250000003</v>
      </c>
      <c r="CG88" s="50">
        <f t="shared" si="207"/>
        <v>294856.53250000003</v>
      </c>
      <c r="CH88" s="50">
        <f t="shared" si="207"/>
        <v>274115.96250000002</v>
      </c>
      <c r="CI88" s="50">
        <f t="shared" si="207"/>
        <v>255651.05249999999</v>
      </c>
      <c r="CJ88" s="291"/>
      <c r="CK88" s="291"/>
      <c r="CL88" s="291"/>
    </row>
    <row r="89" spans="1:90">
      <c r="A89" s="2">
        <v>80</v>
      </c>
      <c r="B89" s="2" t="s">
        <v>61</v>
      </c>
      <c r="C89" s="535">
        <f>'Rate Design'!E16</f>
        <v>520</v>
      </c>
      <c r="D89" s="6">
        <f>'Bill Frequency'!C78+'Contract &amp; Vol Adj'!C78</f>
        <v>12.346153846153847</v>
      </c>
      <c r="E89" s="6">
        <f>'Bill Frequency'!D78+'Contract &amp; Vol Adj'!D78</f>
        <v>12.346153846153847</v>
      </c>
      <c r="F89" s="6">
        <f>'Bill Frequency'!E78+'Contract &amp; Vol Adj'!E78</f>
        <v>12.346153846153847</v>
      </c>
      <c r="G89" s="6">
        <f>'Bill Frequency'!F78+'Contract &amp; Vol Adj'!F78</f>
        <v>12.346153846153847</v>
      </c>
      <c r="H89" s="6">
        <f>'Bill Frequency'!G78+'Contract &amp; Vol Adj'!G78</f>
        <v>12.346153846153847</v>
      </c>
      <c r="I89" s="6">
        <f>'Bill Frequency'!H78+'Contract &amp; Vol Adj'!H78</f>
        <v>12.346153846153847</v>
      </c>
      <c r="J89" s="6">
        <f>'Bill Frequency'!I78+'Contract &amp; Vol Adj'!I78</f>
        <v>13.346153846153847</v>
      </c>
      <c r="K89" s="6">
        <f>'Bill Frequency'!J78+'Contract &amp; Vol Adj'!J78</f>
        <v>13.346153846153847</v>
      </c>
      <c r="L89" s="6">
        <f>'Bill Frequency'!K78+'Contract &amp; Vol Adj'!K78</f>
        <v>13.346153846153847</v>
      </c>
      <c r="M89" s="6">
        <f>'Bill Frequency'!L78+'Contract &amp; Vol Adj'!L78</f>
        <v>13.346153846153847</v>
      </c>
      <c r="N89" s="6">
        <f>'Bill Frequency'!M78+'Contract &amp; Vol Adj'!M78</f>
        <v>13.346153846153847</v>
      </c>
      <c r="O89" s="6">
        <f>'Bill Frequency'!N78+'Contract &amp; Vol Adj'!N78</f>
        <v>13.346153846153847</v>
      </c>
      <c r="P89" s="6">
        <f t="shared" ref="P89:Y94" si="208">D89</f>
        <v>12.346153846153847</v>
      </c>
      <c r="Q89" s="6">
        <f t="shared" si="208"/>
        <v>12.346153846153847</v>
      </c>
      <c r="R89" s="6">
        <f t="shared" si="208"/>
        <v>12.346153846153847</v>
      </c>
      <c r="S89" s="6">
        <f t="shared" si="208"/>
        <v>12.346153846153847</v>
      </c>
      <c r="T89" s="6">
        <f t="shared" si="208"/>
        <v>12.346153846153847</v>
      </c>
      <c r="U89" s="6">
        <f t="shared" si="208"/>
        <v>12.346153846153847</v>
      </c>
      <c r="V89" s="6">
        <f t="shared" si="208"/>
        <v>13.346153846153847</v>
      </c>
      <c r="W89" s="6">
        <f t="shared" si="208"/>
        <v>13.346153846153847</v>
      </c>
      <c r="X89" s="6">
        <f t="shared" si="208"/>
        <v>13.346153846153847</v>
      </c>
      <c r="Y89" s="6">
        <f t="shared" si="208"/>
        <v>13.346153846153847</v>
      </c>
      <c r="Z89" s="6">
        <f t="shared" ref="Z89:AI94" si="209">N89</f>
        <v>13.346153846153847</v>
      </c>
      <c r="AA89" s="6">
        <f t="shared" si="209"/>
        <v>13.346153846153847</v>
      </c>
      <c r="AB89" s="6">
        <f t="shared" si="209"/>
        <v>12.346153846153847</v>
      </c>
      <c r="AC89" s="6">
        <f t="shared" si="209"/>
        <v>12.346153846153847</v>
      </c>
      <c r="AD89" s="6">
        <f t="shared" si="209"/>
        <v>12.346153846153847</v>
      </c>
      <c r="AE89" s="6">
        <f t="shared" si="209"/>
        <v>12.346153846153847</v>
      </c>
      <c r="AF89" s="6">
        <f t="shared" si="209"/>
        <v>12.346153846153847</v>
      </c>
      <c r="AG89" s="6">
        <f t="shared" si="209"/>
        <v>12.346153846153847</v>
      </c>
      <c r="AH89" s="6">
        <f t="shared" si="209"/>
        <v>13.346153846153847</v>
      </c>
      <c r="AI89" s="6">
        <f t="shared" si="209"/>
        <v>13.346153846153847</v>
      </c>
      <c r="AJ89" s="6">
        <f t="shared" ref="AJ89:AS94" si="210">X89</f>
        <v>13.346153846153847</v>
      </c>
      <c r="AK89" s="6">
        <f t="shared" si="210"/>
        <v>13.346153846153847</v>
      </c>
      <c r="AL89" s="6">
        <f t="shared" si="210"/>
        <v>13.346153846153847</v>
      </c>
      <c r="AM89" s="6">
        <f t="shared" si="210"/>
        <v>13.346153846153847</v>
      </c>
      <c r="AN89" s="6">
        <f t="shared" si="210"/>
        <v>12.346153846153847</v>
      </c>
      <c r="AO89" s="6">
        <f t="shared" si="210"/>
        <v>12.346153846153847</v>
      </c>
      <c r="AP89" s="6">
        <f t="shared" si="210"/>
        <v>12.346153846153847</v>
      </c>
      <c r="AQ89" s="6">
        <f t="shared" si="210"/>
        <v>12.346153846153847</v>
      </c>
      <c r="AR89" s="6">
        <f t="shared" si="210"/>
        <v>12.346153846153847</v>
      </c>
      <c r="AS89" s="6">
        <f t="shared" si="210"/>
        <v>12.346153846153847</v>
      </c>
      <c r="AT89" s="6">
        <f t="shared" ref="AT89:BC94" si="211">AH89</f>
        <v>13.346153846153847</v>
      </c>
      <c r="AU89" s="6">
        <f t="shared" si="211"/>
        <v>13.346153846153847</v>
      </c>
      <c r="AV89" s="6">
        <f t="shared" si="211"/>
        <v>13.346153846153847</v>
      </c>
      <c r="AW89" s="6">
        <f t="shared" si="211"/>
        <v>13.346153846153847</v>
      </c>
      <c r="AX89" s="6">
        <f t="shared" si="211"/>
        <v>13.346153846153847</v>
      </c>
      <c r="AY89" s="6">
        <f t="shared" si="211"/>
        <v>13.346153846153847</v>
      </c>
      <c r="AZ89" s="6">
        <f t="shared" si="211"/>
        <v>12.346153846153847</v>
      </c>
      <c r="BA89" s="6">
        <f t="shared" si="211"/>
        <v>12.346153846153847</v>
      </c>
      <c r="BB89" s="6">
        <f t="shared" si="211"/>
        <v>12.346153846153847</v>
      </c>
      <c r="BC89" s="6">
        <f t="shared" si="211"/>
        <v>12.346153846153847</v>
      </c>
      <c r="BD89" s="6">
        <f t="shared" ref="BD89:BS94" si="212">AR89</f>
        <v>12.346153846153847</v>
      </c>
      <c r="BE89" s="6">
        <f t="shared" si="212"/>
        <v>12.346153846153847</v>
      </c>
      <c r="BF89" s="6">
        <f t="shared" si="212"/>
        <v>13.346153846153847</v>
      </c>
      <c r="BG89" s="6">
        <f t="shared" si="212"/>
        <v>13.346153846153847</v>
      </c>
      <c r="BH89" s="6">
        <f t="shared" si="212"/>
        <v>13.346153846153847</v>
      </c>
      <c r="BI89" s="6">
        <f t="shared" si="212"/>
        <v>13.346153846153847</v>
      </c>
      <c r="BJ89" s="6">
        <f t="shared" si="212"/>
        <v>13.346153846153847</v>
      </c>
      <c r="BK89" s="6">
        <f t="shared" si="212"/>
        <v>13.346153846153847</v>
      </c>
      <c r="BL89" s="6">
        <f t="shared" si="212"/>
        <v>12.346153846153847</v>
      </c>
      <c r="BM89" s="6">
        <f t="shared" si="212"/>
        <v>12.346153846153847</v>
      </c>
      <c r="BN89" s="6">
        <f t="shared" si="212"/>
        <v>12.346153846153847</v>
      </c>
      <c r="BO89" s="6">
        <f t="shared" si="212"/>
        <v>12.346153846153847</v>
      </c>
      <c r="BP89" s="6">
        <f t="shared" si="212"/>
        <v>12.346153846153847</v>
      </c>
      <c r="BQ89" s="6">
        <f t="shared" si="212"/>
        <v>12.346153846153847</v>
      </c>
      <c r="BR89" s="6">
        <f t="shared" si="212"/>
        <v>13.346153846153847</v>
      </c>
      <c r="BS89" s="6">
        <f t="shared" si="212"/>
        <v>13.346153846153847</v>
      </c>
      <c r="BT89" s="6">
        <f t="shared" ref="BT89:BW94" si="213">BH89</f>
        <v>13.346153846153847</v>
      </c>
      <c r="BU89" s="6">
        <f t="shared" si="213"/>
        <v>13.346153846153847</v>
      </c>
      <c r="BV89" s="6">
        <f t="shared" si="213"/>
        <v>13.346153846153847</v>
      </c>
      <c r="BW89" s="6">
        <f t="shared" si="213"/>
        <v>13.346153846153847</v>
      </c>
      <c r="BX89" s="6">
        <f t="shared" ref="BX89:BX94" si="214">BL89</f>
        <v>12.346153846153847</v>
      </c>
      <c r="BY89" s="6">
        <f t="shared" ref="BY89:BY94" si="215">BM89</f>
        <v>12.346153846153847</v>
      </c>
      <c r="BZ89" s="6">
        <f t="shared" ref="BZ89:BZ94" si="216">BN89</f>
        <v>12.346153846153847</v>
      </c>
      <c r="CA89" s="6">
        <f t="shared" ref="CA89:CA94" si="217">BO89</f>
        <v>12.346153846153847</v>
      </c>
      <c r="CB89" s="6">
        <f t="shared" ref="CB89:CB94" si="218">BP89</f>
        <v>12.346153846153847</v>
      </c>
      <c r="CC89" s="6">
        <f t="shared" ref="CC89:CC94" si="219">BQ89</f>
        <v>12.346153846153847</v>
      </c>
      <c r="CD89" s="6">
        <f t="shared" ref="CD89:CD94" si="220">BR89</f>
        <v>13.346153846153847</v>
      </c>
      <c r="CE89" s="6">
        <f t="shared" ref="CE89:CE94" si="221">BS89</f>
        <v>13.346153846153847</v>
      </c>
      <c r="CF89" s="6">
        <f t="shared" ref="CF89:CF94" si="222">BT89</f>
        <v>13.346153846153847</v>
      </c>
      <c r="CG89" s="6">
        <f t="shared" ref="CG89:CG94" si="223">BU89</f>
        <v>13.346153846153847</v>
      </c>
      <c r="CH89" s="6">
        <f t="shared" ref="CH89:CH94" si="224">BV89</f>
        <v>13.346153846153847</v>
      </c>
      <c r="CI89" s="6">
        <f t="shared" ref="CI89:CI94" si="225">BW89</f>
        <v>13.346153846153847</v>
      </c>
      <c r="CJ89" s="287"/>
      <c r="CK89" s="287"/>
      <c r="CL89" s="287"/>
    </row>
    <row r="90" spans="1:90">
      <c r="A90" s="2">
        <v>81</v>
      </c>
      <c r="B90" s="2" t="s">
        <v>1</v>
      </c>
      <c r="D90" s="3">
        <f>'Bill Frequency'!C79+'Contract &amp; Vol Adj'!C79</f>
        <v>600</v>
      </c>
      <c r="E90" s="3">
        <f>'Bill Frequency'!D79+'Contract &amp; Vol Adj'!D79</f>
        <v>600</v>
      </c>
      <c r="F90" s="3">
        <f>'Bill Frequency'!E79+'Contract &amp; Vol Adj'!E79</f>
        <v>600</v>
      </c>
      <c r="G90" s="3">
        <f>'Bill Frequency'!F79+'Contract &amp; Vol Adj'!F79</f>
        <v>600</v>
      </c>
      <c r="H90" s="3">
        <f>'Bill Frequency'!G79+'Contract &amp; Vol Adj'!G79</f>
        <v>600</v>
      </c>
      <c r="I90" s="3">
        <f>'Bill Frequency'!H79+'Contract &amp; Vol Adj'!H79</f>
        <v>600</v>
      </c>
      <c r="J90" s="3">
        <f>'Bill Frequency'!I79+'Contract &amp; Vol Adj'!I79</f>
        <v>650</v>
      </c>
      <c r="K90" s="3">
        <f>'Bill Frequency'!J79+'Contract &amp; Vol Adj'!J79</f>
        <v>650</v>
      </c>
      <c r="L90" s="3">
        <f>'Bill Frequency'!K79+'Contract &amp; Vol Adj'!K79</f>
        <v>650</v>
      </c>
      <c r="M90" s="3">
        <f>'Bill Frequency'!L79+'Contract &amp; Vol Adj'!L79</f>
        <v>650</v>
      </c>
      <c r="N90" s="3">
        <f>'Bill Frequency'!M79+'Contract &amp; Vol Adj'!M79</f>
        <v>650</v>
      </c>
      <c r="O90" s="3">
        <f>'Bill Frequency'!N79+'Contract &amp; Vol Adj'!N79</f>
        <v>650</v>
      </c>
      <c r="P90" s="3">
        <f t="shared" si="208"/>
        <v>600</v>
      </c>
      <c r="Q90" s="3">
        <f t="shared" si="208"/>
        <v>600</v>
      </c>
      <c r="R90" s="3">
        <f t="shared" si="208"/>
        <v>600</v>
      </c>
      <c r="S90" s="3">
        <f t="shared" si="208"/>
        <v>600</v>
      </c>
      <c r="T90" s="3">
        <f t="shared" si="208"/>
        <v>600</v>
      </c>
      <c r="U90" s="3">
        <f t="shared" si="208"/>
        <v>600</v>
      </c>
      <c r="V90" s="3">
        <f t="shared" si="208"/>
        <v>650</v>
      </c>
      <c r="W90" s="3">
        <f t="shared" si="208"/>
        <v>650</v>
      </c>
      <c r="X90" s="3">
        <f t="shared" si="208"/>
        <v>650</v>
      </c>
      <c r="Y90" s="3">
        <f t="shared" si="208"/>
        <v>650</v>
      </c>
      <c r="Z90" s="3">
        <f t="shared" si="209"/>
        <v>650</v>
      </c>
      <c r="AA90" s="3">
        <f t="shared" si="209"/>
        <v>650</v>
      </c>
      <c r="AB90" s="3">
        <f t="shared" si="209"/>
        <v>600</v>
      </c>
      <c r="AC90" s="3">
        <f t="shared" si="209"/>
        <v>600</v>
      </c>
      <c r="AD90" s="3">
        <f t="shared" si="209"/>
        <v>600</v>
      </c>
      <c r="AE90" s="3">
        <f t="shared" si="209"/>
        <v>600</v>
      </c>
      <c r="AF90" s="3">
        <f t="shared" si="209"/>
        <v>600</v>
      </c>
      <c r="AG90" s="3">
        <f t="shared" si="209"/>
        <v>600</v>
      </c>
      <c r="AH90" s="3">
        <f t="shared" si="209"/>
        <v>650</v>
      </c>
      <c r="AI90" s="3">
        <f t="shared" si="209"/>
        <v>650</v>
      </c>
      <c r="AJ90" s="3">
        <f t="shared" si="210"/>
        <v>650</v>
      </c>
      <c r="AK90" s="3">
        <f t="shared" si="210"/>
        <v>650</v>
      </c>
      <c r="AL90" s="3">
        <f t="shared" si="210"/>
        <v>650</v>
      </c>
      <c r="AM90" s="3">
        <f t="shared" si="210"/>
        <v>650</v>
      </c>
      <c r="AN90" s="3">
        <f t="shared" si="210"/>
        <v>600</v>
      </c>
      <c r="AO90" s="3">
        <f t="shared" si="210"/>
        <v>600</v>
      </c>
      <c r="AP90" s="3">
        <f t="shared" si="210"/>
        <v>600</v>
      </c>
      <c r="AQ90" s="3">
        <f t="shared" si="210"/>
        <v>600</v>
      </c>
      <c r="AR90" s="3">
        <f t="shared" si="210"/>
        <v>600</v>
      </c>
      <c r="AS90" s="3">
        <f t="shared" si="210"/>
        <v>600</v>
      </c>
      <c r="AT90" s="3">
        <f t="shared" si="211"/>
        <v>650</v>
      </c>
      <c r="AU90" s="3">
        <f t="shared" si="211"/>
        <v>650</v>
      </c>
      <c r="AV90" s="3">
        <f t="shared" si="211"/>
        <v>650</v>
      </c>
      <c r="AW90" s="3">
        <f t="shared" si="211"/>
        <v>650</v>
      </c>
      <c r="AX90" s="3">
        <f t="shared" si="211"/>
        <v>650</v>
      </c>
      <c r="AY90" s="3">
        <f t="shared" si="211"/>
        <v>650</v>
      </c>
      <c r="AZ90" s="3">
        <f t="shared" si="211"/>
        <v>600</v>
      </c>
      <c r="BA90" s="3">
        <f t="shared" si="211"/>
        <v>600</v>
      </c>
      <c r="BB90" s="3">
        <f t="shared" si="211"/>
        <v>600</v>
      </c>
      <c r="BC90" s="3">
        <f t="shared" si="211"/>
        <v>600</v>
      </c>
      <c r="BD90" s="3">
        <f t="shared" si="212"/>
        <v>600</v>
      </c>
      <c r="BE90" s="3">
        <f t="shared" si="212"/>
        <v>600</v>
      </c>
      <c r="BF90" s="3">
        <f t="shared" si="212"/>
        <v>650</v>
      </c>
      <c r="BG90" s="3">
        <f t="shared" si="212"/>
        <v>650</v>
      </c>
      <c r="BH90" s="3">
        <f t="shared" si="212"/>
        <v>650</v>
      </c>
      <c r="BI90" s="3">
        <f t="shared" si="212"/>
        <v>650</v>
      </c>
      <c r="BJ90" s="3">
        <f t="shared" si="212"/>
        <v>650</v>
      </c>
      <c r="BK90" s="3">
        <f t="shared" si="212"/>
        <v>650</v>
      </c>
      <c r="BL90" s="3">
        <f t="shared" si="212"/>
        <v>600</v>
      </c>
      <c r="BM90" s="3">
        <f t="shared" si="212"/>
        <v>600</v>
      </c>
      <c r="BN90" s="3">
        <f t="shared" si="212"/>
        <v>600</v>
      </c>
      <c r="BO90" s="3">
        <f t="shared" si="212"/>
        <v>600</v>
      </c>
      <c r="BP90" s="3">
        <f t="shared" si="212"/>
        <v>600</v>
      </c>
      <c r="BQ90" s="3">
        <f t="shared" si="212"/>
        <v>600</v>
      </c>
      <c r="BR90" s="3">
        <f t="shared" si="212"/>
        <v>650</v>
      </c>
      <c r="BS90" s="3">
        <f t="shared" si="212"/>
        <v>650</v>
      </c>
      <c r="BT90" s="3">
        <f t="shared" si="213"/>
        <v>650</v>
      </c>
      <c r="BU90" s="3">
        <f t="shared" si="213"/>
        <v>650</v>
      </c>
      <c r="BV90" s="3">
        <f t="shared" si="213"/>
        <v>650</v>
      </c>
      <c r="BW90" s="3">
        <f t="shared" si="213"/>
        <v>650</v>
      </c>
      <c r="BX90" s="3">
        <f t="shared" si="214"/>
        <v>600</v>
      </c>
      <c r="BY90" s="3">
        <f t="shared" si="215"/>
        <v>600</v>
      </c>
      <c r="BZ90" s="3">
        <f t="shared" si="216"/>
        <v>600</v>
      </c>
      <c r="CA90" s="3">
        <f t="shared" si="217"/>
        <v>600</v>
      </c>
      <c r="CB90" s="3">
        <f t="shared" si="218"/>
        <v>600</v>
      </c>
      <c r="CC90" s="3">
        <f t="shared" si="219"/>
        <v>600</v>
      </c>
      <c r="CD90" s="3">
        <f t="shared" si="220"/>
        <v>650</v>
      </c>
      <c r="CE90" s="3">
        <f t="shared" si="221"/>
        <v>650</v>
      </c>
      <c r="CF90" s="3">
        <f t="shared" si="222"/>
        <v>650</v>
      </c>
      <c r="CG90" s="3">
        <f t="shared" si="223"/>
        <v>650</v>
      </c>
      <c r="CH90" s="3">
        <f t="shared" si="224"/>
        <v>650</v>
      </c>
      <c r="CI90" s="3">
        <f t="shared" si="225"/>
        <v>650</v>
      </c>
      <c r="CJ90" s="286"/>
      <c r="CK90" s="286"/>
      <c r="CL90" s="286"/>
    </row>
    <row r="91" spans="1:90">
      <c r="A91" s="2">
        <v>82</v>
      </c>
      <c r="B91" s="2" t="s">
        <v>48</v>
      </c>
      <c r="D91" s="3">
        <f>'Bill Frequency'!C80+'Contract &amp; Vol Adj'!C80</f>
        <v>675</v>
      </c>
      <c r="E91" s="3">
        <f>'Bill Frequency'!D80+'Contract &amp; Vol Adj'!D80</f>
        <v>675</v>
      </c>
      <c r="F91" s="3">
        <f>'Bill Frequency'!E80+'Contract &amp; Vol Adj'!E80</f>
        <v>675</v>
      </c>
      <c r="G91" s="3">
        <f>'Bill Frequency'!F80+'Contract &amp; Vol Adj'!F80</f>
        <v>675</v>
      </c>
      <c r="H91" s="3">
        <f>'Bill Frequency'!G80+'Contract &amp; Vol Adj'!G80</f>
        <v>675</v>
      </c>
      <c r="I91" s="3">
        <f>'Bill Frequency'!H80+'Contract &amp; Vol Adj'!H80</f>
        <v>675</v>
      </c>
      <c r="J91" s="3">
        <f>'Bill Frequency'!I80+'Contract &amp; Vol Adj'!I80</f>
        <v>750</v>
      </c>
      <c r="K91" s="3">
        <f>'Bill Frequency'!J80+'Contract &amp; Vol Adj'!J80</f>
        <v>750</v>
      </c>
      <c r="L91" s="3">
        <f>'Bill Frequency'!K80+'Contract &amp; Vol Adj'!K80</f>
        <v>750</v>
      </c>
      <c r="M91" s="3">
        <f>'Bill Frequency'!L80+'Contract &amp; Vol Adj'!L80</f>
        <v>750</v>
      </c>
      <c r="N91" s="3">
        <f>'Bill Frequency'!M80+'Contract &amp; Vol Adj'!M80</f>
        <v>750</v>
      </c>
      <c r="O91" s="3">
        <f>'Bill Frequency'!N80+'Contract &amp; Vol Adj'!N80</f>
        <v>750</v>
      </c>
      <c r="P91" s="3">
        <f t="shared" si="208"/>
        <v>675</v>
      </c>
      <c r="Q91" s="3">
        <f t="shared" si="208"/>
        <v>675</v>
      </c>
      <c r="R91" s="3">
        <f t="shared" si="208"/>
        <v>675</v>
      </c>
      <c r="S91" s="3">
        <f t="shared" si="208"/>
        <v>675</v>
      </c>
      <c r="T91" s="3">
        <f t="shared" si="208"/>
        <v>675</v>
      </c>
      <c r="U91" s="3">
        <f t="shared" si="208"/>
        <v>675</v>
      </c>
      <c r="V91" s="3">
        <f t="shared" si="208"/>
        <v>750</v>
      </c>
      <c r="W91" s="3">
        <f t="shared" si="208"/>
        <v>750</v>
      </c>
      <c r="X91" s="3">
        <f t="shared" si="208"/>
        <v>750</v>
      </c>
      <c r="Y91" s="3">
        <f t="shared" si="208"/>
        <v>750</v>
      </c>
      <c r="Z91" s="3">
        <f t="shared" si="209"/>
        <v>750</v>
      </c>
      <c r="AA91" s="3">
        <f t="shared" si="209"/>
        <v>750</v>
      </c>
      <c r="AB91" s="3">
        <f t="shared" si="209"/>
        <v>675</v>
      </c>
      <c r="AC91" s="3">
        <f t="shared" si="209"/>
        <v>675</v>
      </c>
      <c r="AD91" s="3">
        <f t="shared" si="209"/>
        <v>675</v>
      </c>
      <c r="AE91" s="3">
        <f t="shared" si="209"/>
        <v>675</v>
      </c>
      <c r="AF91" s="3">
        <f t="shared" si="209"/>
        <v>675</v>
      </c>
      <c r="AG91" s="3">
        <f t="shared" si="209"/>
        <v>675</v>
      </c>
      <c r="AH91" s="3">
        <f t="shared" si="209"/>
        <v>750</v>
      </c>
      <c r="AI91" s="3">
        <f t="shared" si="209"/>
        <v>750</v>
      </c>
      <c r="AJ91" s="3">
        <f t="shared" si="210"/>
        <v>750</v>
      </c>
      <c r="AK91" s="3">
        <f t="shared" si="210"/>
        <v>750</v>
      </c>
      <c r="AL91" s="3">
        <f t="shared" si="210"/>
        <v>750</v>
      </c>
      <c r="AM91" s="3">
        <f t="shared" si="210"/>
        <v>750</v>
      </c>
      <c r="AN91" s="3">
        <f t="shared" si="210"/>
        <v>675</v>
      </c>
      <c r="AO91" s="3">
        <f t="shared" si="210"/>
        <v>675</v>
      </c>
      <c r="AP91" s="3">
        <f t="shared" si="210"/>
        <v>675</v>
      </c>
      <c r="AQ91" s="3">
        <f t="shared" si="210"/>
        <v>675</v>
      </c>
      <c r="AR91" s="3">
        <f t="shared" si="210"/>
        <v>675</v>
      </c>
      <c r="AS91" s="3">
        <f t="shared" si="210"/>
        <v>675</v>
      </c>
      <c r="AT91" s="3">
        <f t="shared" si="211"/>
        <v>750</v>
      </c>
      <c r="AU91" s="3">
        <f t="shared" si="211"/>
        <v>750</v>
      </c>
      <c r="AV91" s="3">
        <f t="shared" si="211"/>
        <v>750</v>
      </c>
      <c r="AW91" s="3">
        <f t="shared" si="211"/>
        <v>750</v>
      </c>
      <c r="AX91" s="3">
        <f t="shared" si="211"/>
        <v>750</v>
      </c>
      <c r="AY91" s="3">
        <f t="shared" si="211"/>
        <v>750</v>
      </c>
      <c r="AZ91" s="3">
        <f t="shared" si="211"/>
        <v>675</v>
      </c>
      <c r="BA91" s="3">
        <f t="shared" si="211"/>
        <v>675</v>
      </c>
      <c r="BB91" s="3">
        <f t="shared" si="211"/>
        <v>675</v>
      </c>
      <c r="BC91" s="3">
        <f t="shared" si="211"/>
        <v>675</v>
      </c>
      <c r="BD91" s="3">
        <f t="shared" si="212"/>
        <v>675</v>
      </c>
      <c r="BE91" s="3">
        <f t="shared" si="212"/>
        <v>675</v>
      </c>
      <c r="BF91" s="3">
        <f t="shared" si="212"/>
        <v>750</v>
      </c>
      <c r="BG91" s="3">
        <f t="shared" si="212"/>
        <v>750</v>
      </c>
      <c r="BH91" s="3">
        <f t="shared" si="212"/>
        <v>750</v>
      </c>
      <c r="BI91" s="3">
        <f t="shared" si="212"/>
        <v>750</v>
      </c>
      <c r="BJ91" s="3">
        <f t="shared" si="212"/>
        <v>750</v>
      </c>
      <c r="BK91" s="3">
        <f t="shared" si="212"/>
        <v>750</v>
      </c>
      <c r="BL91" s="3">
        <f t="shared" si="212"/>
        <v>675</v>
      </c>
      <c r="BM91" s="3">
        <f t="shared" si="212"/>
        <v>675</v>
      </c>
      <c r="BN91" s="3">
        <f t="shared" si="212"/>
        <v>675</v>
      </c>
      <c r="BO91" s="3">
        <f t="shared" si="212"/>
        <v>675</v>
      </c>
      <c r="BP91" s="3">
        <f t="shared" si="212"/>
        <v>675</v>
      </c>
      <c r="BQ91" s="3">
        <f t="shared" si="212"/>
        <v>675</v>
      </c>
      <c r="BR91" s="3">
        <f t="shared" si="212"/>
        <v>750</v>
      </c>
      <c r="BS91" s="3">
        <f t="shared" si="212"/>
        <v>750</v>
      </c>
      <c r="BT91" s="3">
        <f t="shared" si="213"/>
        <v>750</v>
      </c>
      <c r="BU91" s="3">
        <f t="shared" si="213"/>
        <v>750</v>
      </c>
      <c r="BV91" s="3">
        <f t="shared" si="213"/>
        <v>750</v>
      </c>
      <c r="BW91" s="3">
        <f t="shared" si="213"/>
        <v>750</v>
      </c>
      <c r="BX91" s="3">
        <f t="shared" si="214"/>
        <v>675</v>
      </c>
      <c r="BY91" s="3">
        <f t="shared" si="215"/>
        <v>675</v>
      </c>
      <c r="BZ91" s="3">
        <f t="shared" si="216"/>
        <v>675</v>
      </c>
      <c r="CA91" s="3">
        <f t="shared" si="217"/>
        <v>675</v>
      </c>
      <c r="CB91" s="3">
        <f t="shared" si="218"/>
        <v>675</v>
      </c>
      <c r="CC91" s="3">
        <f t="shared" si="219"/>
        <v>675</v>
      </c>
      <c r="CD91" s="3">
        <f t="shared" si="220"/>
        <v>750</v>
      </c>
      <c r="CE91" s="3">
        <f t="shared" si="221"/>
        <v>750</v>
      </c>
      <c r="CF91" s="3">
        <f t="shared" si="222"/>
        <v>750</v>
      </c>
      <c r="CG91" s="3">
        <f t="shared" si="223"/>
        <v>750</v>
      </c>
      <c r="CH91" s="3">
        <f t="shared" si="224"/>
        <v>750</v>
      </c>
      <c r="CI91" s="3">
        <f t="shared" si="225"/>
        <v>750</v>
      </c>
      <c r="CJ91" s="286"/>
      <c r="CK91" s="286"/>
      <c r="CL91" s="286"/>
    </row>
    <row r="92" spans="1:90">
      <c r="A92" s="2">
        <v>83</v>
      </c>
      <c r="B92" s="2" t="s">
        <v>2</v>
      </c>
      <c r="D92" s="3">
        <f>'Bill Frequency'!C81+'Contract &amp; Vol Adj'!C81</f>
        <v>0</v>
      </c>
      <c r="E92" s="3">
        <f>'Bill Frequency'!D81+'Contract &amp; Vol Adj'!D81</f>
        <v>0</v>
      </c>
      <c r="F92" s="3">
        <f>'Bill Frequency'!E81+'Contract &amp; Vol Adj'!E81</f>
        <v>0</v>
      </c>
      <c r="G92" s="3">
        <f>'Bill Frequency'!F81+'Contract &amp; Vol Adj'!F81</f>
        <v>0</v>
      </c>
      <c r="H92" s="3">
        <f>'Bill Frequency'!G81+'Contract &amp; Vol Adj'!G81</f>
        <v>0</v>
      </c>
      <c r="I92" s="3">
        <f>'Bill Frequency'!H81+'Contract &amp; Vol Adj'!H81</f>
        <v>0</v>
      </c>
      <c r="J92" s="3">
        <f>'Bill Frequency'!I81+'Contract &amp; Vol Adj'!I81</f>
        <v>0</v>
      </c>
      <c r="K92" s="3">
        <f>'Bill Frequency'!J81+'Contract &amp; Vol Adj'!J81</f>
        <v>0</v>
      </c>
      <c r="L92" s="3">
        <f>'Bill Frequency'!K81+'Contract &amp; Vol Adj'!K81</f>
        <v>0</v>
      </c>
      <c r="M92" s="3">
        <f>'Bill Frequency'!L81+'Contract &amp; Vol Adj'!L81</f>
        <v>0</v>
      </c>
      <c r="N92" s="3">
        <f>'Bill Frequency'!M81+'Contract &amp; Vol Adj'!M81</f>
        <v>0</v>
      </c>
      <c r="O92" s="3">
        <f>'Bill Frequency'!N81+'Contract &amp; Vol Adj'!N81</f>
        <v>0</v>
      </c>
      <c r="P92" s="3">
        <f t="shared" si="208"/>
        <v>0</v>
      </c>
      <c r="Q92" s="3">
        <f t="shared" si="208"/>
        <v>0</v>
      </c>
      <c r="R92" s="3">
        <f t="shared" si="208"/>
        <v>0</v>
      </c>
      <c r="S92" s="3">
        <f t="shared" si="208"/>
        <v>0</v>
      </c>
      <c r="T92" s="3">
        <f t="shared" si="208"/>
        <v>0</v>
      </c>
      <c r="U92" s="3">
        <f t="shared" si="208"/>
        <v>0</v>
      </c>
      <c r="V92" s="3">
        <f t="shared" si="208"/>
        <v>0</v>
      </c>
      <c r="W92" s="3">
        <f t="shared" si="208"/>
        <v>0</v>
      </c>
      <c r="X92" s="3">
        <f t="shared" si="208"/>
        <v>0</v>
      </c>
      <c r="Y92" s="3">
        <f t="shared" si="208"/>
        <v>0</v>
      </c>
      <c r="Z92" s="3">
        <f t="shared" si="209"/>
        <v>0</v>
      </c>
      <c r="AA92" s="3">
        <f t="shared" si="209"/>
        <v>0</v>
      </c>
      <c r="AB92" s="3">
        <f t="shared" si="209"/>
        <v>0</v>
      </c>
      <c r="AC92" s="3">
        <f t="shared" si="209"/>
        <v>0</v>
      </c>
      <c r="AD92" s="3">
        <f t="shared" si="209"/>
        <v>0</v>
      </c>
      <c r="AE92" s="3">
        <f t="shared" si="209"/>
        <v>0</v>
      </c>
      <c r="AF92" s="3">
        <f t="shared" si="209"/>
        <v>0</v>
      </c>
      <c r="AG92" s="3">
        <f t="shared" si="209"/>
        <v>0</v>
      </c>
      <c r="AH92" s="3">
        <f t="shared" si="209"/>
        <v>0</v>
      </c>
      <c r="AI92" s="3">
        <f t="shared" si="209"/>
        <v>0</v>
      </c>
      <c r="AJ92" s="3">
        <f t="shared" si="210"/>
        <v>0</v>
      </c>
      <c r="AK92" s="3">
        <f t="shared" si="210"/>
        <v>0</v>
      </c>
      <c r="AL92" s="3">
        <f t="shared" si="210"/>
        <v>0</v>
      </c>
      <c r="AM92" s="3">
        <f t="shared" si="210"/>
        <v>0</v>
      </c>
      <c r="AN92" s="3">
        <f t="shared" si="210"/>
        <v>0</v>
      </c>
      <c r="AO92" s="3">
        <f t="shared" si="210"/>
        <v>0</v>
      </c>
      <c r="AP92" s="3">
        <f t="shared" si="210"/>
        <v>0</v>
      </c>
      <c r="AQ92" s="3">
        <f t="shared" si="210"/>
        <v>0</v>
      </c>
      <c r="AR92" s="3">
        <f t="shared" si="210"/>
        <v>0</v>
      </c>
      <c r="AS92" s="3">
        <f t="shared" si="210"/>
        <v>0</v>
      </c>
      <c r="AT92" s="3">
        <f t="shared" si="211"/>
        <v>0</v>
      </c>
      <c r="AU92" s="3">
        <f t="shared" si="211"/>
        <v>0</v>
      </c>
      <c r="AV92" s="3">
        <f t="shared" si="211"/>
        <v>0</v>
      </c>
      <c r="AW92" s="3">
        <f t="shared" si="211"/>
        <v>0</v>
      </c>
      <c r="AX92" s="3">
        <f t="shared" si="211"/>
        <v>0</v>
      </c>
      <c r="AY92" s="3">
        <f t="shared" si="211"/>
        <v>0</v>
      </c>
      <c r="AZ92" s="3">
        <f t="shared" si="211"/>
        <v>0</v>
      </c>
      <c r="BA92" s="3">
        <f t="shared" si="211"/>
        <v>0</v>
      </c>
      <c r="BB92" s="3">
        <f t="shared" si="211"/>
        <v>0</v>
      </c>
      <c r="BC92" s="3">
        <f t="shared" si="211"/>
        <v>0</v>
      </c>
      <c r="BD92" s="3">
        <f t="shared" si="212"/>
        <v>0</v>
      </c>
      <c r="BE92" s="3">
        <f t="shared" si="212"/>
        <v>0</v>
      </c>
      <c r="BF92" s="3">
        <f t="shared" si="212"/>
        <v>0</v>
      </c>
      <c r="BG92" s="3">
        <f t="shared" si="212"/>
        <v>0</v>
      </c>
      <c r="BH92" s="3">
        <f t="shared" si="212"/>
        <v>0</v>
      </c>
      <c r="BI92" s="3">
        <f t="shared" si="212"/>
        <v>0</v>
      </c>
      <c r="BJ92" s="3">
        <f t="shared" si="212"/>
        <v>0</v>
      </c>
      <c r="BK92" s="3">
        <f t="shared" si="212"/>
        <v>0</v>
      </c>
      <c r="BL92" s="3">
        <f t="shared" si="212"/>
        <v>0</v>
      </c>
      <c r="BM92" s="3">
        <f t="shared" si="212"/>
        <v>0</v>
      </c>
      <c r="BN92" s="3">
        <f t="shared" si="212"/>
        <v>0</v>
      </c>
      <c r="BO92" s="3">
        <f t="shared" si="212"/>
        <v>0</v>
      </c>
      <c r="BP92" s="3">
        <f t="shared" si="212"/>
        <v>0</v>
      </c>
      <c r="BQ92" s="3">
        <f t="shared" si="212"/>
        <v>0</v>
      </c>
      <c r="BR92" s="3">
        <f t="shared" si="212"/>
        <v>0</v>
      </c>
      <c r="BS92" s="3">
        <f t="shared" si="212"/>
        <v>0</v>
      </c>
      <c r="BT92" s="3">
        <f t="shared" si="213"/>
        <v>0</v>
      </c>
      <c r="BU92" s="3">
        <f t="shared" si="213"/>
        <v>0</v>
      </c>
      <c r="BV92" s="3">
        <f t="shared" si="213"/>
        <v>0</v>
      </c>
      <c r="BW92" s="3">
        <f t="shared" si="213"/>
        <v>0</v>
      </c>
      <c r="BX92" s="3">
        <f t="shared" si="214"/>
        <v>0</v>
      </c>
      <c r="BY92" s="3">
        <f t="shared" si="215"/>
        <v>0</v>
      </c>
      <c r="BZ92" s="3">
        <f t="shared" si="216"/>
        <v>0</v>
      </c>
      <c r="CA92" s="3">
        <f t="shared" si="217"/>
        <v>0</v>
      </c>
      <c r="CB92" s="3">
        <f t="shared" si="218"/>
        <v>0</v>
      </c>
      <c r="CC92" s="3">
        <f t="shared" si="219"/>
        <v>0</v>
      </c>
      <c r="CD92" s="3">
        <f t="shared" si="220"/>
        <v>0</v>
      </c>
      <c r="CE92" s="3">
        <f t="shared" si="221"/>
        <v>0</v>
      </c>
      <c r="CF92" s="3">
        <f t="shared" si="222"/>
        <v>0</v>
      </c>
      <c r="CG92" s="3">
        <f t="shared" si="223"/>
        <v>0</v>
      </c>
      <c r="CH92" s="3">
        <f t="shared" si="224"/>
        <v>0</v>
      </c>
      <c r="CI92" s="3">
        <f t="shared" si="225"/>
        <v>0</v>
      </c>
      <c r="CJ92" s="286"/>
      <c r="CK92" s="286"/>
      <c r="CL92" s="286"/>
    </row>
    <row r="93" spans="1:90">
      <c r="A93" s="2">
        <v>84</v>
      </c>
      <c r="B93" s="2" t="s">
        <v>65</v>
      </c>
      <c r="C93" s="37" t="s">
        <v>47</v>
      </c>
      <c r="D93" s="6">
        <f>'Bill Frequency'!C82+'Contract &amp; Vol Adj'!C82</f>
        <v>1095711.6499999999</v>
      </c>
      <c r="E93" s="6">
        <f>'Bill Frequency'!D82+'Contract &amp; Vol Adj'!D82</f>
        <v>1171325.5090000001</v>
      </c>
      <c r="F93" s="6">
        <f>'Bill Frequency'!E82+'Contract &amp; Vol Adj'!E82</f>
        <v>1223327.2750000001</v>
      </c>
      <c r="G93" s="6">
        <f>'Bill Frequency'!F82+'Contract &amp; Vol Adj'!F82</f>
        <v>1296950.4989999998</v>
      </c>
      <c r="H93" s="6">
        <f>'Bill Frequency'!G82+'Contract &amp; Vol Adj'!G82</f>
        <v>1535323.86</v>
      </c>
      <c r="I93" s="6">
        <f>'Bill Frequency'!H82+'Contract &amp; Vol Adj'!H82</f>
        <v>1391759.6110000003</v>
      </c>
      <c r="J93" s="6">
        <f>'Bill Frequency'!I82+'Contract &amp; Vol Adj'!I82</f>
        <v>1467400.6270000001</v>
      </c>
      <c r="K93" s="6">
        <f>'Bill Frequency'!J82+'Contract &amp; Vol Adj'!J82</f>
        <v>1320463.8700000003</v>
      </c>
      <c r="L93" s="6">
        <f>'Bill Frequency'!K82+'Contract &amp; Vol Adj'!K82</f>
        <v>1275922.6930000002</v>
      </c>
      <c r="M93" s="6">
        <f>'Bill Frequency'!L82+'Contract &amp; Vol Adj'!L82</f>
        <v>1174024.8120000002</v>
      </c>
      <c r="N93" s="6">
        <f>'Bill Frequency'!M82+'Contract &amp; Vol Adj'!M82</f>
        <v>1325397.4870000002</v>
      </c>
      <c r="O93" s="6">
        <f>'Bill Frequency'!N82+'Contract &amp; Vol Adj'!N82</f>
        <v>1227574.175</v>
      </c>
      <c r="P93" s="6">
        <f t="shared" si="208"/>
        <v>1095711.6499999999</v>
      </c>
      <c r="Q93" s="6">
        <f t="shared" si="208"/>
        <v>1171325.5090000001</v>
      </c>
      <c r="R93" s="6">
        <f t="shared" si="208"/>
        <v>1223327.2750000001</v>
      </c>
      <c r="S93" s="6">
        <f t="shared" si="208"/>
        <v>1296950.4989999998</v>
      </c>
      <c r="T93" s="6">
        <f t="shared" si="208"/>
        <v>1535323.86</v>
      </c>
      <c r="U93" s="6">
        <f t="shared" si="208"/>
        <v>1391759.6110000003</v>
      </c>
      <c r="V93" s="6">
        <f t="shared" si="208"/>
        <v>1467400.6270000001</v>
      </c>
      <c r="W93" s="6">
        <f t="shared" si="208"/>
        <v>1320463.8700000003</v>
      </c>
      <c r="X93" s="6">
        <f t="shared" si="208"/>
        <v>1275922.6930000002</v>
      </c>
      <c r="Y93" s="6">
        <f t="shared" si="208"/>
        <v>1174024.8120000002</v>
      </c>
      <c r="Z93" s="6">
        <f t="shared" si="209"/>
        <v>1325397.4870000002</v>
      </c>
      <c r="AA93" s="6">
        <f t="shared" si="209"/>
        <v>1227574.175</v>
      </c>
      <c r="AB93" s="6">
        <f t="shared" si="209"/>
        <v>1095711.6499999999</v>
      </c>
      <c r="AC93" s="6">
        <f t="shared" si="209"/>
        <v>1171325.5090000001</v>
      </c>
      <c r="AD93" s="6">
        <f t="shared" si="209"/>
        <v>1223327.2750000001</v>
      </c>
      <c r="AE93" s="6">
        <f t="shared" si="209"/>
        <v>1296950.4989999998</v>
      </c>
      <c r="AF93" s="6">
        <f t="shared" si="209"/>
        <v>1535323.86</v>
      </c>
      <c r="AG93" s="6">
        <f t="shared" si="209"/>
        <v>1391759.6110000003</v>
      </c>
      <c r="AH93" s="6">
        <f t="shared" si="209"/>
        <v>1467400.6270000001</v>
      </c>
      <c r="AI93" s="6">
        <f t="shared" si="209"/>
        <v>1320463.8700000003</v>
      </c>
      <c r="AJ93" s="6">
        <f t="shared" si="210"/>
        <v>1275922.6930000002</v>
      </c>
      <c r="AK93" s="6">
        <f t="shared" si="210"/>
        <v>1174024.8120000002</v>
      </c>
      <c r="AL93" s="6">
        <f t="shared" si="210"/>
        <v>1325397.4870000002</v>
      </c>
      <c r="AM93" s="6">
        <f t="shared" si="210"/>
        <v>1227574.175</v>
      </c>
      <c r="AN93" s="6">
        <f t="shared" si="210"/>
        <v>1095711.6499999999</v>
      </c>
      <c r="AO93" s="6">
        <f t="shared" si="210"/>
        <v>1171325.5090000001</v>
      </c>
      <c r="AP93" s="6">
        <f t="shared" si="210"/>
        <v>1223327.2750000001</v>
      </c>
      <c r="AQ93" s="6">
        <f t="shared" si="210"/>
        <v>1296950.4989999998</v>
      </c>
      <c r="AR93" s="6">
        <f t="shared" si="210"/>
        <v>1535323.86</v>
      </c>
      <c r="AS93" s="6">
        <f t="shared" si="210"/>
        <v>1391759.6110000003</v>
      </c>
      <c r="AT93" s="6">
        <f t="shared" si="211"/>
        <v>1467400.6270000001</v>
      </c>
      <c r="AU93" s="6">
        <f t="shared" si="211"/>
        <v>1320463.8700000003</v>
      </c>
      <c r="AV93" s="6">
        <f t="shared" si="211"/>
        <v>1275922.6930000002</v>
      </c>
      <c r="AW93" s="6">
        <f t="shared" si="211"/>
        <v>1174024.8120000002</v>
      </c>
      <c r="AX93" s="6">
        <f t="shared" si="211"/>
        <v>1325397.4870000002</v>
      </c>
      <c r="AY93" s="6">
        <f t="shared" si="211"/>
        <v>1227574.175</v>
      </c>
      <c r="AZ93" s="6">
        <f t="shared" si="211"/>
        <v>1095711.6499999999</v>
      </c>
      <c r="BA93" s="6">
        <f t="shared" si="211"/>
        <v>1171325.5090000001</v>
      </c>
      <c r="BB93" s="6">
        <f t="shared" si="211"/>
        <v>1223327.2750000001</v>
      </c>
      <c r="BC93" s="6">
        <f t="shared" si="211"/>
        <v>1296950.4989999998</v>
      </c>
      <c r="BD93" s="6">
        <f t="shared" si="212"/>
        <v>1535323.86</v>
      </c>
      <c r="BE93" s="6">
        <f t="shared" si="212"/>
        <v>1391759.6110000003</v>
      </c>
      <c r="BF93" s="6">
        <f t="shared" si="212"/>
        <v>1467400.6270000001</v>
      </c>
      <c r="BG93" s="6">
        <f t="shared" si="212"/>
        <v>1320463.8700000003</v>
      </c>
      <c r="BH93" s="6">
        <f t="shared" si="212"/>
        <v>1275922.6930000002</v>
      </c>
      <c r="BI93" s="6">
        <f t="shared" si="212"/>
        <v>1174024.8120000002</v>
      </c>
      <c r="BJ93" s="6">
        <f t="shared" si="212"/>
        <v>1325397.4870000002</v>
      </c>
      <c r="BK93" s="6">
        <f t="shared" si="212"/>
        <v>1227574.175</v>
      </c>
      <c r="BL93" s="6">
        <f t="shared" si="212"/>
        <v>1095711.6499999999</v>
      </c>
      <c r="BM93" s="6">
        <f t="shared" si="212"/>
        <v>1171325.5090000001</v>
      </c>
      <c r="BN93" s="6">
        <f t="shared" si="212"/>
        <v>1223327.2750000001</v>
      </c>
      <c r="BO93" s="6">
        <f t="shared" si="212"/>
        <v>1296950.4989999998</v>
      </c>
      <c r="BP93" s="6">
        <f t="shared" si="212"/>
        <v>1535323.86</v>
      </c>
      <c r="BQ93" s="6">
        <f t="shared" si="212"/>
        <v>1391759.6110000003</v>
      </c>
      <c r="BR93" s="6">
        <f t="shared" si="212"/>
        <v>1467400.6270000001</v>
      </c>
      <c r="BS93" s="6">
        <f t="shared" si="212"/>
        <v>1320463.8700000003</v>
      </c>
      <c r="BT93" s="6">
        <f t="shared" si="213"/>
        <v>1275922.6930000002</v>
      </c>
      <c r="BU93" s="6">
        <f t="shared" si="213"/>
        <v>1174024.8120000002</v>
      </c>
      <c r="BV93" s="6">
        <f t="shared" si="213"/>
        <v>1325397.4870000002</v>
      </c>
      <c r="BW93" s="6">
        <f t="shared" si="213"/>
        <v>1227574.175</v>
      </c>
      <c r="BX93" s="6">
        <f t="shared" si="214"/>
        <v>1095711.6499999999</v>
      </c>
      <c r="BY93" s="6">
        <f t="shared" si="215"/>
        <v>1171325.5090000001</v>
      </c>
      <c r="BZ93" s="6">
        <f t="shared" si="216"/>
        <v>1223327.2750000001</v>
      </c>
      <c r="CA93" s="6">
        <f t="shared" si="217"/>
        <v>1296950.4989999998</v>
      </c>
      <c r="CB93" s="6">
        <f t="shared" si="218"/>
        <v>1535323.86</v>
      </c>
      <c r="CC93" s="6">
        <f t="shared" si="219"/>
        <v>1391759.6110000003</v>
      </c>
      <c r="CD93" s="6">
        <f t="shared" si="220"/>
        <v>1467400.6270000001</v>
      </c>
      <c r="CE93" s="6">
        <f t="shared" si="221"/>
        <v>1320463.8700000003</v>
      </c>
      <c r="CF93" s="6">
        <f t="shared" si="222"/>
        <v>1275922.6930000002</v>
      </c>
      <c r="CG93" s="6">
        <f t="shared" si="223"/>
        <v>1174024.8120000002</v>
      </c>
      <c r="CH93" s="6">
        <f t="shared" si="224"/>
        <v>1325397.4870000002</v>
      </c>
      <c r="CI93" s="6">
        <f t="shared" si="225"/>
        <v>1227574.175</v>
      </c>
      <c r="CJ93" s="287"/>
      <c r="CK93" s="287"/>
      <c r="CL93" s="287"/>
    </row>
    <row r="94" spans="1:90">
      <c r="A94" s="2">
        <v>85</v>
      </c>
      <c r="B94" s="2" t="s">
        <v>66</v>
      </c>
      <c r="C94" s="37"/>
      <c r="D94" s="3">
        <f>'Bill Frequency'!C83+'Contract &amp; Vol Adj'!C83</f>
        <v>216811.49249999999</v>
      </c>
      <c r="E94" s="3">
        <f>'Bill Frequency'!D83+'Contract &amp; Vol Adj'!D83</f>
        <v>262739.41250000003</v>
      </c>
      <c r="F94" s="3">
        <f>'Bill Frequency'!E83+'Contract &amp; Vol Adj'!E83</f>
        <v>233136.22249999997</v>
      </c>
      <c r="G94" s="3">
        <f>'Bill Frequency'!F83+'Contract &amp; Vol Adj'!F83</f>
        <v>208199.06249999997</v>
      </c>
      <c r="H94" s="3">
        <f>'Bill Frequency'!G83+'Contract &amp; Vol Adj'!G83</f>
        <v>248973.56250000003</v>
      </c>
      <c r="I94" s="3">
        <f>'Bill Frequency'!H83+'Contract &amp; Vol Adj'!H83</f>
        <v>233157.4425</v>
      </c>
      <c r="J94" s="3">
        <f>'Bill Frequency'!I83+'Contract &amp; Vol Adj'!I83</f>
        <v>250635.85250000001</v>
      </c>
      <c r="K94" s="3">
        <f>'Bill Frequency'!J83+'Contract &amp; Vol Adj'!J83</f>
        <v>296593.69250000006</v>
      </c>
      <c r="L94" s="3">
        <f>'Bill Frequency'!K83+'Contract &amp; Vol Adj'!K83</f>
        <v>272179.34250000003</v>
      </c>
      <c r="M94" s="3">
        <f>'Bill Frequency'!L83+'Contract &amp; Vol Adj'!L83</f>
        <v>286516.53250000003</v>
      </c>
      <c r="N94" s="3">
        <f>'Bill Frequency'!M83+'Contract &amp; Vol Adj'!M83</f>
        <v>265775.96250000002</v>
      </c>
      <c r="O94" s="3">
        <f>'Bill Frequency'!N83+'Contract &amp; Vol Adj'!N83</f>
        <v>247311.05249999999</v>
      </c>
      <c r="P94" s="3">
        <f t="shared" si="208"/>
        <v>216811.49249999999</v>
      </c>
      <c r="Q94" s="3">
        <f t="shared" si="208"/>
        <v>262739.41250000003</v>
      </c>
      <c r="R94" s="3">
        <f t="shared" si="208"/>
        <v>233136.22249999997</v>
      </c>
      <c r="S94" s="3">
        <f t="shared" si="208"/>
        <v>208199.06249999997</v>
      </c>
      <c r="T94" s="3">
        <f t="shared" si="208"/>
        <v>248973.56250000003</v>
      </c>
      <c r="U94" s="3">
        <f t="shared" si="208"/>
        <v>233157.4425</v>
      </c>
      <c r="V94" s="3">
        <f t="shared" si="208"/>
        <v>250635.85250000001</v>
      </c>
      <c r="W94" s="3">
        <f t="shared" si="208"/>
        <v>296593.69250000006</v>
      </c>
      <c r="X94" s="3">
        <f t="shared" si="208"/>
        <v>272179.34250000003</v>
      </c>
      <c r="Y94" s="3">
        <f t="shared" si="208"/>
        <v>286516.53250000003</v>
      </c>
      <c r="Z94" s="3">
        <f t="shared" si="209"/>
        <v>265775.96250000002</v>
      </c>
      <c r="AA94" s="3">
        <f t="shared" si="209"/>
        <v>247311.05249999999</v>
      </c>
      <c r="AB94" s="3">
        <f t="shared" si="209"/>
        <v>216811.49249999999</v>
      </c>
      <c r="AC94" s="3">
        <f t="shared" si="209"/>
        <v>262739.41250000003</v>
      </c>
      <c r="AD94" s="3">
        <f t="shared" si="209"/>
        <v>233136.22249999997</v>
      </c>
      <c r="AE94" s="3">
        <f t="shared" si="209"/>
        <v>208199.06249999997</v>
      </c>
      <c r="AF94" s="3">
        <f t="shared" si="209"/>
        <v>248973.56250000003</v>
      </c>
      <c r="AG94" s="3">
        <f t="shared" si="209"/>
        <v>233157.4425</v>
      </c>
      <c r="AH94" s="3">
        <f t="shared" si="209"/>
        <v>250635.85250000001</v>
      </c>
      <c r="AI94" s="3">
        <f t="shared" si="209"/>
        <v>296593.69250000006</v>
      </c>
      <c r="AJ94" s="3">
        <f t="shared" si="210"/>
        <v>272179.34250000003</v>
      </c>
      <c r="AK94" s="3">
        <f t="shared" si="210"/>
        <v>286516.53250000003</v>
      </c>
      <c r="AL94" s="3">
        <f t="shared" si="210"/>
        <v>265775.96250000002</v>
      </c>
      <c r="AM94" s="3">
        <f t="shared" si="210"/>
        <v>247311.05249999999</v>
      </c>
      <c r="AN94" s="3">
        <f t="shared" si="210"/>
        <v>216811.49249999999</v>
      </c>
      <c r="AO94" s="3">
        <f t="shared" si="210"/>
        <v>262739.41250000003</v>
      </c>
      <c r="AP94" s="3">
        <f t="shared" si="210"/>
        <v>233136.22249999997</v>
      </c>
      <c r="AQ94" s="3">
        <f t="shared" si="210"/>
        <v>208199.06249999997</v>
      </c>
      <c r="AR94" s="3">
        <f t="shared" si="210"/>
        <v>248973.56250000003</v>
      </c>
      <c r="AS94" s="3">
        <f t="shared" si="210"/>
        <v>233157.4425</v>
      </c>
      <c r="AT94" s="3">
        <f t="shared" si="211"/>
        <v>250635.85250000001</v>
      </c>
      <c r="AU94" s="3">
        <f t="shared" si="211"/>
        <v>296593.69250000006</v>
      </c>
      <c r="AV94" s="3">
        <f t="shared" si="211"/>
        <v>272179.34250000003</v>
      </c>
      <c r="AW94" s="3">
        <f t="shared" si="211"/>
        <v>286516.53250000003</v>
      </c>
      <c r="AX94" s="3">
        <f t="shared" si="211"/>
        <v>265775.96250000002</v>
      </c>
      <c r="AY94" s="3">
        <f t="shared" si="211"/>
        <v>247311.05249999999</v>
      </c>
      <c r="AZ94" s="3">
        <f t="shared" si="211"/>
        <v>216811.49249999999</v>
      </c>
      <c r="BA94" s="3">
        <f t="shared" si="211"/>
        <v>262739.41250000003</v>
      </c>
      <c r="BB94" s="3">
        <f t="shared" si="211"/>
        <v>233136.22249999997</v>
      </c>
      <c r="BC94" s="3">
        <f t="shared" si="211"/>
        <v>208199.06249999997</v>
      </c>
      <c r="BD94" s="3">
        <f t="shared" si="212"/>
        <v>248973.56250000003</v>
      </c>
      <c r="BE94" s="3">
        <f t="shared" si="212"/>
        <v>233157.4425</v>
      </c>
      <c r="BF94" s="3">
        <f t="shared" si="212"/>
        <v>250635.85250000001</v>
      </c>
      <c r="BG94" s="3">
        <f t="shared" si="212"/>
        <v>296593.69250000006</v>
      </c>
      <c r="BH94" s="3">
        <f t="shared" si="212"/>
        <v>272179.34250000003</v>
      </c>
      <c r="BI94" s="3">
        <f t="shared" si="212"/>
        <v>286516.53250000003</v>
      </c>
      <c r="BJ94" s="3">
        <f t="shared" si="212"/>
        <v>265775.96250000002</v>
      </c>
      <c r="BK94" s="3">
        <f t="shared" si="212"/>
        <v>247311.05249999999</v>
      </c>
      <c r="BL94" s="3">
        <f t="shared" si="212"/>
        <v>216811.49249999999</v>
      </c>
      <c r="BM94" s="3">
        <f t="shared" si="212"/>
        <v>262739.41250000003</v>
      </c>
      <c r="BN94" s="3">
        <f t="shared" si="212"/>
        <v>233136.22249999997</v>
      </c>
      <c r="BO94" s="3">
        <f t="shared" si="212"/>
        <v>208199.06249999997</v>
      </c>
      <c r="BP94" s="3">
        <f t="shared" si="212"/>
        <v>248973.56250000003</v>
      </c>
      <c r="BQ94" s="3">
        <f t="shared" si="212"/>
        <v>233157.4425</v>
      </c>
      <c r="BR94" s="3">
        <f t="shared" si="212"/>
        <v>250635.85250000001</v>
      </c>
      <c r="BS94" s="3">
        <f t="shared" si="212"/>
        <v>296593.69250000006</v>
      </c>
      <c r="BT94" s="3">
        <f t="shared" si="213"/>
        <v>272179.34250000003</v>
      </c>
      <c r="BU94" s="3">
        <f t="shared" si="213"/>
        <v>286516.53250000003</v>
      </c>
      <c r="BV94" s="3">
        <f t="shared" si="213"/>
        <v>265775.96250000002</v>
      </c>
      <c r="BW94" s="3">
        <f t="shared" si="213"/>
        <v>247311.05249999999</v>
      </c>
      <c r="BX94" s="3">
        <f t="shared" si="214"/>
        <v>216811.49249999999</v>
      </c>
      <c r="BY94" s="3">
        <f t="shared" si="215"/>
        <v>262739.41250000003</v>
      </c>
      <c r="BZ94" s="3">
        <f t="shared" si="216"/>
        <v>233136.22249999997</v>
      </c>
      <c r="CA94" s="3">
        <f t="shared" si="217"/>
        <v>208199.06249999997</v>
      </c>
      <c r="CB94" s="3">
        <f t="shared" si="218"/>
        <v>248973.56250000003</v>
      </c>
      <c r="CC94" s="3">
        <f t="shared" si="219"/>
        <v>233157.4425</v>
      </c>
      <c r="CD94" s="3">
        <f t="shared" si="220"/>
        <v>250635.85250000001</v>
      </c>
      <c r="CE94" s="3">
        <f t="shared" si="221"/>
        <v>296593.69250000006</v>
      </c>
      <c r="CF94" s="3">
        <f t="shared" si="222"/>
        <v>272179.34250000003</v>
      </c>
      <c r="CG94" s="3">
        <f t="shared" si="223"/>
        <v>286516.53250000003</v>
      </c>
      <c r="CH94" s="3">
        <f t="shared" si="224"/>
        <v>265775.96250000002</v>
      </c>
      <c r="CI94" s="3">
        <f t="shared" si="225"/>
        <v>247311.05249999999</v>
      </c>
      <c r="CJ94" s="286"/>
      <c r="CK94" s="286"/>
      <c r="CL94" s="286"/>
    </row>
    <row r="95" spans="1:90">
      <c r="A95" s="2">
        <v>86</v>
      </c>
      <c r="B95" s="21" t="s">
        <v>53</v>
      </c>
      <c r="C95" s="21"/>
      <c r="D95" s="20">
        <f t="shared" ref="D95:AI95" si="226">D93</f>
        <v>1095711.6499999999</v>
      </c>
      <c r="E95" s="20">
        <f t="shared" si="226"/>
        <v>1171325.5090000001</v>
      </c>
      <c r="F95" s="20">
        <f t="shared" si="226"/>
        <v>1223327.2750000001</v>
      </c>
      <c r="G95" s="20">
        <f t="shared" si="226"/>
        <v>1296950.4989999998</v>
      </c>
      <c r="H95" s="20">
        <f t="shared" si="226"/>
        <v>1535323.86</v>
      </c>
      <c r="I95" s="20">
        <f t="shared" si="226"/>
        <v>1391759.6110000003</v>
      </c>
      <c r="J95" s="20">
        <f t="shared" si="226"/>
        <v>1467400.6270000001</v>
      </c>
      <c r="K95" s="20">
        <f t="shared" si="226"/>
        <v>1320463.8700000003</v>
      </c>
      <c r="L95" s="20">
        <f t="shared" si="226"/>
        <v>1275922.6930000002</v>
      </c>
      <c r="M95" s="20">
        <f t="shared" si="226"/>
        <v>1174024.8120000002</v>
      </c>
      <c r="N95" s="20">
        <f t="shared" si="226"/>
        <v>1325397.4870000002</v>
      </c>
      <c r="O95" s="20">
        <f t="shared" si="226"/>
        <v>1227574.175</v>
      </c>
      <c r="P95" s="20">
        <f t="shared" si="226"/>
        <v>1095711.6499999999</v>
      </c>
      <c r="Q95" s="20">
        <f t="shared" si="226"/>
        <v>1171325.5090000001</v>
      </c>
      <c r="R95" s="20">
        <f t="shared" si="226"/>
        <v>1223327.2750000001</v>
      </c>
      <c r="S95" s="20">
        <f t="shared" si="226"/>
        <v>1296950.4989999998</v>
      </c>
      <c r="T95" s="20">
        <f t="shared" si="226"/>
        <v>1535323.86</v>
      </c>
      <c r="U95" s="20">
        <f t="shared" si="226"/>
        <v>1391759.6110000003</v>
      </c>
      <c r="V95" s="20">
        <f t="shared" si="226"/>
        <v>1467400.6270000001</v>
      </c>
      <c r="W95" s="20">
        <f t="shared" si="226"/>
        <v>1320463.8700000003</v>
      </c>
      <c r="X95" s="20">
        <f t="shared" si="226"/>
        <v>1275922.6930000002</v>
      </c>
      <c r="Y95" s="20">
        <f t="shared" si="226"/>
        <v>1174024.8120000002</v>
      </c>
      <c r="Z95" s="20">
        <f t="shared" si="226"/>
        <v>1325397.4870000002</v>
      </c>
      <c r="AA95" s="20">
        <f t="shared" si="226"/>
        <v>1227574.175</v>
      </c>
      <c r="AB95" s="20">
        <f t="shared" si="226"/>
        <v>1095711.6499999999</v>
      </c>
      <c r="AC95" s="20">
        <f t="shared" si="226"/>
        <v>1171325.5090000001</v>
      </c>
      <c r="AD95" s="20">
        <f t="shared" si="226"/>
        <v>1223327.2750000001</v>
      </c>
      <c r="AE95" s="20">
        <f t="shared" si="226"/>
        <v>1296950.4989999998</v>
      </c>
      <c r="AF95" s="20">
        <f t="shared" si="226"/>
        <v>1535323.86</v>
      </c>
      <c r="AG95" s="20">
        <f t="shared" si="226"/>
        <v>1391759.6110000003</v>
      </c>
      <c r="AH95" s="20">
        <f t="shared" si="226"/>
        <v>1467400.6270000001</v>
      </c>
      <c r="AI95" s="20">
        <f t="shared" si="226"/>
        <v>1320463.8700000003</v>
      </c>
      <c r="AJ95" s="20">
        <f t="shared" ref="AJ95:BW95" si="227">AJ93</f>
        <v>1275922.6930000002</v>
      </c>
      <c r="AK95" s="20">
        <f t="shared" si="227"/>
        <v>1174024.8120000002</v>
      </c>
      <c r="AL95" s="20">
        <f t="shared" si="227"/>
        <v>1325397.4870000002</v>
      </c>
      <c r="AM95" s="20">
        <f t="shared" si="227"/>
        <v>1227574.175</v>
      </c>
      <c r="AN95" s="20">
        <f t="shared" si="227"/>
        <v>1095711.6499999999</v>
      </c>
      <c r="AO95" s="20">
        <f t="shared" si="227"/>
        <v>1171325.5090000001</v>
      </c>
      <c r="AP95" s="20">
        <f t="shared" si="227"/>
        <v>1223327.2750000001</v>
      </c>
      <c r="AQ95" s="20">
        <f t="shared" si="227"/>
        <v>1296950.4989999998</v>
      </c>
      <c r="AR95" s="20">
        <f t="shared" si="227"/>
        <v>1535323.86</v>
      </c>
      <c r="AS95" s="20">
        <f t="shared" si="227"/>
        <v>1391759.6110000003</v>
      </c>
      <c r="AT95" s="20">
        <f t="shared" si="227"/>
        <v>1467400.6270000001</v>
      </c>
      <c r="AU95" s="20">
        <f t="shared" si="227"/>
        <v>1320463.8700000003</v>
      </c>
      <c r="AV95" s="20">
        <f t="shared" si="227"/>
        <v>1275922.6930000002</v>
      </c>
      <c r="AW95" s="20">
        <f t="shared" si="227"/>
        <v>1174024.8120000002</v>
      </c>
      <c r="AX95" s="20">
        <f t="shared" si="227"/>
        <v>1325397.4870000002</v>
      </c>
      <c r="AY95" s="20">
        <f t="shared" si="227"/>
        <v>1227574.175</v>
      </c>
      <c r="AZ95" s="20">
        <f t="shared" si="227"/>
        <v>1095711.6499999999</v>
      </c>
      <c r="BA95" s="20">
        <f t="shared" si="227"/>
        <v>1171325.5090000001</v>
      </c>
      <c r="BB95" s="20">
        <f t="shared" si="227"/>
        <v>1223327.2750000001</v>
      </c>
      <c r="BC95" s="20">
        <f t="shared" si="227"/>
        <v>1296950.4989999998</v>
      </c>
      <c r="BD95" s="20">
        <f t="shared" si="227"/>
        <v>1535323.86</v>
      </c>
      <c r="BE95" s="20">
        <f t="shared" si="227"/>
        <v>1391759.6110000003</v>
      </c>
      <c r="BF95" s="20">
        <f t="shared" si="227"/>
        <v>1467400.6270000001</v>
      </c>
      <c r="BG95" s="20">
        <f t="shared" si="227"/>
        <v>1320463.8700000003</v>
      </c>
      <c r="BH95" s="20">
        <f t="shared" si="227"/>
        <v>1275922.6930000002</v>
      </c>
      <c r="BI95" s="20">
        <f t="shared" si="227"/>
        <v>1174024.8120000002</v>
      </c>
      <c r="BJ95" s="20">
        <f t="shared" si="227"/>
        <v>1325397.4870000002</v>
      </c>
      <c r="BK95" s="20">
        <f t="shared" si="227"/>
        <v>1227574.175</v>
      </c>
      <c r="BL95" s="20">
        <f t="shared" si="227"/>
        <v>1095711.6499999999</v>
      </c>
      <c r="BM95" s="20">
        <f t="shared" si="227"/>
        <v>1171325.5090000001</v>
      </c>
      <c r="BN95" s="20">
        <f t="shared" si="227"/>
        <v>1223327.2750000001</v>
      </c>
      <c r="BO95" s="20">
        <f t="shared" si="227"/>
        <v>1296950.4989999998</v>
      </c>
      <c r="BP95" s="20">
        <f t="shared" si="227"/>
        <v>1535323.86</v>
      </c>
      <c r="BQ95" s="20">
        <f t="shared" si="227"/>
        <v>1391759.6110000003</v>
      </c>
      <c r="BR95" s="20">
        <f t="shared" si="227"/>
        <v>1467400.6270000001</v>
      </c>
      <c r="BS95" s="20">
        <f t="shared" si="227"/>
        <v>1320463.8700000003</v>
      </c>
      <c r="BT95" s="20">
        <f t="shared" si="227"/>
        <v>1275922.6930000002</v>
      </c>
      <c r="BU95" s="20">
        <f t="shared" si="227"/>
        <v>1174024.8120000002</v>
      </c>
      <c r="BV95" s="20">
        <f t="shared" si="227"/>
        <v>1325397.4870000002</v>
      </c>
      <c r="BW95" s="20">
        <f t="shared" si="227"/>
        <v>1227574.175</v>
      </c>
      <c r="BX95" s="20">
        <f t="shared" ref="BX95:CI95" si="228">BX93</f>
        <v>1095711.6499999999</v>
      </c>
      <c r="BY95" s="20">
        <f t="shared" si="228"/>
        <v>1171325.5090000001</v>
      </c>
      <c r="BZ95" s="20">
        <f t="shared" si="228"/>
        <v>1223327.2750000001</v>
      </c>
      <c r="CA95" s="20">
        <f t="shared" si="228"/>
        <v>1296950.4989999998</v>
      </c>
      <c r="CB95" s="20">
        <f t="shared" si="228"/>
        <v>1535323.86</v>
      </c>
      <c r="CC95" s="20">
        <f t="shared" si="228"/>
        <v>1391759.6110000003</v>
      </c>
      <c r="CD95" s="20">
        <f t="shared" si="228"/>
        <v>1467400.6270000001</v>
      </c>
      <c r="CE95" s="20">
        <f t="shared" si="228"/>
        <v>1320463.8700000003</v>
      </c>
      <c r="CF95" s="20">
        <f t="shared" si="228"/>
        <v>1275922.6930000002</v>
      </c>
      <c r="CG95" s="20">
        <f t="shared" si="228"/>
        <v>1174024.8120000002</v>
      </c>
      <c r="CH95" s="20">
        <f t="shared" si="228"/>
        <v>1325397.4870000002</v>
      </c>
      <c r="CI95" s="20">
        <f t="shared" si="228"/>
        <v>1227574.175</v>
      </c>
      <c r="CJ95" s="288"/>
      <c r="CK95" s="288"/>
      <c r="CL95" s="288"/>
    </row>
    <row r="96" spans="1:90">
      <c r="A96" s="2">
        <v>87</v>
      </c>
      <c r="D96" s="17"/>
    </row>
    <row r="97" spans="1:90">
      <c r="A97" s="2">
        <v>88</v>
      </c>
      <c r="B97" s="23" t="s">
        <v>279</v>
      </c>
    </row>
    <row r="98" spans="1:90">
      <c r="A98" s="2">
        <v>89</v>
      </c>
      <c r="B98" s="2" t="s">
        <v>280</v>
      </c>
      <c r="D98" s="3">
        <f>'Other Revenue'!D54</f>
        <v>3387</v>
      </c>
      <c r="E98" s="3">
        <f>'Other Revenue'!E54</f>
        <v>3698</v>
      </c>
      <c r="F98" s="3">
        <f>'Other Revenue'!F54</f>
        <v>4212</v>
      </c>
      <c r="G98" s="3">
        <f>'Other Revenue'!G54</f>
        <v>9928</v>
      </c>
      <c r="H98" s="3">
        <f>'Other Revenue'!H54</f>
        <v>8550</v>
      </c>
      <c r="I98" s="3">
        <f>'Other Revenue'!I54</f>
        <v>4906</v>
      </c>
      <c r="J98" s="3">
        <f>'Other Revenue'!J54</f>
        <v>5587</v>
      </c>
      <c r="K98" s="3">
        <f>'Other Revenue'!K54</f>
        <v>4026</v>
      </c>
      <c r="L98" s="3">
        <f>'Other Revenue'!L54</f>
        <v>4332</v>
      </c>
      <c r="M98" s="3">
        <f>'Other Revenue'!M54</f>
        <v>3438</v>
      </c>
      <c r="N98" s="3">
        <f>'Other Revenue'!N54</f>
        <v>3844</v>
      </c>
      <c r="O98" s="3">
        <f>'Other Revenue'!O54</f>
        <v>3004</v>
      </c>
      <c r="P98" s="3">
        <f>'Other Revenue'!P54</f>
        <v>3387</v>
      </c>
      <c r="Q98" s="3">
        <f>'Other Revenue'!Q54</f>
        <v>3698</v>
      </c>
      <c r="R98" s="3">
        <f>'Other Revenue'!R54</f>
        <v>4212</v>
      </c>
      <c r="S98" s="3">
        <f>'Other Revenue'!S54</f>
        <v>9928</v>
      </c>
      <c r="T98" s="3">
        <f>'Other Revenue'!T54</f>
        <v>8550</v>
      </c>
      <c r="U98" s="3">
        <f>'Other Revenue'!U54</f>
        <v>4906</v>
      </c>
      <c r="V98" s="3">
        <f>'Other Revenue'!V54</f>
        <v>5587</v>
      </c>
      <c r="W98" s="3">
        <f>'Other Revenue'!W54</f>
        <v>4026</v>
      </c>
      <c r="X98" s="3">
        <f>'Other Revenue'!X54</f>
        <v>4332</v>
      </c>
      <c r="Y98" s="3">
        <f>'Other Revenue'!Y54</f>
        <v>3438</v>
      </c>
      <c r="Z98" s="3">
        <f>'Other Revenue'!Z54</f>
        <v>3844</v>
      </c>
      <c r="AA98" s="3">
        <f>'Other Revenue'!AA54</f>
        <v>3004</v>
      </c>
      <c r="AB98" s="3">
        <f>'Other Revenue'!AB54</f>
        <v>3387</v>
      </c>
      <c r="AC98" s="3">
        <f>'Other Revenue'!AC54</f>
        <v>3698</v>
      </c>
      <c r="AD98" s="3">
        <f>'Other Revenue'!AD54</f>
        <v>4212</v>
      </c>
      <c r="AE98" s="3">
        <f>'Other Revenue'!AE54</f>
        <v>9928</v>
      </c>
      <c r="AF98" s="3">
        <f>'Other Revenue'!AF54</f>
        <v>8550</v>
      </c>
      <c r="AG98" s="3">
        <f>'Other Revenue'!AG54</f>
        <v>4906</v>
      </c>
      <c r="AH98" s="3">
        <f>'Other Revenue'!AH54</f>
        <v>5587</v>
      </c>
      <c r="AI98" s="3">
        <f>'Other Revenue'!AI54</f>
        <v>4026</v>
      </c>
      <c r="AJ98" s="3">
        <f>'Other Revenue'!AJ54</f>
        <v>4332</v>
      </c>
      <c r="AK98" s="3">
        <f>'Other Revenue'!AK54</f>
        <v>3438</v>
      </c>
      <c r="AL98" s="3">
        <f>'Other Revenue'!AL54</f>
        <v>3844</v>
      </c>
      <c r="AM98" s="3">
        <f>'Other Revenue'!AM54</f>
        <v>3004</v>
      </c>
      <c r="AN98" s="3">
        <f>'Other Revenue'!AN54</f>
        <v>3387</v>
      </c>
      <c r="AO98" s="3">
        <f>'Other Revenue'!AO54</f>
        <v>3698</v>
      </c>
      <c r="AP98" s="3">
        <f>'Other Revenue'!AP54</f>
        <v>4212</v>
      </c>
      <c r="AQ98" s="3">
        <f>'Other Revenue'!AQ54</f>
        <v>9928</v>
      </c>
      <c r="AR98" s="3">
        <f>'Other Revenue'!AR54</f>
        <v>8550</v>
      </c>
      <c r="AS98" s="3">
        <f>'Other Revenue'!AS54</f>
        <v>4906</v>
      </c>
      <c r="AT98" s="3">
        <f>'Other Revenue'!AT54</f>
        <v>5587</v>
      </c>
      <c r="AU98" s="3">
        <f>'Other Revenue'!AU54</f>
        <v>4026</v>
      </c>
      <c r="AV98" s="3">
        <f>'Other Revenue'!AV54</f>
        <v>4332</v>
      </c>
      <c r="AW98" s="3">
        <f>'Other Revenue'!AW54</f>
        <v>3438</v>
      </c>
      <c r="AX98" s="3">
        <f>'Other Revenue'!AX54</f>
        <v>3844</v>
      </c>
      <c r="AY98" s="3">
        <f>'Other Revenue'!AY54</f>
        <v>3004</v>
      </c>
      <c r="AZ98" s="3">
        <f>'Other Revenue'!AZ54</f>
        <v>3387</v>
      </c>
      <c r="BA98" s="3">
        <f>'Other Revenue'!BA54</f>
        <v>3698</v>
      </c>
      <c r="BB98" s="3">
        <f>'Other Revenue'!BB54</f>
        <v>4212</v>
      </c>
      <c r="BC98" s="3">
        <f>'Other Revenue'!BC54</f>
        <v>9928</v>
      </c>
      <c r="BD98" s="3">
        <f>'Other Revenue'!BD54</f>
        <v>8550</v>
      </c>
      <c r="BE98" s="3">
        <f>'Other Revenue'!BE54</f>
        <v>4906</v>
      </c>
      <c r="BF98" s="3">
        <f>'Other Revenue'!BF54</f>
        <v>5587</v>
      </c>
      <c r="BG98" s="3">
        <f>'Other Revenue'!BG54</f>
        <v>4026</v>
      </c>
      <c r="BH98" s="3">
        <f>'Other Revenue'!BH54</f>
        <v>4332</v>
      </c>
      <c r="BI98" s="3">
        <f>'Other Revenue'!BI54</f>
        <v>3438</v>
      </c>
      <c r="BJ98" s="3">
        <f>'Other Revenue'!BJ54</f>
        <v>3844</v>
      </c>
      <c r="BK98" s="3">
        <f>'Other Revenue'!BK54</f>
        <v>3004</v>
      </c>
      <c r="BL98" s="3">
        <f>'Other Revenue'!BL54</f>
        <v>3387</v>
      </c>
      <c r="BM98" s="3">
        <f>'Other Revenue'!BM54</f>
        <v>3698</v>
      </c>
      <c r="BN98" s="3">
        <f>'Other Revenue'!BN54</f>
        <v>4212</v>
      </c>
      <c r="BO98" s="3">
        <f>'Other Revenue'!BO54</f>
        <v>9928</v>
      </c>
      <c r="BP98" s="3">
        <f>'Other Revenue'!BP54</f>
        <v>8550</v>
      </c>
      <c r="BQ98" s="3">
        <f>'Other Revenue'!BQ54</f>
        <v>4906</v>
      </c>
      <c r="BR98" s="3">
        <f>'Other Revenue'!BR54</f>
        <v>5587</v>
      </c>
      <c r="BS98" s="3">
        <f>'Other Revenue'!BS54</f>
        <v>4026</v>
      </c>
      <c r="BT98" s="3">
        <f>'Other Revenue'!BT54</f>
        <v>4332</v>
      </c>
      <c r="BU98" s="3">
        <f>'Other Revenue'!BU54</f>
        <v>3438</v>
      </c>
      <c r="BV98" s="3">
        <f>'Other Revenue'!BV54</f>
        <v>3844</v>
      </c>
      <c r="BW98" s="3">
        <f>'Other Revenue'!BW54</f>
        <v>3004</v>
      </c>
      <c r="BX98" s="3">
        <f>'Other Revenue'!BX54</f>
        <v>3387</v>
      </c>
      <c r="BY98" s="3">
        <f>'Other Revenue'!BY54</f>
        <v>3698</v>
      </c>
      <c r="BZ98" s="3">
        <f>'Other Revenue'!BZ54</f>
        <v>4212</v>
      </c>
      <c r="CA98" s="3">
        <f>'Other Revenue'!CA54</f>
        <v>9928</v>
      </c>
      <c r="CB98" s="3">
        <f>'Other Revenue'!CB54</f>
        <v>8550</v>
      </c>
      <c r="CC98" s="3">
        <f>'Other Revenue'!CC54</f>
        <v>4906</v>
      </c>
      <c r="CD98" s="3">
        <f>'Other Revenue'!CD54</f>
        <v>5587</v>
      </c>
      <c r="CE98" s="3">
        <f>'Other Revenue'!CE54</f>
        <v>4026</v>
      </c>
      <c r="CF98" s="3">
        <f>'Other Revenue'!CF54</f>
        <v>4332</v>
      </c>
      <c r="CG98" s="3">
        <f>'Other Revenue'!CG54</f>
        <v>3438</v>
      </c>
      <c r="CH98" s="3">
        <f>'Other Revenue'!CH54</f>
        <v>3844</v>
      </c>
      <c r="CI98" s="3">
        <f>'Other Revenue'!CI54</f>
        <v>3004</v>
      </c>
      <c r="CJ98" s="292"/>
      <c r="CK98" s="292"/>
      <c r="CL98" s="292"/>
    </row>
    <row r="99" spans="1:90">
      <c r="A99" s="2">
        <v>90</v>
      </c>
      <c r="B99" s="2" t="s">
        <v>73</v>
      </c>
      <c r="D99" s="3">
        <f>'Other Revenue'!D57</f>
        <v>0</v>
      </c>
      <c r="E99" s="3">
        <f>'Other Revenue'!E57</f>
        <v>0</v>
      </c>
      <c r="F99" s="3">
        <f>'Other Revenue'!F57</f>
        <v>0</v>
      </c>
      <c r="G99" s="3">
        <f>'Other Revenue'!G57</f>
        <v>0</v>
      </c>
      <c r="H99" s="3">
        <f>'Other Revenue'!H57</f>
        <v>0</v>
      </c>
      <c r="I99" s="3">
        <f>'Other Revenue'!I57</f>
        <v>0</v>
      </c>
      <c r="J99" s="3">
        <f>'Other Revenue'!J57</f>
        <v>0</v>
      </c>
      <c r="K99" s="3">
        <f>'Other Revenue'!K57</f>
        <v>27025.57</v>
      </c>
      <c r="L99" s="3">
        <f>'Other Revenue'!L57</f>
        <v>26258.27</v>
      </c>
      <c r="M99" s="3">
        <f>'Other Revenue'!M57</f>
        <v>19781.560000000001</v>
      </c>
      <c r="N99" s="3">
        <f>'Other Revenue'!N57</f>
        <v>14418.960000000001</v>
      </c>
      <c r="O99" s="3">
        <f>'Other Revenue'!O57</f>
        <v>11956.41</v>
      </c>
      <c r="P99" s="3">
        <f>'Other Revenue'!P57</f>
        <v>13930.131428884177</v>
      </c>
      <c r="Q99" s="3">
        <f>'Other Revenue'!Q57</f>
        <v>13262.810579287931</v>
      </c>
      <c r="R99" s="3">
        <f>'Other Revenue'!R57</f>
        <v>14176.957038946692</v>
      </c>
      <c r="S99" s="3">
        <f>'Other Revenue'!S57</f>
        <v>14105.493007242911</v>
      </c>
      <c r="T99" s="3">
        <f>'Other Revenue'!T57</f>
        <v>16816.80122485109</v>
      </c>
      <c r="U99" s="3">
        <f>'Other Revenue'!U57</f>
        <v>25570.913016815881</v>
      </c>
      <c r="V99" s="3">
        <f>'Other Revenue'!V57</f>
        <v>35813.677034933804</v>
      </c>
      <c r="W99" s="3">
        <f>'Other Revenue'!W57</f>
        <v>41213.709989783958</v>
      </c>
      <c r="X99" s="3">
        <f>'Other Revenue'!X57</f>
        <v>53561.356216625238</v>
      </c>
      <c r="Y99" s="3">
        <f>'Other Revenue'!Y57</f>
        <v>41096.213952947801</v>
      </c>
      <c r="Z99" s="3">
        <f>'Other Revenue'!Z57</f>
        <v>30593.507387147787</v>
      </c>
      <c r="AA99" s="3">
        <f>'Other Revenue'!AA57</f>
        <v>21780.060594189254</v>
      </c>
      <c r="AB99" s="3">
        <f>'Other Revenue'!AB57</f>
        <v>16033.312756770089</v>
      </c>
      <c r="AC99" s="3">
        <f>'Other Revenue'!AC57</f>
        <v>15171.878621207807</v>
      </c>
      <c r="AD99" s="3">
        <f>'Other Revenue'!AD57</f>
        <v>15548.307366768042</v>
      </c>
      <c r="AE99" s="3">
        <f>'Other Revenue'!AE57</f>
        <v>15485.738062021457</v>
      </c>
      <c r="AF99" s="3">
        <f>'Other Revenue'!AF57</f>
        <v>18793.22858503829</v>
      </c>
      <c r="AG99" s="3">
        <f>'Other Revenue'!AG57</f>
        <v>33240.004271835103</v>
      </c>
      <c r="AH99" s="3">
        <f>'Other Revenue'!AH57</f>
        <v>47958.341037120852</v>
      </c>
      <c r="AI99" s="3">
        <f>'Other Revenue'!AI57</f>
        <v>55753.086848952247</v>
      </c>
      <c r="AJ99" s="3">
        <f>'Other Revenue'!AJ57</f>
        <v>56008.220481848206</v>
      </c>
      <c r="AK99" s="3">
        <f>'Other Revenue'!AK57</f>
        <v>42866.041700355185</v>
      </c>
      <c r="AL99" s="3">
        <f>'Other Revenue'!AL57</f>
        <v>31797.738604237071</v>
      </c>
      <c r="AM99" s="3">
        <f>'Other Revenue'!AM57</f>
        <v>22585.241914860133</v>
      </c>
      <c r="AN99" s="3">
        <f>'Other Revenue'!AN57</f>
        <v>16512.067485721574</v>
      </c>
      <c r="AO99" s="3">
        <f>'Other Revenue'!AO57</f>
        <v>15608.186067365579</v>
      </c>
      <c r="AP99" s="3">
        <f>'Other Revenue'!AP57</f>
        <v>15825.800120816988</v>
      </c>
      <c r="AQ99" s="3">
        <f>'Other Revenue'!AQ57</f>
        <v>15764.856777686338</v>
      </c>
      <c r="AR99" s="3">
        <f>'Other Revenue'!AR57</f>
        <v>19185.252363914529</v>
      </c>
      <c r="AS99" s="3">
        <f>'Other Revenue'!AS57</f>
        <v>34015.755245955632</v>
      </c>
      <c r="AT99" s="3">
        <f>'Other Revenue'!AT57</f>
        <v>49174.619874219512</v>
      </c>
      <c r="AU99" s="3">
        <f>'Other Revenue'!AU57</f>
        <v>57203.8500566527</v>
      </c>
      <c r="AV99" s="3">
        <f>'Other Revenue'!AV57</f>
        <v>57236.993371077078</v>
      </c>
      <c r="AW99" s="3">
        <f>'Other Revenue'!AW57</f>
        <v>43757.788976931057</v>
      </c>
      <c r="AX99" s="3">
        <f>'Other Revenue'!AX57</f>
        <v>32407.891054644973</v>
      </c>
      <c r="AY99" s="3">
        <f>'Other Revenue'!AY57</f>
        <v>22563.21405639558</v>
      </c>
      <c r="AZ99" s="3">
        <f>'Other Revenue'!AZ57</f>
        <v>16508.385283863536</v>
      </c>
      <c r="BA99" s="3">
        <f>'Other Revenue'!BA57</f>
        <v>15606.999884740606</v>
      </c>
      <c r="BB99" s="3">
        <f>'Other Revenue'!BB57</f>
        <v>15827.485654674196</v>
      </c>
      <c r="BC99" s="3">
        <f>'Other Revenue'!BC57</f>
        <v>15766.328958726723</v>
      </c>
      <c r="BD99" s="3">
        <f>'Other Revenue'!BD57</f>
        <v>19177.785750870367</v>
      </c>
      <c r="BE99" s="3">
        <f>'Other Revenue'!BE57</f>
        <v>34038.638687416889</v>
      </c>
      <c r="BF99" s="3">
        <f>'Other Revenue'!BF57</f>
        <v>49197.385621494599</v>
      </c>
      <c r="BG99" s="3">
        <f>'Other Revenue'!BG57</f>
        <v>57225.234712948339</v>
      </c>
      <c r="BH99" s="3">
        <f>'Other Revenue'!BH57</f>
        <v>57129.004792324915</v>
      </c>
      <c r="BI99" s="3">
        <f>'Other Revenue'!BI57</f>
        <v>43685.922169701895</v>
      </c>
      <c r="BJ99" s="3">
        <f>'Other Revenue'!BJ57</f>
        <v>32365.944354439696</v>
      </c>
      <c r="BK99" s="3">
        <f>'Other Revenue'!BK57</f>
        <v>22414.888297998426</v>
      </c>
      <c r="BL99" s="3">
        <f>'Other Revenue'!BL57</f>
        <v>16430.88723683219</v>
      </c>
      <c r="BM99" s="3">
        <f>'Other Revenue'!BM57</f>
        <v>15538.948108759383</v>
      </c>
      <c r="BN99" s="3">
        <f>'Other Revenue'!BN57</f>
        <v>15769.223802639761</v>
      </c>
      <c r="BO99" s="3">
        <f>'Other Revenue'!BO57</f>
        <v>15707.450679427417</v>
      </c>
      <c r="BP99" s="3">
        <f>'Other Revenue'!BP57</f>
        <v>19083.491210099412</v>
      </c>
      <c r="BQ99" s="3">
        <f>'Other Revenue'!BQ57</f>
        <v>33896.962434017536</v>
      </c>
      <c r="BR99" s="3">
        <f>'Other Revenue'!BR57</f>
        <v>48959.351173003735</v>
      </c>
      <c r="BS99" s="3">
        <f>'Other Revenue'!BS57</f>
        <v>56934.411834826722</v>
      </c>
      <c r="BT99" s="3">
        <f>'Other Revenue'!BT57</f>
        <v>56887.578467786501</v>
      </c>
      <c r="BU99" s="3">
        <f>'Other Revenue'!BU57</f>
        <v>43517.924173088715</v>
      </c>
      <c r="BV99" s="3">
        <f>'Other Revenue'!BV57</f>
        <v>32258.953667769878</v>
      </c>
      <c r="BW99" s="3">
        <f>'Other Revenue'!BW57</f>
        <v>22427.748814549683</v>
      </c>
      <c r="BX99" s="3">
        <f>'Other Revenue'!BX57</f>
        <v>16447.548401313445</v>
      </c>
      <c r="BY99" s="3">
        <f>'Other Revenue'!BY57</f>
        <v>15556.202179149772</v>
      </c>
      <c r="BZ99" s="3">
        <f>'Other Revenue'!BZ57</f>
        <v>15799.722353252328</v>
      </c>
      <c r="CA99" s="3">
        <f>'Other Revenue'!CA57</f>
        <v>15737.926589659479</v>
      </c>
      <c r="CB99" s="3">
        <f>'Other Revenue'!CB57</f>
        <v>19117.761074099679</v>
      </c>
      <c r="CC99" s="3">
        <f>'Other Revenue'!CC57</f>
        <v>33730.784310052892</v>
      </c>
      <c r="CD99" s="3">
        <f>'Other Revenue'!CD57</f>
        <v>48682.45273410232</v>
      </c>
      <c r="CE99" s="3">
        <f>'Other Revenue'!CE57</f>
        <v>56596.890499634734</v>
      </c>
      <c r="CF99" s="3">
        <f>'Other Revenue'!CF57</f>
        <v>78844.808115003951</v>
      </c>
      <c r="CG99" s="3">
        <f>'Other Revenue'!CG57</f>
        <v>59351.613574181451</v>
      </c>
      <c r="CH99" s="3">
        <f>'Other Revenue'!CH57</f>
        <v>42979.258957972212</v>
      </c>
      <c r="CI99" s="3">
        <f>'Other Revenue'!CI57</f>
        <v>28461.448882165616</v>
      </c>
      <c r="CJ99" s="292"/>
      <c r="CK99" s="292"/>
      <c r="CL99" s="292"/>
    </row>
    <row r="100" spans="1:90">
      <c r="A100" s="2">
        <v>91</v>
      </c>
    </row>
    <row r="101" spans="1:90">
      <c r="A101" s="2">
        <v>92</v>
      </c>
      <c r="B101" s="18" t="s">
        <v>281</v>
      </c>
      <c r="D101" s="3">
        <f>D107+D98+D99</f>
        <v>6385215.5492026983</v>
      </c>
      <c r="E101" s="3">
        <f t="shared" ref="E101:O101" si="229">E107+E98+E99</f>
        <v>6634720.3455611104</v>
      </c>
      <c r="F101" s="3">
        <f t="shared" si="229"/>
        <v>6659659.3687825967</v>
      </c>
      <c r="G101" s="3">
        <f t="shared" si="229"/>
        <v>7039689.7731830301</v>
      </c>
      <c r="H101" s="3">
        <f t="shared" si="229"/>
        <v>8847777.1356937271</v>
      </c>
      <c r="I101" s="3">
        <f t="shared" si="229"/>
        <v>10129618.491607558</v>
      </c>
      <c r="J101" s="3">
        <f t="shared" si="229"/>
        <v>10941297.539310694</v>
      </c>
      <c r="K101" s="3">
        <f t="shared" si="229"/>
        <v>11230929.37159628</v>
      </c>
      <c r="L101" s="3">
        <f t="shared" si="229"/>
        <v>9688474.3077428415</v>
      </c>
      <c r="M101" s="3">
        <f t="shared" si="229"/>
        <v>8448845.8671878148</v>
      </c>
      <c r="N101" s="3">
        <f t="shared" si="229"/>
        <v>7278085.4342227066</v>
      </c>
      <c r="O101" s="3">
        <f t="shared" si="229"/>
        <v>6518072.7788836807</v>
      </c>
      <c r="P101" s="3">
        <f t="shared" ref="P101:BW101" si="230">P107+P98+P99</f>
        <v>6403070.9114460656</v>
      </c>
      <c r="Q101" s="3">
        <f t="shared" si="230"/>
        <v>6651914.0435668277</v>
      </c>
      <c r="R101" s="3">
        <f t="shared" si="230"/>
        <v>6677745.8352256939</v>
      </c>
      <c r="S101" s="3">
        <f t="shared" si="230"/>
        <v>7057947.7836105991</v>
      </c>
      <c r="T101" s="3">
        <f t="shared" si="230"/>
        <v>8869944.735356899</v>
      </c>
      <c r="U101" s="3">
        <f t="shared" si="230"/>
        <v>10161707.124585753</v>
      </c>
      <c r="V101" s="3">
        <f t="shared" si="230"/>
        <v>10984173.868731933</v>
      </c>
      <c r="W101" s="3">
        <f t="shared" si="230"/>
        <v>11252487.864648273</v>
      </c>
      <c r="X101" s="3">
        <f t="shared" si="230"/>
        <v>9722039.2255969606</v>
      </c>
      <c r="Y101" s="3">
        <f t="shared" si="230"/>
        <v>8475462.835355917</v>
      </c>
      <c r="Z101" s="3">
        <f t="shared" si="230"/>
        <v>7298721.0661476292</v>
      </c>
      <c r="AA101" s="3">
        <f t="shared" si="230"/>
        <v>6531878.1374144331</v>
      </c>
      <c r="AB101" s="3">
        <f t="shared" si="230"/>
        <v>6409099.1358435331</v>
      </c>
      <c r="AC101" s="3">
        <f t="shared" si="230"/>
        <v>6657754.1867800774</v>
      </c>
      <c r="AD101" s="3">
        <f t="shared" si="230"/>
        <v>6683026.4319059495</v>
      </c>
      <c r="AE101" s="3">
        <f t="shared" si="230"/>
        <v>7063480.1561865238</v>
      </c>
      <c r="AF101" s="3">
        <f t="shared" si="230"/>
        <v>8877272.2670563757</v>
      </c>
      <c r="AG101" s="3">
        <f t="shared" si="230"/>
        <v>10175893.49283443</v>
      </c>
      <c r="AH101" s="3">
        <f t="shared" si="230"/>
        <v>11003381.25510427</v>
      </c>
      <c r="AI101" s="3">
        <f t="shared" si="230"/>
        <v>11274397.337462042</v>
      </c>
      <c r="AJ101" s="3">
        <f t="shared" si="230"/>
        <v>9730748.8450205382</v>
      </c>
      <c r="AK101" s="3">
        <f t="shared" si="230"/>
        <v>8482535.8045731522</v>
      </c>
      <c r="AL101" s="3">
        <f t="shared" si="230"/>
        <v>7304386.1482453085</v>
      </c>
      <c r="AM101" s="3">
        <f t="shared" si="230"/>
        <v>6536665.7935133791</v>
      </c>
      <c r="AN101" s="3">
        <f t="shared" si="230"/>
        <v>6413502.9336420661</v>
      </c>
      <c r="AO101" s="3">
        <f t="shared" si="230"/>
        <v>6662121.5693975668</v>
      </c>
      <c r="AP101" s="3">
        <f t="shared" si="230"/>
        <v>6687213.1710124323</v>
      </c>
      <c r="AQ101" s="3">
        <f t="shared" si="230"/>
        <v>7067911.4304431994</v>
      </c>
      <c r="AR101" s="3">
        <f t="shared" si="230"/>
        <v>8883015.5441622157</v>
      </c>
      <c r="AS101" s="3">
        <f t="shared" si="230"/>
        <v>10183186.789414914</v>
      </c>
      <c r="AT101" s="3">
        <f t="shared" si="230"/>
        <v>11011660.58095487</v>
      </c>
      <c r="AU101" s="3">
        <f t="shared" si="230"/>
        <v>11283218.552780949</v>
      </c>
      <c r="AV101" s="3">
        <f t="shared" si="230"/>
        <v>9738240.6132220179</v>
      </c>
      <c r="AW101" s="3">
        <f t="shared" si="230"/>
        <v>8488733.6850667708</v>
      </c>
      <c r="AX101" s="3">
        <f t="shared" si="230"/>
        <v>7309454.4043377172</v>
      </c>
      <c r="AY101" s="3">
        <f t="shared" si="230"/>
        <v>6540628.9757740078</v>
      </c>
      <c r="AZ101" s="3">
        <f t="shared" si="230"/>
        <v>6417424.294509789</v>
      </c>
      <c r="BA101" s="3">
        <f t="shared" si="230"/>
        <v>6666051.4583862713</v>
      </c>
      <c r="BB101" s="3">
        <f t="shared" si="230"/>
        <v>6691124.1028987253</v>
      </c>
      <c r="BC101" s="3">
        <f t="shared" si="230"/>
        <v>7072065.0861851145</v>
      </c>
      <c r="BD101" s="3">
        <f t="shared" si="230"/>
        <v>8888359.4798638038</v>
      </c>
      <c r="BE101" s="3">
        <f t="shared" si="230"/>
        <v>10189727.487075435</v>
      </c>
      <c r="BF101" s="3">
        <f t="shared" si="230"/>
        <v>11018746.718358992</v>
      </c>
      <c r="BG101" s="3">
        <f t="shared" si="230"/>
        <v>11290610.745705055</v>
      </c>
      <c r="BH101" s="3">
        <f t="shared" si="230"/>
        <v>9744395.8601094075</v>
      </c>
      <c r="BI101" s="3">
        <f t="shared" si="230"/>
        <v>8493965.2380804215</v>
      </c>
      <c r="BJ101" s="3">
        <f t="shared" si="230"/>
        <v>7313873.42119605</v>
      </c>
      <c r="BK101" s="3">
        <f t="shared" si="230"/>
        <v>6544463.1322605582</v>
      </c>
      <c r="BL101" s="3">
        <f t="shared" si="230"/>
        <v>6421271.8395323409</v>
      </c>
      <c r="BM101" s="3">
        <f t="shared" si="230"/>
        <v>6669914.4817816215</v>
      </c>
      <c r="BN101" s="3">
        <f t="shared" si="230"/>
        <v>6694975.087399126</v>
      </c>
      <c r="BO101" s="3">
        <f t="shared" si="230"/>
        <v>7076158.4194865543</v>
      </c>
      <c r="BP101" s="3">
        <f t="shared" si="230"/>
        <v>8893613.9788635373</v>
      </c>
      <c r="BQ101" s="3">
        <f t="shared" si="230"/>
        <v>10196101.090232575</v>
      </c>
      <c r="BR101" s="3">
        <f t="shared" si="230"/>
        <v>11025572.3802107</v>
      </c>
      <c r="BS101" s="3">
        <f t="shared" si="230"/>
        <v>11297688.263077868</v>
      </c>
      <c r="BT101" s="3">
        <f t="shared" si="230"/>
        <v>9750417.9094048999</v>
      </c>
      <c r="BU101" s="3">
        <f t="shared" si="230"/>
        <v>8499100.7953187153</v>
      </c>
      <c r="BV101" s="3">
        <f t="shared" si="230"/>
        <v>7318224.6318056015</v>
      </c>
      <c r="BW101" s="3">
        <f t="shared" si="230"/>
        <v>6548461.2252962198</v>
      </c>
      <c r="BX101" s="3">
        <f t="shared" ref="BX101:CI101" si="231">BX107+BX98+BX99</f>
        <v>6425213.5437664026</v>
      </c>
      <c r="BY101" s="3">
        <f t="shared" si="231"/>
        <v>6673862.8110233415</v>
      </c>
      <c r="BZ101" s="3">
        <f t="shared" si="231"/>
        <v>6698914.8323021727</v>
      </c>
      <c r="CA101" s="3">
        <f t="shared" si="231"/>
        <v>7080341.134997393</v>
      </c>
      <c r="CB101" s="3">
        <f t="shared" si="231"/>
        <v>8898999.9415681325</v>
      </c>
      <c r="CC101" s="3">
        <f t="shared" si="231"/>
        <v>10202453.256091608</v>
      </c>
      <c r="CD101" s="3">
        <f t="shared" si="231"/>
        <v>11032356.684368376</v>
      </c>
      <c r="CE101" s="3">
        <f t="shared" si="231"/>
        <v>11304722.254903769</v>
      </c>
      <c r="CF101" s="3">
        <f t="shared" si="231"/>
        <v>9778635.9888895284</v>
      </c>
      <c r="CG101" s="3">
        <f t="shared" si="231"/>
        <v>8520241.0542709306</v>
      </c>
      <c r="CH101" s="3">
        <f t="shared" si="231"/>
        <v>7333406.0133322887</v>
      </c>
      <c r="CI101" s="3">
        <f t="shared" si="231"/>
        <v>6558477.4150754558</v>
      </c>
      <c r="CJ101" s="286"/>
      <c r="CK101" s="286"/>
      <c r="CL101" s="286"/>
    </row>
    <row r="102" spans="1:90">
      <c r="A102" s="2">
        <v>93</v>
      </c>
      <c r="B102" s="2" t="s">
        <v>188</v>
      </c>
      <c r="D102" s="3">
        <f>D108</f>
        <v>1514769.5449406202</v>
      </c>
      <c r="E102" s="3">
        <f t="shared" ref="E102:O102" si="232">E108</f>
        <v>1137858.3338738799</v>
      </c>
      <c r="F102" s="3">
        <f t="shared" si="232"/>
        <v>1150957.9804821201</v>
      </c>
      <c r="G102" s="3">
        <f t="shared" si="232"/>
        <v>1863790.3610317702</v>
      </c>
      <c r="H102" s="3">
        <f t="shared" si="232"/>
        <v>5955540.2811910799</v>
      </c>
      <c r="I102" s="3">
        <f t="shared" si="232"/>
        <v>9805523.4758907594</v>
      </c>
      <c r="J102" s="3">
        <f t="shared" si="232"/>
        <v>11944815.599799719</v>
      </c>
      <c r="K102" s="3">
        <f t="shared" si="232"/>
        <v>11679315.414432842</v>
      </c>
      <c r="L102" s="3">
        <f t="shared" si="232"/>
        <v>8209728.76502412</v>
      </c>
      <c r="M102" s="3">
        <f t="shared" si="232"/>
        <v>5367665.6674384009</v>
      </c>
      <c r="N102" s="3">
        <f t="shared" si="232"/>
        <v>2679679.4990276499</v>
      </c>
      <c r="O102" s="3">
        <f t="shared" si="232"/>
        <v>1312081.3293802203</v>
      </c>
      <c r="P102" s="3">
        <f t="shared" ref="P102:BW102" si="233">P108</f>
        <v>1129287.7057436872</v>
      </c>
      <c r="Q102" s="3">
        <f t="shared" si="233"/>
        <v>1455295.2767813618</v>
      </c>
      <c r="R102" s="3">
        <f t="shared" si="233"/>
        <v>1473037.2783011408</v>
      </c>
      <c r="S102" s="3">
        <f t="shared" si="233"/>
        <v>2381591.9345197519</v>
      </c>
      <c r="T102" s="3">
        <f t="shared" si="233"/>
        <v>5020342.9911030605</v>
      </c>
      <c r="U102" s="3">
        <f t="shared" si="233"/>
        <v>8262032.1305326782</v>
      </c>
      <c r="V102" s="3">
        <f t="shared" si="233"/>
        <v>10058758.094920952</v>
      </c>
      <c r="W102" s="3">
        <f t="shared" si="233"/>
        <v>15181336.498621821</v>
      </c>
      <c r="X102" s="3">
        <f t="shared" si="233"/>
        <v>10675234.789721131</v>
      </c>
      <c r="Y102" s="3">
        <f t="shared" si="233"/>
        <v>6982218.9628609549</v>
      </c>
      <c r="Z102" s="3">
        <f t="shared" si="233"/>
        <v>4112629.6777597396</v>
      </c>
      <c r="AA102" s="3">
        <f t="shared" si="233"/>
        <v>2020053.9170128419</v>
      </c>
      <c r="AB102" s="3">
        <f t="shared" si="233"/>
        <v>1734260.1808545445</v>
      </c>
      <c r="AC102" s="3">
        <f t="shared" si="233"/>
        <v>1895723.9966289767</v>
      </c>
      <c r="AD102" s="3">
        <f t="shared" si="233"/>
        <v>1919919.1172605176</v>
      </c>
      <c r="AE102" s="3">
        <f t="shared" si="233"/>
        <v>3099921.7521362798</v>
      </c>
      <c r="AF102" s="3">
        <f t="shared" si="233"/>
        <v>8220794.5724572185</v>
      </c>
      <c r="AG102" s="3">
        <f t="shared" si="233"/>
        <v>13532727.545907762</v>
      </c>
      <c r="AH102" s="3">
        <f t="shared" si="233"/>
        <v>16482301.918303896</v>
      </c>
      <c r="AI102" s="3">
        <f t="shared" si="233"/>
        <v>16228082.105095781</v>
      </c>
      <c r="AJ102" s="3">
        <f t="shared" si="233"/>
        <v>11412264.325620897</v>
      </c>
      <c r="AK102" s="3">
        <f t="shared" si="233"/>
        <v>7464970.8313706918</v>
      </c>
      <c r="AL102" s="3">
        <f t="shared" si="233"/>
        <v>4419271.4705398269</v>
      </c>
      <c r="AM102" s="3">
        <f t="shared" si="233"/>
        <v>2171797.2852725033</v>
      </c>
      <c r="AN102" s="3">
        <f t="shared" si="233"/>
        <v>1864145.3152697473</v>
      </c>
      <c r="AO102" s="3">
        <f t="shared" si="233"/>
        <v>1975977.2036426272</v>
      </c>
      <c r="AP102" s="3">
        <f t="shared" si="233"/>
        <v>2001317.9641274894</v>
      </c>
      <c r="AQ102" s="3">
        <f t="shared" si="233"/>
        <v>3230486.635333349</v>
      </c>
      <c r="AR102" s="3">
        <f t="shared" si="233"/>
        <v>8521417.6482652612</v>
      </c>
      <c r="AS102" s="3">
        <f t="shared" si="233"/>
        <v>14026869.662922414</v>
      </c>
      <c r="AT102" s="3">
        <f t="shared" si="233"/>
        <v>17083525.579559401</v>
      </c>
      <c r="AU102" s="3">
        <f t="shared" si="233"/>
        <v>16729352.160046171</v>
      </c>
      <c r="AV102" s="3">
        <f t="shared" si="233"/>
        <v>11765344.414575309</v>
      </c>
      <c r="AW102" s="3">
        <f t="shared" si="233"/>
        <v>7696360.6807970786</v>
      </c>
      <c r="AX102" s="3">
        <f t="shared" si="233"/>
        <v>4392548.9976138836</v>
      </c>
      <c r="AY102" s="3">
        <f t="shared" si="233"/>
        <v>2159027.2321166038</v>
      </c>
      <c r="AZ102" s="3">
        <f t="shared" si="233"/>
        <v>1853369.7211346072</v>
      </c>
      <c r="BA102" s="3">
        <f t="shared" si="233"/>
        <v>1965764.5508083515</v>
      </c>
      <c r="BB102" s="3">
        <f t="shared" si="233"/>
        <v>1990957.3009134014</v>
      </c>
      <c r="BC102" s="3">
        <f t="shared" si="233"/>
        <v>3213383.1772753373</v>
      </c>
      <c r="BD102" s="3">
        <f t="shared" si="233"/>
        <v>8503735.0026395544</v>
      </c>
      <c r="BE102" s="3">
        <f t="shared" si="233"/>
        <v>13997163.357545521</v>
      </c>
      <c r="BF102" s="3">
        <f t="shared" si="233"/>
        <v>17046939.804191526</v>
      </c>
      <c r="BG102" s="3">
        <f t="shared" si="233"/>
        <v>16634892.078450024</v>
      </c>
      <c r="BH102" s="3">
        <f t="shared" si="233"/>
        <v>11699077.37796149</v>
      </c>
      <c r="BI102" s="3">
        <f t="shared" si="233"/>
        <v>7653172.4823046587</v>
      </c>
      <c r="BJ102" s="3">
        <f t="shared" si="233"/>
        <v>4315198.1890510833</v>
      </c>
      <c r="BK102" s="3">
        <f t="shared" si="233"/>
        <v>2121236.9906053636</v>
      </c>
      <c r="BL102" s="3">
        <f t="shared" si="233"/>
        <v>1821203.9322910255</v>
      </c>
      <c r="BM102" s="3">
        <f t="shared" si="233"/>
        <v>1935989.1975952615</v>
      </c>
      <c r="BN102" s="3">
        <f t="shared" si="233"/>
        <v>1960754.3703726602</v>
      </c>
      <c r="BO102" s="3">
        <f t="shared" si="233"/>
        <v>3164364.4473444456</v>
      </c>
      <c r="BP102" s="3">
        <f t="shared" si="233"/>
        <v>8416875.930964971</v>
      </c>
      <c r="BQ102" s="3">
        <f t="shared" si="233"/>
        <v>13853634.562827576</v>
      </c>
      <c r="BR102" s="3">
        <f t="shared" si="233"/>
        <v>16871794.361890309</v>
      </c>
      <c r="BS102" s="3">
        <f t="shared" si="233"/>
        <v>16481554.739356665</v>
      </c>
      <c r="BT102" s="3">
        <f t="shared" si="233"/>
        <v>11591367.145913543</v>
      </c>
      <c r="BU102" s="3">
        <f t="shared" si="233"/>
        <v>7582844.8120228481</v>
      </c>
      <c r="BV102" s="3">
        <f t="shared" si="233"/>
        <v>4302708.3998333579</v>
      </c>
      <c r="BW102" s="3">
        <f t="shared" si="233"/>
        <v>2115480.0827877107</v>
      </c>
      <c r="BX102" s="3">
        <f t="shared" ref="BX102:CI102" si="234">BX108</f>
        <v>1816420.2156988219</v>
      </c>
      <c r="BY102" s="3">
        <f t="shared" si="234"/>
        <v>1935271.0319179003</v>
      </c>
      <c r="BZ102" s="3">
        <f t="shared" si="234"/>
        <v>1960024.0334395922</v>
      </c>
      <c r="CA102" s="3">
        <f t="shared" si="234"/>
        <v>3162766.6088777059</v>
      </c>
      <c r="CB102" s="3">
        <f t="shared" si="234"/>
        <v>8319975.354699254</v>
      </c>
      <c r="CC102" s="3">
        <f t="shared" si="234"/>
        <v>13693589.78808615</v>
      </c>
      <c r="CD102" s="3">
        <f t="shared" si="234"/>
        <v>16676528.121764563</v>
      </c>
      <c r="CE102" s="3">
        <f t="shared" si="234"/>
        <v>26103189.850136802</v>
      </c>
      <c r="CF102" s="3">
        <f t="shared" si="234"/>
        <v>18335044.881573945</v>
      </c>
      <c r="CG102" s="3">
        <f t="shared" si="234"/>
        <v>11979385.215059167</v>
      </c>
      <c r="CH102" s="3">
        <f t="shared" si="234"/>
        <v>6642963.0531493183</v>
      </c>
      <c r="CI102" s="3">
        <f t="shared" si="234"/>
        <v>3245732.6269633258</v>
      </c>
      <c r="CJ102" s="286"/>
      <c r="CK102" s="286"/>
      <c r="CL102" s="286"/>
    </row>
    <row r="103" spans="1:90">
      <c r="A103" s="2">
        <v>94</v>
      </c>
      <c r="B103" s="18" t="s">
        <v>282</v>
      </c>
      <c r="D103" s="3">
        <f>D101+D102</f>
        <v>7899985.094143318</v>
      </c>
      <c r="E103" s="3">
        <f t="shared" ref="E103:O103" si="235">E101+E102</f>
        <v>7772578.6794349905</v>
      </c>
      <c r="F103" s="3">
        <f t="shared" si="235"/>
        <v>7810617.3492647167</v>
      </c>
      <c r="G103" s="3">
        <f t="shared" si="235"/>
        <v>8903480.1342147999</v>
      </c>
      <c r="H103" s="3">
        <f t="shared" si="235"/>
        <v>14803317.416884806</v>
      </c>
      <c r="I103" s="3">
        <f t="shared" si="235"/>
        <v>19935141.967498317</v>
      </c>
      <c r="J103" s="3">
        <f t="shared" si="235"/>
        <v>22886113.139110412</v>
      </c>
      <c r="K103" s="3">
        <f t="shared" si="235"/>
        <v>22910244.786029123</v>
      </c>
      <c r="L103" s="3">
        <f t="shared" si="235"/>
        <v>17898203.07276696</v>
      </c>
      <c r="M103" s="3">
        <f t="shared" si="235"/>
        <v>13816511.534626216</v>
      </c>
      <c r="N103" s="3">
        <f t="shared" si="235"/>
        <v>9957764.9332503565</v>
      </c>
      <c r="O103" s="3">
        <f t="shared" si="235"/>
        <v>7830154.1082639005</v>
      </c>
      <c r="P103" s="3">
        <f t="shared" ref="P103:AU103" si="236">P101+P102</f>
        <v>7532358.6171897529</v>
      </c>
      <c r="Q103" s="3">
        <f t="shared" si="236"/>
        <v>8107209.3203481892</v>
      </c>
      <c r="R103" s="3">
        <f t="shared" si="236"/>
        <v>8150783.1135268342</v>
      </c>
      <c r="S103" s="3">
        <f t="shared" si="236"/>
        <v>9439539.7181303501</v>
      </c>
      <c r="T103" s="3">
        <f t="shared" si="236"/>
        <v>13890287.72645996</v>
      </c>
      <c r="U103" s="3">
        <f t="shared" si="236"/>
        <v>18423739.25511843</v>
      </c>
      <c r="V103" s="3">
        <f t="shared" si="236"/>
        <v>21042931.963652886</v>
      </c>
      <c r="W103" s="3">
        <f t="shared" si="236"/>
        <v>26433824.363270096</v>
      </c>
      <c r="X103" s="3">
        <f t="shared" si="236"/>
        <v>20397274.015318092</v>
      </c>
      <c r="Y103" s="3">
        <f t="shared" si="236"/>
        <v>15457681.798216872</v>
      </c>
      <c r="Z103" s="3">
        <f t="shared" si="236"/>
        <v>11411350.74390737</v>
      </c>
      <c r="AA103" s="3">
        <f t="shared" si="236"/>
        <v>8551932.0544272754</v>
      </c>
      <c r="AB103" s="3">
        <f t="shared" si="236"/>
        <v>8143359.3166980781</v>
      </c>
      <c r="AC103" s="3">
        <f t="shared" si="236"/>
        <v>8553478.1834090538</v>
      </c>
      <c r="AD103" s="3">
        <f t="shared" si="236"/>
        <v>8602945.549166467</v>
      </c>
      <c r="AE103" s="3">
        <f t="shared" si="236"/>
        <v>10163401.908322804</v>
      </c>
      <c r="AF103" s="3">
        <f t="shared" si="236"/>
        <v>17098066.839513592</v>
      </c>
      <c r="AG103" s="3">
        <f t="shared" si="236"/>
        <v>23708621.038742192</v>
      </c>
      <c r="AH103" s="3">
        <f t="shared" si="236"/>
        <v>27485683.173408166</v>
      </c>
      <c r="AI103" s="3">
        <f t="shared" si="236"/>
        <v>27502479.442557823</v>
      </c>
      <c r="AJ103" s="3">
        <f t="shared" si="236"/>
        <v>21143013.170641437</v>
      </c>
      <c r="AK103" s="3">
        <f t="shared" si="236"/>
        <v>15947506.635943845</v>
      </c>
      <c r="AL103" s="3">
        <f t="shared" si="236"/>
        <v>11723657.618785135</v>
      </c>
      <c r="AM103" s="3">
        <f t="shared" si="236"/>
        <v>8708463.0787858814</v>
      </c>
      <c r="AN103" s="3">
        <f t="shared" si="236"/>
        <v>8277648.2489118129</v>
      </c>
      <c r="AO103" s="3">
        <f t="shared" si="236"/>
        <v>8638098.7730401941</v>
      </c>
      <c r="AP103" s="3">
        <f t="shared" si="236"/>
        <v>8688531.1351399217</v>
      </c>
      <c r="AQ103" s="3">
        <f t="shared" si="236"/>
        <v>10298398.065776549</v>
      </c>
      <c r="AR103" s="3">
        <f t="shared" si="236"/>
        <v>17404433.192427479</v>
      </c>
      <c r="AS103" s="3">
        <f t="shared" si="236"/>
        <v>24210056.452337328</v>
      </c>
      <c r="AT103" s="3">
        <f t="shared" si="236"/>
        <v>28095186.160514273</v>
      </c>
      <c r="AU103" s="3">
        <f t="shared" si="236"/>
        <v>28012570.71282712</v>
      </c>
      <c r="AV103" s="3">
        <f t="shared" ref="AV103:BW103" si="237">AV101+AV102</f>
        <v>21503585.027797326</v>
      </c>
      <c r="AW103" s="3">
        <f t="shared" si="237"/>
        <v>16185094.365863848</v>
      </c>
      <c r="AX103" s="3">
        <f t="shared" si="237"/>
        <v>11702003.4019516</v>
      </c>
      <c r="AY103" s="3">
        <f t="shared" si="237"/>
        <v>8699656.2078906111</v>
      </c>
      <c r="AZ103" s="3">
        <f t="shared" si="237"/>
        <v>8270794.0156443957</v>
      </c>
      <c r="BA103" s="3">
        <f t="shared" si="237"/>
        <v>8631816.0091946237</v>
      </c>
      <c r="BB103" s="3">
        <f t="shared" si="237"/>
        <v>8682081.4038121272</v>
      </c>
      <c r="BC103" s="3">
        <f t="shared" si="237"/>
        <v>10285448.263460452</v>
      </c>
      <c r="BD103" s="3">
        <f t="shared" si="237"/>
        <v>17392094.482503358</v>
      </c>
      <c r="BE103" s="3">
        <f t="shared" si="237"/>
        <v>24186890.844620958</v>
      </c>
      <c r="BF103" s="3">
        <f t="shared" si="237"/>
        <v>28065686.522550516</v>
      </c>
      <c r="BG103" s="3">
        <f t="shared" si="237"/>
        <v>27925502.824155077</v>
      </c>
      <c r="BH103" s="3">
        <f t="shared" si="237"/>
        <v>21443473.238070898</v>
      </c>
      <c r="BI103" s="3">
        <f t="shared" si="237"/>
        <v>16147137.72038508</v>
      </c>
      <c r="BJ103" s="3">
        <f t="shared" si="237"/>
        <v>11629071.610247133</v>
      </c>
      <c r="BK103" s="3">
        <f t="shared" si="237"/>
        <v>8665700.1228659227</v>
      </c>
      <c r="BL103" s="3">
        <f t="shared" si="237"/>
        <v>8242475.7718233662</v>
      </c>
      <c r="BM103" s="3">
        <f t="shared" si="237"/>
        <v>8605903.6793768834</v>
      </c>
      <c r="BN103" s="3">
        <f t="shared" si="237"/>
        <v>8655729.4577717856</v>
      </c>
      <c r="BO103" s="3">
        <f t="shared" si="237"/>
        <v>10240522.866831001</v>
      </c>
      <c r="BP103" s="3">
        <f t="shared" si="237"/>
        <v>17310489.909828506</v>
      </c>
      <c r="BQ103" s="3">
        <f t="shared" si="237"/>
        <v>24049735.653060153</v>
      </c>
      <c r="BR103" s="3">
        <f t="shared" si="237"/>
        <v>27897366.742101006</v>
      </c>
      <c r="BS103" s="3">
        <f t="shared" si="237"/>
        <v>27779243.002434533</v>
      </c>
      <c r="BT103" s="3">
        <f t="shared" si="237"/>
        <v>21341785.055318445</v>
      </c>
      <c r="BU103" s="3">
        <f t="shared" si="237"/>
        <v>16081945.607341563</v>
      </c>
      <c r="BV103" s="3">
        <f t="shared" si="237"/>
        <v>11620933.031638959</v>
      </c>
      <c r="BW103" s="3">
        <f t="shared" si="237"/>
        <v>8663941.308083931</v>
      </c>
      <c r="BX103" s="3">
        <f t="shared" ref="BX103:CI103" si="238">BX101+BX102</f>
        <v>8241633.759465225</v>
      </c>
      <c r="BY103" s="3">
        <f t="shared" si="238"/>
        <v>8609133.8429412413</v>
      </c>
      <c r="BZ103" s="3">
        <f t="shared" si="238"/>
        <v>8658938.8657417651</v>
      </c>
      <c r="CA103" s="3">
        <f t="shared" si="238"/>
        <v>10243107.743875099</v>
      </c>
      <c r="CB103" s="3">
        <f t="shared" si="238"/>
        <v>17218975.296267387</v>
      </c>
      <c r="CC103" s="3">
        <f t="shared" si="238"/>
        <v>23896043.044177756</v>
      </c>
      <c r="CD103" s="3">
        <f t="shared" si="238"/>
        <v>27708884.806132939</v>
      </c>
      <c r="CE103" s="3">
        <f t="shared" si="238"/>
        <v>37407912.105040573</v>
      </c>
      <c r="CF103" s="3">
        <f t="shared" si="238"/>
        <v>28113680.870463476</v>
      </c>
      <c r="CG103" s="3">
        <f t="shared" si="238"/>
        <v>20499626.269330099</v>
      </c>
      <c r="CH103" s="3">
        <f t="shared" si="238"/>
        <v>13976369.066481607</v>
      </c>
      <c r="CI103" s="3">
        <f t="shared" si="238"/>
        <v>9804210.0420387816</v>
      </c>
      <c r="CJ103" s="286"/>
      <c r="CK103" s="286"/>
      <c r="CL103" s="286"/>
    </row>
    <row r="105" spans="1:90">
      <c r="A105" s="2">
        <v>96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90">
      <c r="A106" s="2">
        <v>97</v>
      </c>
      <c r="C106" s="2" t="s">
        <v>20</v>
      </c>
      <c r="D106" s="6">
        <f>D16+D25+D34+D43+D51+D59+D71+D86+D95+D77</f>
        <v>2640914.0026202379</v>
      </c>
      <c r="E106" s="6">
        <f t="shared" ref="E106:O106" si="239">E16+E25+E34+E43+E51+E59+E71+E86+E95+E77</f>
        <v>2937547.0693202382</v>
      </c>
      <c r="F106" s="6">
        <f t="shared" si="239"/>
        <v>3077254.7211202383</v>
      </c>
      <c r="G106" s="6">
        <f t="shared" si="239"/>
        <v>3402942.3886202383</v>
      </c>
      <c r="H106" s="6">
        <f t="shared" si="239"/>
        <v>4848053.7736202385</v>
      </c>
      <c r="I106" s="6">
        <f t="shared" si="239"/>
        <v>5445741.1710202377</v>
      </c>
      <c r="J106" s="6">
        <f t="shared" si="239"/>
        <v>6029386.8558202377</v>
      </c>
      <c r="K106" s="6">
        <f t="shared" si="239"/>
        <v>5958861.9420166668</v>
      </c>
      <c r="L106" s="6">
        <f t="shared" si="239"/>
        <v>4885440.8549333336</v>
      </c>
      <c r="M106" s="6">
        <f t="shared" si="239"/>
        <v>3947682.4198666671</v>
      </c>
      <c r="N106" s="6">
        <f t="shared" si="239"/>
        <v>3355884.106052381</v>
      </c>
      <c r="O106" s="6">
        <f t="shared" si="239"/>
        <v>2765621.7082916666</v>
      </c>
    </row>
    <row r="107" spans="1:90">
      <c r="A107" s="2">
        <v>98</v>
      </c>
      <c r="C107" s="6" t="s">
        <v>357</v>
      </c>
      <c r="D107" s="3">
        <f>D88+D79+D63+D55+D47+D38+D29+D20+D11+D73</f>
        <v>6381828.5492026983</v>
      </c>
      <c r="E107" s="3">
        <f t="shared" ref="E107:BP107" si="240">E88+E79+E63+E55+E47+E38+E29+E20+E11+E73</f>
        <v>6631022.3455611104</v>
      </c>
      <c r="F107" s="3">
        <f t="shared" si="240"/>
        <v>6655447.3687825967</v>
      </c>
      <c r="G107" s="3">
        <f t="shared" si="240"/>
        <v>7029761.7731830301</v>
      </c>
      <c r="H107" s="3">
        <f t="shared" si="240"/>
        <v>8839227.1356937271</v>
      </c>
      <c r="I107" s="3">
        <f t="shared" si="240"/>
        <v>10124712.491607558</v>
      </c>
      <c r="J107" s="3">
        <f t="shared" si="240"/>
        <v>10935710.539310694</v>
      </c>
      <c r="K107" s="3">
        <f t="shared" si="240"/>
        <v>11199877.80159628</v>
      </c>
      <c r="L107" s="3">
        <f t="shared" si="240"/>
        <v>9657884.037742842</v>
      </c>
      <c r="M107" s="3">
        <f t="shared" si="240"/>
        <v>8425626.3071878143</v>
      </c>
      <c r="N107" s="3">
        <f t="shared" si="240"/>
        <v>7259822.4742227066</v>
      </c>
      <c r="O107" s="3">
        <f t="shared" si="240"/>
        <v>6503112.3688836806</v>
      </c>
      <c r="P107" s="3">
        <f t="shared" si="240"/>
        <v>6385753.7800171813</v>
      </c>
      <c r="Q107" s="3">
        <f t="shared" si="240"/>
        <v>6634953.2329875398</v>
      </c>
      <c r="R107" s="3">
        <f t="shared" si="240"/>
        <v>6659356.8781867474</v>
      </c>
      <c r="S107" s="3">
        <f t="shared" si="240"/>
        <v>7033914.2906033564</v>
      </c>
      <c r="T107" s="3">
        <f t="shared" si="240"/>
        <v>8844577.934132047</v>
      </c>
      <c r="U107" s="3">
        <f t="shared" si="240"/>
        <v>10131230.211568937</v>
      </c>
      <c r="V107" s="3">
        <f t="shared" si="240"/>
        <v>10942773.191697</v>
      </c>
      <c r="W107" s="3">
        <f t="shared" si="240"/>
        <v>11207248.154658489</v>
      </c>
      <c r="X107" s="3">
        <f t="shared" si="240"/>
        <v>9664145.8693803363</v>
      </c>
      <c r="Y107" s="3">
        <f t="shared" si="240"/>
        <v>8430928.6214029696</v>
      </c>
      <c r="Z107" s="3">
        <f t="shared" si="240"/>
        <v>7264283.558760481</v>
      </c>
      <c r="AA107" s="3">
        <f t="shared" si="240"/>
        <v>6507094.0768202441</v>
      </c>
      <c r="AB107" s="3">
        <f t="shared" si="240"/>
        <v>6389678.8230867628</v>
      </c>
      <c r="AC107" s="3">
        <f t="shared" si="240"/>
        <v>6638884.3081588699</v>
      </c>
      <c r="AD107" s="3">
        <f t="shared" si="240"/>
        <v>6663266.1245391816</v>
      </c>
      <c r="AE107" s="3">
        <f t="shared" si="240"/>
        <v>7038066.4181245025</v>
      </c>
      <c r="AF107" s="3">
        <f t="shared" si="240"/>
        <v>8849929.0384713374</v>
      </c>
      <c r="AG107" s="3">
        <f t="shared" si="240"/>
        <v>10137747.488562595</v>
      </c>
      <c r="AH107" s="3">
        <f t="shared" si="240"/>
        <v>10949835.914067149</v>
      </c>
      <c r="AI107" s="3">
        <f t="shared" si="240"/>
        <v>11214618.25061309</v>
      </c>
      <c r="AJ107" s="3">
        <f t="shared" si="240"/>
        <v>9670408.6245386899</v>
      </c>
      <c r="AK107" s="3">
        <f t="shared" si="240"/>
        <v>8436231.7628727965</v>
      </c>
      <c r="AL107" s="3">
        <f t="shared" si="240"/>
        <v>7268744.4096410712</v>
      </c>
      <c r="AM107" s="3">
        <f t="shared" si="240"/>
        <v>6511076.5515985191</v>
      </c>
      <c r="AN107" s="3">
        <f t="shared" si="240"/>
        <v>6393603.8661563443</v>
      </c>
      <c r="AO107" s="3">
        <f t="shared" si="240"/>
        <v>6642815.3833302008</v>
      </c>
      <c r="AP107" s="3">
        <f t="shared" si="240"/>
        <v>6667175.3708916157</v>
      </c>
      <c r="AQ107" s="3">
        <f t="shared" si="240"/>
        <v>7042218.5736655127</v>
      </c>
      <c r="AR107" s="3">
        <f t="shared" si="240"/>
        <v>8855280.291798301</v>
      </c>
      <c r="AS107" s="3">
        <f t="shared" si="240"/>
        <v>10144265.034168959</v>
      </c>
      <c r="AT107" s="3">
        <f t="shared" si="240"/>
        <v>10956898.96108065</v>
      </c>
      <c r="AU107" s="3">
        <f t="shared" si="240"/>
        <v>11221988.702724297</v>
      </c>
      <c r="AV107" s="3">
        <f t="shared" si="240"/>
        <v>9676671.619850941</v>
      </c>
      <c r="AW107" s="3">
        <f t="shared" si="240"/>
        <v>8441537.8960898388</v>
      </c>
      <c r="AX107" s="3">
        <f t="shared" si="240"/>
        <v>7273202.513283072</v>
      </c>
      <c r="AY107" s="3">
        <f t="shared" si="240"/>
        <v>6515061.7617176119</v>
      </c>
      <c r="AZ107" s="3">
        <f t="shared" si="240"/>
        <v>6397528.9092259258</v>
      </c>
      <c r="BA107" s="3">
        <f t="shared" si="240"/>
        <v>6646746.4585015308</v>
      </c>
      <c r="BB107" s="3">
        <f t="shared" si="240"/>
        <v>6671084.6172440508</v>
      </c>
      <c r="BC107" s="3">
        <f t="shared" si="240"/>
        <v>7046370.757226388</v>
      </c>
      <c r="BD107" s="3">
        <f t="shared" si="240"/>
        <v>8860631.6941129342</v>
      </c>
      <c r="BE107" s="3">
        <f t="shared" si="240"/>
        <v>10150782.848388018</v>
      </c>
      <c r="BF107" s="3">
        <f t="shared" si="240"/>
        <v>10963962.332737498</v>
      </c>
      <c r="BG107" s="3">
        <f t="shared" si="240"/>
        <v>11229359.510992106</v>
      </c>
      <c r="BH107" s="3">
        <f t="shared" si="240"/>
        <v>9682934.8553170823</v>
      </c>
      <c r="BI107" s="3">
        <f t="shared" si="240"/>
        <v>8446841.3159107193</v>
      </c>
      <c r="BJ107" s="3">
        <f t="shared" si="240"/>
        <v>7277663.4768416099</v>
      </c>
      <c r="BK107" s="3">
        <f t="shared" si="240"/>
        <v>6519044.2439625598</v>
      </c>
      <c r="BL107" s="3">
        <f t="shared" si="240"/>
        <v>6401453.9522955082</v>
      </c>
      <c r="BM107" s="3">
        <f t="shared" si="240"/>
        <v>6650677.5336728618</v>
      </c>
      <c r="BN107" s="3">
        <f t="shared" si="240"/>
        <v>6674993.8635964859</v>
      </c>
      <c r="BO107" s="3">
        <f t="shared" si="240"/>
        <v>7050522.9688071273</v>
      </c>
      <c r="BP107" s="3">
        <f t="shared" si="240"/>
        <v>8865980.487653438</v>
      </c>
      <c r="BQ107" s="3">
        <f t="shared" ref="BQ107:CI107" si="241">BQ88+BQ79+BQ63+BQ55+BQ47+BQ38+BQ29+BQ20+BQ11+BQ73</f>
        <v>10157298.127798557</v>
      </c>
      <c r="BR107" s="3">
        <f t="shared" si="241"/>
        <v>10971026.029037695</v>
      </c>
      <c r="BS107" s="3">
        <f t="shared" si="241"/>
        <v>11236727.851243041</v>
      </c>
      <c r="BT107" s="3">
        <f t="shared" si="241"/>
        <v>9689198.3309371136</v>
      </c>
      <c r="BU107" s="3">
        <f t="shared" si="241"/>
        <v>8452144.8711456265</v>
      </c>
      <c r="BV107" s="3">
        <f t="shared" si="241"/>
        <v>7282121.6781378314</v>
      </c>
      <c r="BW107" s="3">
        <f t="shared" si="241"/>
        <v>6523029.4764816705</v>
      </c>
      <c r="BX107" s="3">
        <f t="shared" si="241"/>
        <v>6405378.9953650888</v>
      </c>
      <c r="BY107" s="3">
        <f t="shared" si="241"/>
        <v>6654608.6088441918</v>
      </c>
      <c r="BZ107" s="3">
        <f t="shared" si="241"/>
        <v>6678903.1099489201</v>
      </c>
      <c r="CA107" s="3">
        <f t="shared" si="241"/>
        <v>7054675.2084077336</v>
      </c>
      <c r="CB107" s="3">
        <f t="shared" si="241"/>
        <v>8871332.1804940328</v>
      </c>
      <c r="CC107" s="3">
        <f t="shared" si="241"/>
        <v>10163816.471781556</v>
      </c>
      <c r="CD107" s="3">
        <f t="shared" si="241"/>
        <v>10978087.231634274</v>
      </c>
      <c r="CE107" s="3">
        <f t="shared" si="241"/>
        <v>11244099.364404134</v>
      </c>
      <c r="CF107" s="3">
        <f t="shared" si="241"/>
        <v>9695459.1807745248</v>
      </c>
      <c r="CG107" s="3">
        <f t="shared" si="241"/>
        <v>8457451.4406967498</v>
      </c>
      <c r="CH107" s="3">
        <f t="shared" si="241"/>
        <v>7286582.7543743169</v>
      </c>
      <c r="CI107" s="3">
        <f t="shared" si="241"/>
        <v>6527011.9661932904</v>
      </c>
      <c r="CJ107" s="286"/>
      <c r="CK107" s="286"/>
      <c r="CL107" s="286"/>
    </row>
    <row r="108" spans="1:90">
      <c r="A108" s="2">
        <v>99</v>
      </c>
      <c r="C108" s="6" t="s">
        <v>356</v>
      </c>
      <c r="D108" s="3">
        <f t="shared" ref="D108:AI108" si="242">D61+D53+D45+D36+D27+D18</f>
        <v>1514769.5449406202</v>
      </c>
      <c r="E108" s="3">
        <f t="shared" si="242"/>
        <v>1137858.3338738799</v>
      </c>
      <c r="F108" s="3">
        <f t="shared" si="242"/>
        <v>1150957.9804821201</v>
      </c>
      <c r="G108" s="3">
        <f t="shared" si="242"/>
        <v>1863790.3610317702</v>
      </c>
      <c r="H108" s="3">
        <f t="shared" si="242"/>
        <v>5955540.2811910799</v>
      </c>
      <c r="I108" s="3">
        <f t="shared" si="242"/>
        <v>9805523.4758907594</v>
      </c>
      <c r="J108" s="3">
        <f t="shared" si="242"/>
        <v>11944815.599799719</v>
      </c>
      <c r="K108" s="3">
        <f t="shared" si="242"/>
        <v>11679315.414432842</v>
      </c>
      <c r="L108" s="3">
        <f t="shared" si="242"/>
        <v>8209728.76502412</v>
      </c>
      <c r="M108" s="3">
        <f t="shared" si="242"/>
        <v>5367665.6674384009</v>
      </c>
      <c r="N108" s="3">
        <f t="shared" si="242"/>
        <v>2679679.4990276499</v>
      </c>
      <c r="O108" s="3">
        <f t="shared" si="242"/>
        <v>1312081.3293802203</v>
      </c>
      <c r="P108" s="3">
        <f t="shared" si="242"/>
        <v>1129287.7057436872</v>
      </c>
      <c r="Q108" s="3">
        <f t="shared" si="242"/>
        <v>1455295.2767813618</v>
      </c>
      <c r="R108" s="3">
        <f t="shared" si="242"/>
        <v>1473037.2783011408</v>
      </c>
      <c r="S108" s="3">
        <f t="shared" si="242"/>
        <v>2381591.9345197519</v>
      </c>
      <c r="T108" s="3">
        <f t="shared" si="242"/>
        <v>5020342.9911030605</v>
      </c>
      <c r="U108" s="3">
        <f t="shared" si="242"/>
        <v>8262032.1305326782</v>
      </c>
      <c r="V108" s="3">
        <f t="shared" si="242"/>
        <v>10058758.094920952</v>
      </c>
      <c r="W108" s="3">
        <f t="shared" si="242"/>
        <v>15181336.498621821</v>
      </c>
      <c r="X108" s="3">
        <f t="shared" si="242"/>
        <v>10675234.789721131</v>
      </c>
      <c r="Y108" s="3">
        <f t="shared" si="242"/>
        <v>6982218.9628609549</v>
      </c>
      <c r="Z108" s="3">
        <f t="shared" si="242"/>
        <v>4112629.6777597396</v>
      </c>
      <c r="AA108" s="3">
        <f t="shared" si="242"/>
        <v>2020053.9170128419</v>
      </c>
      <c r="AB108" s="3">
        <f t="shared" si="242"/>
        <v>1734260.1808545445</v>
      </c>
      <c r="AC108" s="3">
        <f t="shared" si="242"/>
        <v>1895723.9966289767</v>
      </c>
      <c r="AD108" s="3">
        <f t="shared" si="242"/>
        <v>1919919.1172605176</v>
      </c>
      <c r="AE108" s="3">
        <f t="shared" si="242"/>
        <v>3099921.7521362798</v>
      </c>
      <c r="AF108" s="3">
        <f t="shared" si="242"/>
        <v>8220794.5724572185</v>
      </c>
      <c r="AG108" s="3">
        <f t="shared" si="242"/>
        <v>13532727.545907762</v>
      </c>
      <c r="AH108" s="3">
        <f t="shared" si="242"/>
        <v>16482301.918303896</v>
      </c>
      <c r="AI108" s="3">
        <f t="shared" si="242"/>
        <v>16228082.105095781</v>
      </c>
      <c r="AJ108" s="3">
        <f t="shared" ref="AJ108:BO108" si="243">AJ61+AJ53+AJ45+AJ36+AJ27+AJ18</f>
        <v>11412264.325620897</v>
      </c>
      <c r="AK108" s="3">
        <f t="shared" si="243"/>
        <v>7464970.8313706918</v>
      </c>
      <c r="AL108" s="3">
        <f t="shared" si="243"/>
        <v>4419271.4705398269</v>
      </c>
      <c r="AM108" s="3">
        <f t="shared" si="243"/>
        <v>2171797.2852725033</v>
      </c>
      <c r="AN108" s="3">
        <f t="shared" si="243"/>
        <v>1864145.3152697473</v>
      </c>
      <c r="AO108" s="3">
        <f t="shared" si="243"/>
        <v>1975977.2036426272</v>
      </c>
      <c r="AP108" s="3">
        <f t="shared" si="243"/>
        <v>2001317.9641274894</v>
      </c>
      <c r="AQ108" s="3">
        <f t="shared" si="243"/>
        <v>3230486.635333349</v>
      </c>
      <c r="AR108" s="3">
        <f t="shared" si="243"/>
        <v>8521417.6482652612</v>
      </c>
      <c r="AS108" s="3">
        <f t="shared" si="243"/>
        <v>14026869.662922414</v>
      </c>
      <c r="AT108" s="3">
        <f t="shared" si="243"/>
        <v>17083525.579559401</v>
      </c>
      <c r="AU108" s="3">
        <f t="shared" si="243"/>
        <v>16729352.160046171</v>
      </c>
      <c r="AV108" s="3">
        <f t="shared" si="243"/>
        <v>11765344.414575309</v>
      </c>
      <c r="AW108" s="3">
        <f t="shared" si="243"/>
        <v>7696360.6807970786</v>
      </c>
      <c r="AX108" s="3">
        <f t="shared" si="243"/>
        <v>4392548.9976138836</v>
      </c>
      <c r="AY108" s="3">
        <f t="shared" si="243"/>
        <v>2159027.2321166038</v>
      </c>
      <c r="AZ108" s="3">
        <f t="shared" si="243"/>
        <v>1853369.7211346072</v>
      </c>
      <c r="BA108" s="3">
        <f t="shared" si="243"/>
        <v>1965764.5508083515</v>
      </c>
      <c r="BB108" s="3">
        <f t="shared" si="243"/>
        <v>1990957.3009134014</v>
      </c>
      <c r="BC108" s="3">
        <f t="shared" si="243"/>
        <v>3213383.1772753373</v>
      </c>
      <c r="BD108" s="3">
        <f t="shared" si="243"/>
        <v>8503735.0026395544</v>
      </c>
      <c r="BE108" s="3">
        <f t="shared" si="243"/>
        <v>13997163.357545521</v>
      </c>
      <c r="BF108" s="3">
        <f t="shared" si="243"/>
        <v>17046939.804191526</v>
      </c>
      <c r="BG108" s="3">
        <f t="shared" si="243"/>
        <v>16634892.078450024</v>
      </c>
      <c r="BH108" s="3">
        <f t="shared" si="243"/>
        <v>11699077.37796149</v>
      </c>
      <c r="BI108" s="3">
        <f t="shared" si="243"/>
        <v>7653172.4823046587</v>
      </c>
      <c r="BJ108" s="3">
        <f t="shared" si="243"/>
        <v>4315198.1890510833</v>
      </c>
      <c r="BK108" s="3">
        <f t="shared" si="243"/>
        <v>2121236.9906053636</v>
      </c>
      <c r="BL108" s="3">
        <f t="shared" si="243"/>
        <v>1821203.9322910255</v>
      </c>
      <c r="BM108" s="3">
        <f t="shared" si="243"/>
        <v>1935989.1975952615</v>
      </c>
      <c r="BN108" s="3">
        <f t="shared" si="243"/>
        <v>1960754.3703726602</v>
      </c>
      <c r="BO108" s="3">
        <f t="shared" si="243"/>
        <v>3164364.4473444456</v>
      </c>
      <c r="BP108" s="3">
        <f t="shared" ref="BP108:CI108" si="244">BP61+BP53+BP45+BP36+BP27+BP18</f>
        <v>8416875.930964971</v>
      </c>
      <c r="BQ108" s="3">
        <f t="shared" si="244"/>
        <v>13853634.562827576</v>
      </c>
      <c r="BR108" s="3">
        <f t="shared" si="244"/>
        <v>16871794.361890309</v>
      </c>
      <c r="BS108" s="3">
        <f t="shared" si="244"/>
        <v>16481554.739356665</v>
      </c>
      <c r="BT108" s="3">
        <f t="shared" si="244"/>
        <v>11591367.145913543</v>
      </c>
      <c r="BU108" s="3">
        <f t="shared" si="244"/>
        <v>7582844.8120228481</v>
      </c>
      <c r="BV108" s="3">
        <f t="shared" si="244"/>
        <v>4302708.3998333579</v>
      </c>
      <c r="BW108" s="3">
        <f t="shared" si="244"/>
        <v>2115480.0827877107</v>
      </c>
      <c r="BX108" s="3">
        <f t="shared" si="244"/>
        <v>1816420.2156988219</v>
      </c>
      <c r="BY108" s="3">
        <f t="shared" si="244"/>
        <v>1935271.0319179003</v>
      </c>
      <c r="BZ108" s="3">
        <f t="shared" si="244"/>
        <v>1960024.0334395922</v>
      </c>
      <c r="CA108" s="3">
        <f t="shared" si="244"/>
        <v>3162766.6088777059</v>
      </c>
      <c r="CB108" s="3">
        <f t="shared" si="244"/>
        <v>8319975.354699254</v>
      </c>
      <c r="CC108" s="3">
        <f t="shared" si="244"/>
        <v>13693589.78808615</v>
      </c>
      <c r="CD108" s="3">
        <f t="shared" si="244"/>
        <v>16676528.121764563</v>
      </c>
      <c r="CE108" s="3">
        <f t="shared" si="244"/>
        <v>26103189.850136802</v>
      </c>
      <c r="CF108" s="3">
        <f t="shared" si="244"/>
        <v>18335044.881573945</v>
      </c>
      <c r="CG108" s="3">
        <f t="shared" si="244"/>
        <v>11979385.215059167</v>
      </c>
      <c r="CH108" s="3">
        <f t="shared" si="244"/>
        <v>6642963.0531493183</v>
      </c>
      <c r="CI108" s="3">
        <f t="shared" si="244"/>
        <v>3245732.6269633258</v>
      </c>
      <c r="CJ108" s="286"/>
      <c r="CK108" s="286"/>
      <c r="CL108" s="286"/>
    </row>
    <row r="109" spans="1:90">
      <c r="A109" s="2">
        <v>100</v>
      </c>
      <c r="B109" s="2" t="s">
        <v>197</v>
      </c>
    </row>
    <row r="110" spans="1:90">
      <c r="A110" s="2">
        <v>101</v>
      </c>
      <c r="B110" s="2" t="s">
        <v>199</v>
      </c>
      <c r="D110" s="6">
        <f>SUM(D111:D114)</f>
        <v>344286.60795065062</v>
      </c>
      <c r="E110" s="6">
        <f t="shared" ref="E110:BL110" si="245">SUM(E111:E114)</f>
        <v>349409.37641678506</v>
      </c>
      <c r="F110" s="6">
        <f t="shared" si="245"/>
        <v>395398.29365321557</v>
      </c>
      <c r="G110" s="6">
        <f t="shared" si="245"/>
        <v>996718.57267892722</v>
      </c>
      <c r="H110" s="6">
        <f t="shared" si="245"/>
        <v>2003384.9908208472</v>
      </c>
      <c r="I110" s="6">
        <f t="shared" si="245"/>
        <v>2972729.732364214</v>
      </c>
      <c r="J110" s="6">
        <f t="shared" si="245"/>
        <v>3176778.8805240728</v>
      </c>
      <c r="K110" s="6">
        <f t="shared" si="245"/>
        <v>2810503.917088714</v>
      </c>
      <c r="L110" s="6">
        <f t="shared" si="245"/>
        <v>1969277.7027976715</v>
      </c>
      <c r="M110" s="6">
        <f t="shared" si="245"/>
        <v>1102257.0699953623</v>
      </c>
      <c r="N110" s="6">
        <f t="shared" si="245"/>
        <v>581144.58487926971</v>
      </c>
      <c r="O110" s="6">
        <f t="shared" si="245"/>
        <v>350993.69959693804</v>
      </c>
      <c r="P110" s="6">
        <f t="shared" si="245"/>
        <v>344707.32672182936</v>
      </c>
      <c r="Q110" s="6">
        <f t="shared" si="245"/>
        <v>349830.09796213801</v>
      </c>
      <c r="R110" s="6">
        <f t="shared" si="245"/>
        <v>395861.23996232741</v>
      </c>
      <c r="S110" s="6">
        <f t="shared" si="245"/>
        <v>997680.31304939266</v>
      </c>
      <c r="T110" s="6">
        <f t="shared" si="245"/>
        <v>2005154.8127468158</v>
      </c>
      <c r="U110" s="6">
        <f t="shared" si="245"/>
        <v>2975257.8037300278</v>
      </c>
      <c r="V110" s="6">
        <f t="shared" si="245"/>
        <v>3179413.1074652197</v>
      </c>
      <c r="W110" s="6">
        <f t="shared" si="245"/>
        <v>2812847.5506681739</v>
      </c>
      <c r="X110" s="6">
        <f t="shared" si="245"/>
        <v>1970971.5579244778</v>
      </c>
      <c r="Y110" s="6">
        <f t="shared" si="245"/>
        <v>1103258.8803040434</v>
      </c>
      <c r="Z110" s="6">
        <f t="shared" si="245"/>
        <v>581721.07587686321</v>
      </c>
      <c r="AA110" s="213">
        <f t="shared" si="245"/>
        <v>351414.39976480819</v>
      </c>
      <c r="AB110" s="6">
        <f t="shared" si="245"/>
        <v>345128.14955919032</v>
      </c>
      <c r="AC110" s="6">
        <f t="shared" si="245"/>
        <v>350250.92336741748</v>
      </c>
      <c r="AD110" s="6">
        <f t="shared" si="245"/>
        <v>396324.28859662637</v>
      </c>
      <c r="AE110" s="6">
        <f t="shared" si="245"/>
        <v>998642.14715171512</v>
      </c>
      <c r="AF110" s="6">
        <f t="shared" si="245"/>
        <v>2006924.7127543548</v>
      </c>
      <c r="AG110" s="6">
        <f t="shared" si="245"/>
        <v>2977785.936833133</v>
      </c>
      <c r="AH110" s="6">
        <f t="shared" si="245"/>
        <v>3182047.3929608548</v>
      </c>
      <c r="AI110" s="6">
        <f t="shared" si="245"/>
        <v>2815191.2491056887</v>
      </c>
      <c r="AJ110" s="6">
        <f t="shared" si="245"/>
        <v>1972665.4923375177</v>
      </c>
      <c r="AK110" s="6">
        <f t="shared" si="245"/>
        <v>1104260.7852763282</v>
      </c>
      <c r="AL110" s="6">
        <f t="shared" si="245"/>
        <v>582297.67020757997</v>
      </c>
      <c r="AM110" s="213">
        <f t="shared" si="245"/>
        <v>351835.20543515874</v>
      </c>
      <c r="AN110" s="6">
        <f t="shared" si="245"/>
        <v>345549.022250426</v>
      </c>
      <c r="AO110" s="6">
        <f t="shared" si="245"/>
        <v>350671.7984623423</v>
      </c>
      <c r="AP110" s="6">
        <f t="shared" si="245"/>
        <v>396787.39577726775</v>
      </c>
      <c r="AQ110" s="6">
        <f t="shared" si="245"/>
        <v>999604.15017407725</v>
      </c>
      <c r="AR110" s="6">
        <f t="shared" si="245"/>
        <v>2008694.9646557206</v>
      </c>
      <c r="AS110" s="6">
        <f t="shared" si="245"/>
        <v>2980314.5956755122</v>
      </c>
      <c r="AT110" s="6">
        <f t="shared" si="245"/>
        <v>3184682.2328836485</v>
      </c>
      <c r="AU110" s="6">
        <f t="shared" si="245"/>
        <v>2817535.4358327943</v>
      </c>
      <c r="AV110" s="6">
        <f t="shared" si="245"/>
        <v>1974359.7680468084</v>
      </c>
      <c r="AW110" s="6">
        <f t="shared" si="245"/>
        <v>1105262.8750464579</v>
      </c>
      <c r="AX110" s="6">
        <f t="shared" si="245"/>
        <v>582874.35163267213</v>
      </c>
      <c r="AY110" s="213">
        <f t="shared" si="245"/>
        <v>352256.06205728714</v>
      </c>
      <c r="AZ110" s="6">
        <f t="shared" si="245"/>
        <v>345969.79451415082</v>
      </c>
      <c r="BA110" s="6">
        <f t="shared" si="245"/>
        <v>351092.57341758907</v>
      </c>
      <c r="BB110" s="6">
        <f t="shared" si="245"/>
        <v>397250.40536104701</v>
      </c>
      <c r="BC110" s="6">
        <f t="shared" si="245"/>
        <v>1000566.0766366249</v>
      </c>
      <c r="BD110" s="6">
        <f t="shared" si="245"/>
        <v>2010465.1720626727</v>
      </c>
      <c r="BE110" s="6">
        <f t="shared" si="245"/>
        <v>2982843.239777457</v>
      </c>
      <c r="BF110" s="6">
        <f t="shared" si="245"/>
        <v>3187317.05960477</v>
      </c>
      <c r="BG110" s="6">
        <f t="shared" si="245"/>
        <v>2819879.5974018341</v>
      </c>
      <c r="BH110" s="6">
        <f t="shared" si="245"/>
        <v>1976053.9912941086</v>
      </c>
      <c r="BI110" s="6">
        <f t="shared" si="245"/>
        <v>1106264.8831443929</v>
      </c>
      <c r="BJ110" s="6">
        <f t="shared" si="245"/>
        <v>583450.93536212679</v>
      </c>
      <c r="BK110" s="6">
        <f t="shared" si="245"/>
        <v>352676.81632768939</v>
      </c>
      <c r="BL110" s="6">
        <f t="shared" si="245"/>
        <v>346390.46393445728</v>
      </c>
      <c r="BM110" s="6">
        <f t="shared" ref="BM110:BX110" si="246">SUM(BM111:BM114)</f>
        <v>351513.24582208431</v>
      </c>
      <c r="BN110" s="6">
        <f t="shared" si="246"/>
        <v>397713.30006702204</v>
      </c>
      <c r="BO110" s="6">
        <f t="shared" si="246"/>
        <v>1001527.731289163</v>
      </c>
      <c r="BP110" s="6">
        <f t="shared" si="246"/>
        <v>2012234.8405672894</v>
      </c>
      <c r="BQ110" s="6">
        <f t="shared" si="246"/>
        <v>2985371.0869621215</v>
      </c>
      <c r="BR110" s="6">
        <f t="shared" si="246"/>
        <v>3189951.0403909981</v>
      </c>
      <c r="BS110" s="6">
        <f t="shared" si="246"/>
        <v>2822223.0107418676</v>
      </c>
      <c r="BT110" s="6">
        <f t="shared" si="246"/>
        <v>1977747.6821703224</v>
      </c>
      <c r="BU110" s="6">
        <f t="shared" si="246"/>
        <v>1107266.5887024254</v>
      </c>
      <c r="BV110" s="6">
        <f t="shared" si="246"/>
        <v>584027.36126802058</v>
      </c>
      <c r="BW110" s="6">
        <f t="shared" si="246"/>
        <v>353097.46579814126</v>
      </c>
      <c r="BX110" s="6">
        <f t="shared" si="246"/>
        <v>346811.38692511257</v>
      </c>
      <c r="BY110" s="6">
        <f t="shared" ref="BY110:CI110" si="247">SUM(BY111:BY114)</f>
        <v>351934.17102418904</v>
      </c>
      <c r="BZ110" s="6">
        <f t="shared" si="247"/>
        <v>398176.45260123629</v>
      </c>
      <c r="CA110" s="6">
        <f t="shared" si="247"/>
        <v>1002489.7269990024</v>
      </c>
      <c r="CB110" s="6">
        <f t="shared" si="247"/>
        <v>2014004.9884255396</v>
      </c>
      <c r="CC110" s="6">
        <f t="shared" si="247"/>
        <v>2987899.5428864202</v>
      </c>
      <c r="CD110" s="6">
        <f t="shared" si="247"/>
        <v>3192585.6532367487</v>
      </c>
      <c r="CE110" s="6">
        <f t="shared" si="247"/>
        <v>2824567.00793136</v>
      </c>
      <c r="CF110" s="6">
        <f t="shared" si="247"/>
        <v>1979441.8502560889</v>
      </c>
      <c r="CG110" s="6">
        <f t="shared" si="247"/>
        <v>1108268.658255225</v>
      </c>
      <c r="CH110" s="6">
        <f t="shared" si="247"/>
        <v>584604.07667759212</v>
      </c>
      <c r="CI110" s="6">
        <f t="shared" si="247"/>
        <v>353518.37400484731</v>
      </c>
      <c r="CJ110" s="287"/>
      <c r="CK110" s="287"/>
      <c r="CL110" s="287"/>
    </row>
    <row r="111" spans="1:90">
      <c r="A111" s="2">
        <v>102</v>
      </c>
      <c r="B111" s="2" t="s">
        <v>200</v>
      </c>
      <c r="D111" s="6">
        <f>WNA!C34</f>
        <v>154132.93017172083</v>
      </c>
      <c r="E111" s="6">
        <f>WNA!D34</f>
        <v>153923.35619154284</v>
      </c>
      <c r="F111" s="6">
        <f>WNA!E34</f>
        <v>185504.96149952969</v>
      </c>
      <c r="G111" s="6">
        <f>WNA!F34</f>
        <v>575612.73889332486</v>
      </c>
      <c r="H111" s="6">
        <f>WNA!G34</f>
        <v>1214973.9348776969</v>
      </c>
      <c r="I111" s="6">
        <f>WNA!H34</f>
        <v>1822652.1131353823</v>
      </c>
      <c r="J111" s="6">
        <f>WNA!I34</f>
        <v>1917381.9058976518</v>
      </c>
      <c r="K111" s="6">
        <f>WNA!J34</f>
        <v>1688105.6960227275</v>
      </c>
      <c r="L111" s="6">
        <f>WNA!K34</f>
        <v>1170191.4282511959</v>
      </c>
      <c r="M111" s="6">
        <f>WNA!L34</f>
        <v>620203.23757229524</v>
      </c>
      <c r="N111" s="6">
        <f>WNA!M34</f>
        <v>280240.71092808241</v>
      </c>
      <c r="O111" s="6">
        <f>WNA!N34</f>
        <v>155669.80602635923</v>
      </c>
      <c r="P111" s="6">
        <f>WNA!O34</f>
        <v>154132.85236013748</v>
      </c>
      <c r="Q111" s="6">
        <f>WNA!P34</f>
        <v>153923.27848575963</v>
      </c>
      <c r="R111" s="6">
        <f>WNA!Q34</f>
        <v>185504.88815894828</v>
      </c>
      <c r="S111" s="6">
        <f>WNA!R34</f>
        <v>575612.71043857338</v>
      </c>
      <c r="T111" s="6">
        <f>WNA!S34</f>
        <v>1214973.980349378</v>
      </c>
      <c r="U111" s="6">
        <f>WNA!T34</f>
        <v>1822652.2289581022</v>
      </c>
      <c r="V111" s="6">
        <f>WNA!U34</f>
        <v>1917382.0322198377</v>
      </c>
      <c r="W111" s="6">
        <f>WNA!V34</f>
        <v>1688105.7954477533</v>
      </c>
      <c r="X111" s="6">
        <f>WNA!W34</f>
        <v>1170191.4672057009</v>
      </c>
      <c r="Y111" s="6">
        <f>WNA!X34</f>
        <v>620203.21216014028</v>
      </c>
      <c r="Z111" s="6">
        <f>WNA!Y34</f>
        <v>280240.64624426974</v>
      </c>
      <c r="AA111" s="6">
        <f>WNA!Z34</f>
        <v>155669.7274389083</v>
      </c>
      <c r="AB111" s="6">
        <f>WNA!AA34</f>
        <v>154132.85236013748</v>
      </c>
      <c r="AC111" s="6">
        <f>WNA!AB34</f>
        <v>153923.27848575963</v>
      </c>
      <c r="AD111" s="6">
        <f>WNA!AC34</f>
        <v>185504.88815894828</v>
      </c>
      <c r="AE111" s="6">
        <f>WNA!AD34</f>
        <v>575612.71043857338</v>
      </c>
      <c r="AF111" s="6">
        <f>WNA!AE34</f>
        <v>1214973.980349378</v>
      </c>
      <c r="AG111" s="6">
        <f>WNA!AF34</f>
        <v>1822652.2289581022</v>
      </c>
      <c r="AH111" s="6">
        <f>WNA!AG34</f>
        <v>1917382.0322198377</v>
      </c>
      <c r="AI111" s="6">
        <f>WNA!AH34</f>
        <v>1688105.7954477533</v>
      </c>
      <c r="AJ111" s="6">
        <f>WNA!AI34</f>
        <v>1170191.4672057009</v>
      </c>
      <c r="AK111" s="6">
        <f>WNA!AJ34</f>
        <v>620203.21216014028</v>
      </c>
      <c r="AL111" s="6">
        <f>WNA!AK34</f>
        <v>280240.64624426974</v>
      </c>
      <c r="AM111" s="6">
        <f>WNA!AL34</f>
        <v>155669.7274389083</v>
      </c>
      <c r="AN111" s="6">
        <f>WNA!AM34</f>
        <v>154132.85236013748</v>
      </c>
      <c r="AO111" s="6">
        <f>WNA!AN34</f>
        <v>153923.27848575963</v>
      </c>
      <c r="AP111" s="6">
        <f>WNA!AO34</f>
        <v>185504.88815894828</v>
      </c>
      <c r="AQ111" s="6">
        <f>WNA!AP34</f>
        <v>575612.71043857338</v>
      </c>
      <c r="AR111" s="6">
        <f>WNA!AQ34</f>
        <v>1214973.980349378</v>
      </c>
      <c r="AS111" s="6">
        <f>WNA!AR34</f>
        <v>1822652.2289581022</v>
      </c>
      <c r="AT111" s="6">
        <f>WNA!AS34</f>
        <v>1917382.0322198377</v>
      </c>
      <c r="AU111" s="6">
        <f>WNA!AT34</f>
        <v>1688105.7954477533</v>
      </c>
      <c r="AV111" s="6">
        <f>WNA!AU34</f>
        <v>1170191.4672057009</v>
      </c>
      <c r="AW111" s="6">
        <f>WNA!AV34</f>
        <v>620203.21216014028</v>
      </c>
      <c r="AX111" s="6">
        <f>WNA!AW34</f>
        <v>280240.64624426974</v>
      </c>
      <c r="AY111" s="6">
        <f>WNA!AX34</f>
        <v>155669.7274389083</v>
      </c>
      <c r="AZ111" s="6">
        <f>WNA!AY34</f>
        <v>154132.85236013748</v>
      </c>
      <c r="BA111" s="6">
        <f>WNA!AZ34</f>
        <v>153923.27848575963</v>
      </c>
      <c r="BB111" s="6">
        <f>WNA!BA34</f>
        <v>185504.88815894828</v>
      </c>
      <c r="BC111" s="6">
        <f>WNA!BB34</f>
        <v>575612.71043857338</v>
      </c>
      <c r="BD111" s="6">
        <f>WNA!BC34</f>
        <v>1214973.980349378</v>
      </c>
      <c r="BE111" s="6">
        <f>WNA!BD34</f>
        <v>1822652.2289581022</v>
      </c>
      <c r="BF111" s="6">
        <f>WNA!BE34</f>
        <v>1917382.0322198377</v>
      </c>
      <c r="BG111" s="6">
        <f>WNA!BF34</f>
        <v>1688105.7954477533</v>
      </c>
      <c r="BH111" s="6">
        <f>WNA!BG34</f>
        <v>1170191.4672057009</v>
      </c>
      <c r="BI111" s="6">
        <f>WNA!BH34</f>
        <v>620203.21216014028</v>
      </c>
      <c r="BJ111" s="6">
        <f>WNA!BI34</f>
        <v>280240.64624426974</v>
      </c>
      <c r="BK111" s="6">
        <f>WNA!BJ34</f>
        <v>155669.7274389083</v>
      </c>
      <c r="BL111" s="6">
        <f>WNA!BK34</f>
        <v>154132.85236013748</v>
      </c>
      <c r="BM111" s="6">
        <f>WNA!BL34</f>
        <v>153923.27848575963</v>
      </c>
      <c r="BN111" s="6">
        <f>WNA!BM34</f>
        <v>185504.88815894828</v>
      </c>
      <c r="BO111" s="6">
        <f>WNA!BN34</f>
        <v>575612.71043857338</v>
      </c>
      <c r="BP111" s="6">
        <f>WNA!BO34</f>
        <v>1214973.980349378</v>
      </c>
      <c r="BQ111" s="6">
        <f>WNA!BP34</f>
        <v>1822652.2289581022</v>
      </c>
      <c r="BR111" s="6">
        <f>WNA!BQ34</f>
        <v>1917382.0322198377</v>
      </c>
      <c r="BS111" s="6">
        <f>WNA!BR34</f>
        <v>1688105.7954477533</v>
      </c>
      <c r="BT111" s="6">
        <f>WNA!BS34</f>
        <v>1170191.4672057009</v>
      </c>
      <c r="BU111" s="6">
        <f>WNA!BT34</f>
        <v>620203.21216014028</v>
      </c>
      <c r="BV111" s="6">
        <f>WNA!BU34</f>
        <v>280240.64624426974</v>
      </c>
      <c r="BW111" s="6">
        <f>WNA!BV34</f>
        <v>155669.7274389083</v>
      </c>
      <c r="BX111" s="6">
        <f>WNA!BW34</f>
        <v>154132.85236013748</v>
      </c>
      <c r="BY111" s="6">
        <f>WNA!BX34</f>
        <v>153923.27848575963</v>
      </c>
      <c r="BZ111" s="6">
        <f>WNA!BY34</f>
        <v>185504.88815894828</v>
      </c>
      <c r="CA111" s="6">
        <f>WNA!BZ34</f>
        <v>575612.71043857338</v>
      </c>
      <c r="CB111" s="6">
        <f>WNA!CA34</f>
        <v>1214973.980349378</v>
      </c>
      <c r="CC111" s="6">
        <f>WNA!CB34</f>
        <v>1822652.2289581022</v>
      </c>
      <c r="CD111" s="6">
        <f>WNA!CC34</f>
        <v>1917382.0322198377</v>
      </c>
      <c r="CE111" s="6">
        <f>WNA!CD34</f>
        <v>1688105.7954477533</v>
      </c>
      <c r="CF111" s="6">
        <f>WNA!CE34</f>
        <v>1170191.4672057009</v>
      </c>
      <c r="CG111" s="6">
        <f>WNA!CF34</f>
        <v>620203.21216014028</v>
      </c>
      <c r="CH111" s="6">
        <f>WNA!CG34</f>
        <v>280240.64624426974</v>
      </c>
      <c r="CI111" s="6">
        <f>WNA!CH34</f>
        <v>155669.7274389083</v>
      </c>
      <c r="CJ111" s="290"/>
      <c r="CK111" s="290"/>
      <c r="CL111" s="290"/>
    </row>
    <row r="112" spans="1:90">
      <c r="A112" s="2">
        <v>103</v>
      </c>
      <c r="B112" s="2" t="s">
        <v>201</v>
      </c>
      <c r="D112" s="6">
        <f>WNA!C61</f>
        <v>150167.54502493705</v>
      </c>
      <c r="E112" s="6">
        <f>WNA!D61</f>
        <v>149712.13407181189</v>
      </c>
      <c r="F112" s="6">
        <f>WNA!E61</f>
        <v>163335.5299802011</v>
      </c>
      <c r="G112" s="6">
        <f>WNA!F61</f>
        <v>340207.40751688561</v>
      </c>
      <c r="H112" s="6">
        <f>WNA!G61</f>
        <v>638369.59632187628</v>
      </c>
      <c r="I112" s="6">
        <f>WNA!H61</f>
        <v>924175.75795610866</v>
      </c>
      <c r="J112" s="6">
        <f>WNA!I61</f>
        <v>976323.43475661066</v>
      </c>
      <c r="K112" s="6">
        <f>WNA!J61</f>
        <v>868145.38520657795</v>
      </c>
      <c r="L112" s="6">
        <f>WNA!K61</f>
        <v>628745.45271885593</v>
      </c>
      <c r="M112" s="6">
        <f>WNA!L61</f>
        <v>373928.94529454422</v>
      </c>
      <c r="N112" s="6">
        <f>WNA!M61</f>
        <v>213095.0191101766</v>
      </c>
      <c r="O112" s="6">
        <f>WNA!N61</f>
        <v>153212.05158194041</v>
      </c>
      <c r="P112" s="6">
        <f>WNA!O61</f>
        <v>150588.34033700894</v>
      </c>
      <c r="Q112" s="6">
        <f>WNA!P61</f>
        <v>150132.93204969942</v>
      </c>
      <c r="R112" s="6">
        <f>WNA!Q61</f>
        <v>163798.54841735412</v>
      </c>
      <c r="S112" s="6">
        <f>WNA!R61</f>
        <v>341169.17587441322</v>
      </c>
      <c r="T112" s="6">
        <f>WNA!S61</f>
        <v>640139.37352392601</v>
      </c>
      <c r="U112" s="6">
        <f>WNA!T61</f>
        <v>926703.71539264638</v>
      </c>
      <c r="V112" s="6">
        <f>WNA!U61</f>
        <v>978957.53744060406</v>
      </c>
      <c r="W112" s="6">
        <f>WNA!V61</f>
        <v>870488.92097134225</v>
      </c>
      <c r="X112" s="6">
        <f>WNA!W61</f>
        <v>630439.26952589466</v>
      </c>
      <c r="Y112" s="6">
        <f>WNA!X61</f>
        <v>374930.78060732089</v>
      </c>
      <c r="Z112" s="6">
        <f>WNA!Y61</f>
        <v>213671.57373722515</v>
      </c>
      <c r="AA112" s="6">
        <f>WNA!Z61</f>
        <v>153632.82907254098</v>
      </c>
      <c r="AB112" s="6">
        <f>WNA!AA61</f>
        <v>151009.16317436993</v>
      </c>
      <c r="AC112" s="6">
        <f>WNA!AB61</f>
        <v>150553.75745497888</v>
      </c>
      <c r="AD112" s="6">
        <f>WNA!AC61</f>
        <v>164261.59705165305</v>
      </c>
      <c r="AE112" s="6">
        <f>WNA!AD61</f>
        <v>342131.00997673569</v>
      </c>
      <c r="AF112" s="6">
        <f>WNA!AE61</f>
        <v>641909.27353146498</v>
      </c>
      <c r="AG112" s="6">
        <f>WNA!AF61</f>
        <v>929231.84849575139</v>
      </c>
      <c r="AH112" s="6">
        <f>WNA!AG61</f>
        <v>981591.82293623919</v>
      </c>
      <c r="AI112" s="6">
        <f>WNA!AH61</f>
        <v>872832.61940885719</v>
      </c>
      <c r="AJ112" s="6">
        <f>WNA!AI61</f>
        <v>632133.2039389346</v>
      </c>
      <c r="AK112" s="6">
        <f>WNA!AJ61</f>
        <v>375932.68557960569</v>
      </c>
      <c r="AL112" s="6">
        <f>WNA!AK61</f>
        <v>214248.16806794194</v>
      </c>
      <c r="AM112" s="6">
        <f>WNA!AL61</f>
        <v>154053.6347428915</v>
      </c>
      <c r="AN112" s="6">
        <f>WNA!AM61</f>
        <v>151430.03586560558</v>
      </c>
      <c r="AO112" s="6">
        <f>WNA!AN61</f>
        <v>150974.63254990373</v>
      </c>
      <c r="AP112" s="6">
        <f>WNA!AO61</f>
        <v>164724.70423229449</v>
      </c>
      <c r="AQ112" s="6">
        <f>WNA!AP61</f>
        <v>343093.01299909782</v>
      </c>
      <c r="AR112" s="6">
        <f>WNA!AQ61</f>
        <v>643679.52543283103</v>
      </c>
      <c r="AS112" s="6">
        <f>WNA!AR61</f>
        <v>931760.50733813073</v>
      </c>
      <c r="AT112" s="6">
        <f>WNA!AS61</f>
        <v>984226.66285903298</v>
      </c>
      <c r="AU112" s="6">
        <f>WNA!AT61</f>
        <v>875176.80613596283</v>
      </c>
      <c r="AV112" s="6">
        <f>WNA!AU61</f>
        <v>633827.47964822524</v>
      </c>
      <c r="AW112" s="6">
        <f>WNA!AV61</f>
        <v>376934.77534973528</v>
      </c>
      <c r="AX112" s="6">
        <f>WNA!AW61</f>
        <v>214824.84949303415</v>
      </c>
      <c r="AY112" s="6">
        <f>WNA!AX61</f>
        <v>154474.4913650199</v>
      </c>
      <c r="AZ112" s="6">
        <f>WNA!AY61</f>
        <v>151850.8081293304</v>
      </c>
      <c r="BA112" s="6">
        <f>WNA!AZ61</f>
        <v>151395.40750515048</v>
      </c>
      <c r="BB112" s="6">
        <f>WNA!BA61</f>
        <v>165187.71381607375</v>
      </c>
      <c r="BC112" s="6">
        <f>WNA!BB61</f>
        <v>344054.93946164544</v>
      </c>
      <c r="BD112" s="6">
        <f>WNA!BC61</f>
        <v>645449.73283978307</v>
      </c>
      <c r="BE112" s="6">
        <f>WNA!BD61</f>
        <v>934289.15144007548</v>
      </c>
      <c r="BF112" s="6">
        <f>WNA!BE61</f>
        <v>986861.48958015477</v>
      </c>
      <c r="BG112" s="6">
        <f>WNA!BF61</f>
        <v>877520.96770500264</v>
      </c>
      <c r="BH112" s="6">
        <f>WNA!BG61</f>
        <v>635521.70289552526</v>
      </c>
      <c r="BI112" s="6">
        <f>WNA!BH61</f>
        <v>377936.7834476704</v>
      </c>
      <c r="BJ112" s="6">
        <f>WNA!BI61</f>
        <v>215401.43322248882</v>
      </c>
      <c r="BK112" s="6">
        <f>WNA!BJ61</f>
        <v>154895.24563542218</v>
      </c>
      <c r="BL112" s="6">
        <f>WNA!BK61</f>
        <v>152271.47754963685</v>
      </c>
      <c r="BM112" s="6">
        <f>WNA!BL61</f>
        <v>151816.07990964572</v>
      </c>
      <c r="BN112" s="6">
        <f>WNA!BM61</f>
        <v>165650.60852204874</v>
      </c>
      <c r="BO112" s="6">
        <f>WNA!BN61</f>
        <v>345016.59411418362</v>
      </c>
      <c r="BP112" s="6">
        <f>WNA!BO61</f>
        <v>647219.40134439955</v>
      </c>
      <c r="BQ112" s="6">
        <f>WNA!BP61</f>
        <v>936816.99862473982</v>
      </c>
      <c r="BR112" s="6">
        <f>WNA!BQ61</f>
        <v>989495.47036638251</v>
      </c>
      <c r="BS112" s="6">
        <f>WNA!BR61</f>
        <v>879864.38104503602</v>
      </c>
      <c r="BT112" s="6">
        <f>WNA!BS61</f>
        <v>637215.39377173933</v>
      </c>
      <c r="BU112" s="6">
        <f>WNA!BT61</f>
        <v>378938.4890057029</v>
      </c>
      <c r="BV112" s="6">
        <f>WNA!BU61</f>
        <v>215977.85912838252</v>
      </c>
      <c r="BW112" s="6">
        <f>WNA!BV61</f>
        <v>155315.89510587408</v>
      </c>
      <c r="BX112" s="6">
        <f>WNA!BW61</f>
        <v>152692.40054029218</v>
      </c>
      <c r="BY112" s="6">
        <f>WNA!BX61</f>
        <v>152237.00511175048</v>
      </c>
      <c r="BZ112" s="6">
        <f>WNA!BY61</f>
        <v>166113.76105626303</v>
      </c>
      <c r="CA112" s="6">
        <f>WNA!BZ61</f>
        <v>345978.58982402296</v>
      </c>
      <c r="CB112" s="6">
        <f>WNA!CA61</f>
        <v>648989.54920264985</v>
      </c>
      <c r="CC112" s="6">
        <f>WNA!CB61</f>
        <v>939345.45454903878</v>
      </c>
      <c r="CD112" s="6">
        <f>WNA!CC61</f>
        <v>992130.08321213303</v>
      </c>
      <c r="CE112" s="6">
        <f>WNA!CD61</f>
        <v>882208.37823452824</v>
      </c>
      <c r="CF112" s="6">
        <f>WNA!CE61</f>
        <v>638909.5618575057</v>
      </c>
      <c r="CG112" s="6">
        <f>WNA!CF61</f>
        <v>379940.55855850247</v>
      </c>
      <c r="CH112" s="6">
        <f>WNA!CG61</f>
        <v>216554.57453795415</v>
      </c>
      <c r="CI112" s="6">
        <f>WNA!CH61</f>
        <v>155736.80331258013</v>
      </c>
      <c r="CJ112" s="290"/>
      <c r="CK112" s="290"/>
      <c r="CL112" s="290"/>
    </row>
    <row r="113" spans="1:90">
      <c r="A113" s="2">
        <v>104</v>
      </c>
      <c r="B113" s="2" t="s">
        <v>202</v>
      </c>
      <c r="D113" s="6">
        <f t="shared" ref="D113:AI113" si="248">D34</f>
        <v>15877.684700000002</v>
      </c>
      <c r="E113" s="6">
        <f t="shared" si="248"/>
        <v>21616.8976</v>
      </c>
      <c r="F113" s="6">
        <f t="shared" si="248"/>
        <v>19783.6505</v>
      </c>
      <c r="G113" s="6">
        <f t="shared" si="248"/>
        <v>23476.986699999994</v>
      </c>
      <c r="H113" s="6">
        <f t="shared" si="248"/>
        <v>43374.445699999997</v>
      </c>
      <c r="I113" s="6">
        <f t="shared" si="248"/>
        <v>72466.311500000011</v>
      </c>
      <c r="J113" s="6">
        <f t="shared" si="248"/>
        <v>122214.24679999999</v>
      </c>
      <c r="K113" s="6">
        <f t="shared" si="248"/>
        <v>112514.85390000002</v>
      </c>
      <c r="L113" s="6">
        <f t="shared" si="248"/>
        <v>68008.585699999996</v>
      </c>
      <c r="M113" s="6">
        <f t="shared" si="248"/>
        <v>48282.486399999994</v>
      </c>
      <c r="N113" s="6">
        <f t="shared" si="248"/>
        <v>53748.832999999999</v>
      </c>
      <c r="O113" s="6">
        <f t="shared" si="248"/>
        <v>18116.6551</v>
      </c>
      <c r="P113" s="6">
        <f t="shared" si="248"/>
        <v>15877.684700000002</v>
      </c>
      <c r="Q113" s="6">
        <f t="shared" si="248"/>
        <v>21616.8976</v>
      </c>
      <c r="R113" s="6">
        <f t="shared" si="248"/>
        <v>19783.6505</v>
      </c>
      <c r="S113" s="6">
        <f t="shared" si="248"/>
        <v>23476.986699999994</v>
      </c>
      <c r="T113" s="6">
        <f t="shared" si="248"/>
        <v>43374.445699999997</v>
      </c>
      <c r="U113" s="6">
        <f t="shared" si="248"/>
        <v>72466.311500000011</v>
      </c>
      <c r="V113" s="6">
        <f t="shared" si="248"/>
        <v>122214.24679999999</v>
      </c>
      <c r="W113" s="6">
        <f t="shared" si="248"/>
        <v>112514.85390000002</v>
      </c>
      <c r="X113" s="6">
        <f t="shared" si="248"/>
        <v>68008.585699999996</v>
      </c>
      <c r="Y113" s="6">
        <f t="shared" si="248"/>
        <v>48282.486399999994</v>
      </c>
      <c r="Z113" s="6">
        <f t="shared" si="248"/>
        <v>53748.832999999999</v>
      </c>
      <c r="AA113" s="6">
        <f t="shared" si="248"/>
        <v>18116.6551</v>
      </c>
      <c r="AB113" s="6">
        <f t="shared" si="248"/>
        <v>15877.684700000002</v>
      </c>
      <c r="AC113" s="6">
        <f t="shared" si="248"/>
        <v>21616.8976</v>
      </c>
      <c r="AD113" s="6">
        <f t="shared" si="248"/>
        <v>19783.6505</v>
      </c>
      <c r="AE113" s="6">
        <f t="shared" si="248"/>
        <v>23476.986699999994</v>
      </c>
      <c r="AF113" s="6">
        <f t="shared" si="248"/>
        <v>43374.445699999997</v>
      </c>
      <c r="AG113" s="6">
        <f t="shared" si="248"/>
        <v>72466.311500000011</v>
      </c>
      <c r="AH113" s="6">
        <f t="shared" si="248"/>
        <v>122214.24679999999</v>
      </c>
      <c r="AI113" s="6">
        <f t="shared" si="248"/>
        <v>112514.85390000002</v>
      </c>
      <c r="AJ113" s="6">
        <f t="shared" ref="AJ113:BO113" si="249">AJ34</f>
        <v>68008.585699999996</v>
      </c>
      <c r="AK113" s="6">
        <f t="shared" si="249"/>
        <v>48282.486399999994</v>
      </c>
      <c r="AL113" s="6">
        <f t="shared" si="249"/>
        <v>53748.832999999999</v>
      </c>
      <c r="AM113" s="6">
        <f t="shared" si="249"/>
        <v>18116.6551</v>
      </c>
      <c r="AN113" s="6">
        <f t="shared" si="249"/>
        <v>15877.684700000002</v>
      </c>
      <c r="AO113" s="6">
        <f t="shared" si="249"/>
        <v>21616.8976</v>
      </c>
      <c r="AP113" s="6">
        <f t="shared" si="249"/>
        <v>19783.6505</v>
      </c>
      <c r="AQ113" s="6">
        <f t="shared" si="249"/>
        <v>23476.986699999994</v>
      </c>
      <c r="AR113" s="6">
        <f t="shared" si="249"/>
        <v>43374.445699999997</v>
      </c>
      <c r="AS113" s="6">
        <f t="shared" si="249"/>
        <v>72466.311500000011</v>
      </c>
      <c r="AT113" s="6">
        <f t="shared" si="249"/>
        <v>122214.24679999999</v>
      </c>
      <c r="AU113" s="6">
        <f t="shared" si="249"/>
        <v>112514.85390000002</v>
      </c>
      <c r="AV113" s="6">
        <f t="shared" si="249"/>
        <v>68008.585699999996</v>
      </c>
      <c r="AW113" s="6">
        <f t="shared" si="249"/>
        <v>48282.486399999994</v>
      </c>
      <c r="AX113" s="6">
        <f t="shared" si="249"/>
        <v>53748.832999999999</v>
      </c>
      <c r="AY113" s="6">
        <f t="shared" si="249"/>
        <v>18116.6551</v>
      </c>
      <c r="AZ113" s="6">
        <f t="shared" si="249"/>
        <v>15877.684700000002</v>
      </c>
      <c r="BA113" s="6">
        <f t="shared" si="249"/>
        <v>21616.8976</v>
      </c>
      <c r="BB113" s="6">
        <f t="shared" si="249"/>
        <v>19783.6505</v>
      </c>
      <c r="BC113" s="6">
        <f t="shared" si="249"/>
        <v>23476.986699999994</v>
      </c>
      <c r="BD113" s="6">
        <f t="shared" si="249"/>
        <v>43374.445699999997</v>
      </c>
      <c r="BE113" s="6">
        <f t="shared" si="249"/>
        <v>72466.311500000011</v>
      </c>
      <c r="BF113" s="6">
        <f t="shared" si="249"/>
        <v>122214.24679999999</v>
      </c>
      <c r="BG113" s="6">
        <f t="shared" si="249"/>
        <v>112514.85390000002</v>
      </c>
      <c r="BH113" s="6">
        <f t="shared" si="249"/>
        <v>68008.585699999996</v>
      </c>
      <c r="BI113" s="6">
        <f t="shared" si="249"/>
        <v>48282.486399999994</v>
      </c>
      <c r="BJ113" s="6">
        <f t="shared" si="249"/>
        <v>53748.832999999999</v>
      </c>
      <c r="BK113" s="6">
        <f t="shared" si="249"/>
        <v>18116.6551</v>
      </c>
      <c r="BL113" s="6">
        <f t="shared" si="249"/>
        <v>15877.684700000002</v>
      </c>
      <c r="BM113" s="6">
        <f t="shared" si="249"/>
        <v>21616.8976</v>
      </c>
      <c r="BN113" s="6">
        <f t="shared" si="249"/>
        <v>19783.6505</v>
      </c>
      <c r="BO113" s="6">
        <f t="shared" si="249"/>
        <v>23476.986699999994</v>
      </c>
      <c r="BP113" s="6">
        <f t="shared" ref="BP113:CI113" si="250">BP34</f>
        <v>43374.445699999997</v>
      </c>
      <c r="BQ113" s="6">
        <f t="shared" si="250"/>
        <v>72466.311500000011</v>
      </c>
      <c r="BR113" s="6">
        <f t="shared" si="250"/>
        <v>122214.24679999999</v>
      </c>
      <c r="BS113" s="6">
        <f t="shared" si="250"/>
        <v>112514.85390000002</v>
      </c>
      <c r="BT113" s="6">
        <f t="shared" si="250"/>
        <v>68008.585699999996</v>
      </c>
      <c r="BU113" s="6">
        <f t="shared" si="250"/>
        <v>48282.486399999994</v>
      </c>
      <c r="BV113" s="6">
        <f t="shared" si="250"/>
        <v>53748.832999999999</v>
      </c>
      <c r="BW113" s="6">
        <f t="shared" si="250"/>
        <v>18116.6551</v>
      </c>
      <c r="BX113" s="6">
        <f t="shared" si="250"/>
        <v>15877.684700000002</v>
      </c>
      <c r="BY113" s="6">
        <f t="shared" si="250"/>
        <v>21616.8976</v>
      </c>
      <c r="BZ113" s="6">
        <f t="shared" si="250"/>
        <v>19783.6505</v>
      </c>
      <c r="CA113" s="6">
        <f t="shared" si="250"/>
        <v>23476.986699999994</v>
      </c>
      <c r="CB113" s="6">
        <f t="shared" si="250"/>
        <v>43374.445699999997</v>
      </c>
      <c r="CC113" s="6">
        <f t="shared" si="250"/>
        <v>72466.311500000011</v>
      </c>
      <c r="CD113" s="6">
        <f t="shared" si="250"/>
        <v>122214.24679999999</v>
      </c>
      <c r="CE113" s="6">
        <f t="shared" si="250"/>
        <v>112514.85390000002</v>
      </c>
      <c r="CF113" s="6">
        <f t="shared" si="250"/>
        <v>68008.585699999996</v>
      </c>
      <c r="CG113" s="6">
        <f t="shared" si="250"/>
        <v>48282.486399999994</v>
      </c>
      <c r="CH113" s="6">
        <f t="shared" si="250"/>
        <v>53748.832999999999</v>
      </c>
      <c r="CI113" s="6">
        <f t="shared" si="250"/>
        <v>18116.6551</v>
      </c>
      <c r="CJ113" s="287"/>
      <c r="CK113" s="287"/>
      <c r="CL113" s="287"/>
    </row>
    <row r="114" spans="1:90">
      <c r="A114" s="2">
        <v>105</v>
      </c>
      <c r="B114" s="2" t="s">
        <v>203</v>
      </c>
      <c r="D114" s="6">
        <f>WNA!C88</f>
        <v>24108.448053992757</v>
      </c>
      <c r="E114" s="6">
        <f>WNA!D88</f>
        <v>24156.988553430325</v>
      </c>
      <c r="F114" s="6">
        <f>WNA!E88</f>
        <v>26774.151673484754</v>
      </c>
      <c r="G114" s="6">
        <f>WNA!F88</f>
        <v>57421.43956871672</v>
      </c>
      <c r="H114" s="6">
        <f>WNA!G88</f>
        <v>106667.01392127403</v>
      </c>
      <c r="I114" s="6">
        <f>WNA!H88</f>
        <v>153435.54977272302</v>
      </c>
      <c r="J114" s="6">
        <f>WNA!I88</f>
        <v>160859.29306981066</v>
      </c>
      <c r="K114" s="6">
        <f>WNA!J88</f>
        <v>141737.98195940867</v>
      </c>
      <c r="L114" s="6">
        <f>WNA!K88</f>
        <v>102332.23612761956</v>
      </c>
      <c r="M114" s="6">
        <f>WNA!L88</f>
        <v>59842.400728522713</v>
      </c>
      <c r="N114" s="6">
        <f>WNA!M88</f>
        <v>34060.021841010661</v>
      </c>
      <c r="O114" s="6">
        <f>WNA!N88</f>
        <v>23995.186888638425</v>
      </c>
      <c r="P114" s="6">
        <f>WNA!O88</f>
        <v>24108.44932468293</v>
      </c>
      <c r="Q114" s="6">
        <f>WNA!P88</f>
        <v>24156.989826678935</v>
      </c>
      <c r="R114" s="6">
        <f>WNA!Q88</f>
        <v>26774.152886025036</v>
      </c>
      <c r="S114" s="6">
        <f>WNA!R88</f>
        <v>57421.440036406086</v>
      </c>
      <c r="T114" s="6">
        <f>WNA!S88</f>
        <v>106667.0131735118</v>
      </c>
      <c r="U114" s="6">
        <f>WNA!T88</f>
        <v>153435.54787927956</v>
      </c>
      <c r="V114" s="6">
        <f>WNA!U88</f>
        <v>160859.29100477786</v>
      </c>
      <c r="W114" s="6">
        <f>WNA!V88</f>
        <v>141737.98034907813</v>
      </c>
      <c r="X114" s="6">
        <f>WNA!W88</f>
        <v>102332.2354928823</v>
      </c>
      <c r="Y114" s="6">
        <f>WNA!X88</f>
        <v>59842.40113658231</v>
      </c>
      <c r="Z114" s="6">
        <f>WNA!Y88</f>
        <v>34060.022895368238</v>
      </c>
      <c r="AA114" s="6">
        <f>WNA!Z88</f>
        <v>23995.188153358915</v>
      </c>
      <c r="AB114" s="6">
        <f>WNA!AA88</f>
        <v>24108.44932468293</v>
      </c>
      <c r="AC114" s="6">
        <f>WNA!AB88</f>
        <v>24156.989826678935</v>
      </c>
      <c r="AD114" s="6">
        <f>WNA!AC88</f>
        <v>26774.152886025036</v>
      </c>
      <c r="AE114" s="6">
        <f>WNA!AD88</f>
        <v>57421.440036406086</v>
      </c>
      <c r="AF114" s="6">
        <f>WNA!AE88</f>
        <v>106667.0131735118</v>
      </c>
      <c r="AG114" s="6">
        <f>WNA!AF88</f>
        <v>153435.54787927956</v>
      </c>
      <c r="AH114" s="6">
        <f>WNA!AG88</f>
        <v>160859.29100477786</v>
      </c>
      <c r="AI114" s="6">
        <f>WNA!AH88</f>
        <v>141737.98034907813</v>
      </c>
      <c r="AJ114" s="6">
        <f>WNA!AI88</f>
        <v>102332.2354928823</v>
      </c>
      <c r="AK114" s="6">
        <f>WNA!AJ88</f>
        <v>59842.40113658231</v>
      </c>
      <c r="AL114" s="6">
        <f>WNA!AK88</f>
        <v>34060.022895368238</v>
      </c>
      <c r="AM114" s="6">
        <f>WNA!AL88</f>
        <v>23995.188153358915</v>
      </c>
      <c r="AN114" s="6">
        <f>WNA!AM88</f>
        <v>24108.44932468293</v>
      </c>
      <c r="AO114" s="6">
        <f>WNA!AN88</f>
        <v>24156.989826678935</v>
      </c>
      <c r="AP114" s="6">
        <f>WNA!AO88</f>
        <v>26774.152886025036</v>
      </c>
      <c r="AQ114" s="6">
        <f>WNA!AP88</f>
        <v>57421.440036406086</v>
      </c>
      <c r="AR114" s="6">
        <f>WNA!AQ88</f>
        <v>106667.0131735118</v>
      </c>
      <c r="AS114" s="6">
        <f>WNA!AR88</f>
        <v>153435.54787927956</v>
      </c>
      <c r="AT114" s="6">
        <f>WNA!AS88</f>
        <v>160859.29100477786</v>
      </c>
      <c r="AU114" s="6">
        <f>WNA!AT88</f>
        <v>141737.98034907813</v>
      </c>
      <c r="AV114" s="6">
        <f>WNA!AU88</f>
        <v>102332.2354928823</v>
      </c>
      <c r="AW114" s="6">
        <f>WNA!AV88</f>
        <v>59842.40113658231</v>
      </c>
      <c r="AX114" s="6">
        <f>WNA!AW88</f>
        <v>34060.022895368238</v>
      </c>
      <c r="AY114" s="6">
        <f>WNA!AX88</f>
        <v>23995.188153358915</v>
      </c>
      <c r="AZ114" s="6">
        <f>WNA!AY88</f>
        <v>24108.44932468293</v>
      </c>
      <c r="BA114" s="6">
        <f>WNA!AZ88</f>
        <v>24156.989826678935</v>
      </c>
      <c r="BB114" s="6">
        <f>WNA!BA88</f>
        <v>26774.152886025036</v>
      </c>
      <c r="BC114" s="6">
        <f>WNA!BB88</f>
        <v>57421.440036406086</v>
      </c>
      <c r="BD114" s="6">
        <f>WNA!BC88</f>
        <v>106667.0131735118</v>
      </c>
      <c r="BE114" s="6">
        <f>WNA!BD88</f>
        <v>153435.54787927956</v>
      </c>
      <c r="BF114" s="6">
        <f>WNA!BE88</f>
        <v>160859.29100477786</v>
      </c>
      <c r="BG114" s="6">
        <f>WNA!BF88</f>
        <v>141737.98034907813</v>
      </c>
      <c r="BH114" s="6">
        <f>WNA!BG88</f>
        <v>102332.2354928823</v>
      </c>
      <c r="BI114" s="6">
        <f>WNA!BH88</f>
        <v>59842.40113658231</v>
      </c>
      <c r="BJ114" s="6">
        <f>WNA!BI88</f>
        <v>34060.022895368238</v>
      </c>
      <c r="BK114" s="6">
        <f>WNA!BJ88</f>
        <v>23995.188153358915</v>
      </c>
      <c r="BL114" s="6">
        <f>WNA!BK88</f>
        <v>24108.44932468293</v>
      </c>
      <c r="BM114" s="6">
        <f>WNA!BL88</f>
        <v>24156.989826678935</v>
      </c>
      <c r="BN114" s="6">
        <f>WNA!BM88</f>
        <v>26774.152886025036</v>
      </c>
      <c r="BO114" s="6">
        <f>WNA!BN88</f>
        <v>57421.440036406086</v>
      </c>
      <c r="BP114" s="6">
        <f>WNA!BO88</f>
        <v>106667.0131735118</v>
      </c>
      <c r="BQ114" s="6">
        <f>WNA!BP88</f>
        <v>153435.54787927956</v>
      </c>
      <c r="BR114" s="6">
        <f>WNA!BQ88</f>
        <v>160859.29100477786</v>
      </c>
      <c r="BS114" s="6">
        <f>WNA!BR88</f>
        <v>141737.98034907813</v>
      </c>
      <c r="BT114" s="6">
        <f>WNA!BS88</f>
        <v>102332.2354928823</v>
      </c>
      <c r="BU114" s="6">
        <f>WNA!BT88</f>
        <v>59842.40113658231</v>
      </c>
      <c r="BV114" s="6">
        <f>WNA!BU88</f>
        <v>34060.022895368238</v>
      </c>
      <c r="BW114" s="6">
        <f>WNA!BV88</f>
        <v>23995.188153358915</v>
      </c>
      <c r="BX114" s="6">
        <f>WNA!BW88</f>
        <v>24108.44932468293</v>
      </c>
      <c r="BY114" s="6">
        <f>WNA!BX88</f>
        <v>24156.989826678935</v>
      </c>
      <c r="BZ114" s="6">
        <f>WNA!BY88</f>
        <v>26774.152886025036</v>
      </c>
      <c r="CA114" s="6">
        <f>WNA!BZ88</f>
        <v>57421.440036406086</v>
      </c>
      <c r="CB114" s="6">
        <f>WNA!CA88</f>
        <v>106667.0131735118</v>
      </c>
      <c r="CC114" s="6">
        <f>WNA!CB88</f>
        <v>153435.54787927956</v>
      </c>
      <c r="CD114" s="6">
        <f>WNA!CC88</f>
        <v>160859.29100477786</v>
      </c>
      <c r="CE114" s="6">
        <f>WNA!CD88</f>
        <v>141737.98034907813</v>
      </c>
      <c r="CF114" s="6">
        <f>WNA!CE88</f>
        <v>102332.2354928823</v>
      </c>
      <c r="CG114" s="6">
        <f>WNA!CF88</f>
        <v>59842.40113658231</v>
      </c>
      <c r="CH114" s="6">
        <f>WNA!CG88</f>
        <v>34060.022895368238</v>
      </c>
      <c r="CI114" s="6">
        <f>WNA!CH88</f>
        <v>23995.188153358915</v>
      </c>
      <c r="CJ114" s="290"/>
      <c r="CK114" s="290"/>
      <c r="CL114" s="290"/>
    </row>
    <row r="115" spans="1:90">
      <c r="A115" s="2">
        <v>106</v>
      </c>
      <c r="B115" s="2" t="s">
        <v>198</v>
      </c>
      <c r="D115" s="6">
        <f t="shared" ref="D115:AI115" si="251">D51+D59</f>
        <v>8935.5587999999989</v>
      </c>
      <c r="E115" s="6">
        <f t="shared" si="251"/>
        <v>10125.7076</v>
      </c>
      <c r="F115" s="6">
        <f t="shared" si="251"/>
        <v>12920.172399999999</v>
      </c>
      <c r="G115" s="6">
        <f t="shared" si="251"/>
        <v>11624.133899999999</v>
      </c>
      <c r="H115" s="6">
        <f t="shared" si="251"/>
        <v>16054.912100000001</v>
      </c>
      <c r="I115" s="6">
        <f t="shared" si="251"/>
        <v>23383.2333</v>
      </c>
      <c r="J115" s="6">
        <f t="shared" si="251"/>
        <v>23449.4509</v>
      </c>
      <c r="K115" s="6">
        <f t="shared" si="251"/>
        <v>21276.8724</v>
      </c>
      <c r="L115" s="6">
        <f t="shared" si="251"/>
        <v>24940.284</v>
      </c>
      <c r="M115" s="6">
        <f t="shared" si="251"/>
        <v>22847.010200000001</v>
      </c>
      <c r="N115" s="6">
        <f t="shared" si="251"/>
        <v>19024.201700000001</v>
      </c>
      <c r="O115" s="6">
        <f t="shared" si="251"/>
        <v>18129.4974</v>
      </c>
      <c r="P115" s="6">
        <f t="shared" si="251"/>
        <v>8935.5587999999989</v>
      </c>
      <c r="Q115" s="6">
        <f t="shared" si="251"/>
        <v>10125.7076</v>
      </c>
      <c r="R115" s="6">
        <f t="shared" si="251"/>
        <v>12920.172399999999</v>
      </c>
      <c r="S115" s="6">
        <f t="shared" si="251"/>
        <v>11624.133899999999</v>
      </c>
      <c r="T115" s="6">
        <f t="shared" si="251"/>
        <v>16054.912100000001</v>
      </c>
      <c r="U115" s="6">
        <f t="shared" si="251"/>
        <v>23383.2333</v>
      </c>
      <c r="V115" s="6">
        <f t="shared" si="251"/>
        <v>23449.4509</v>
      </c>
      <c r="W115" s="6">
        <f t="shared" si="251"/>
        <v>21276.8724</v>
      </c>
      <c r="X115" s="6">
        <f t="shared" si="251"/>
        <v>24940.284</v>
      </c>
      <c r="Y115" s="6">
        <f t="shared" si="251"/>
        <v>22847.010200000001</v>
      </c>
      <c r="Z115" s="6">
        <f t="shared" si="251"/>
        <v>19024.201700000001</v>
      </c>
      <c r="AA115" s="213">
        <f t="shared" si="251"/>
        <v>18129.4974</v>
      </c>
      <c r="AB115" s="6">
        <f t="shared" si="251"/>
        <v>8935.5587999999989</v>
      </c>
      <c r="AC115" s="6">
        <f t="shared" si="251"/>
        <v>10125.7076</v>
      </c>
      <c r="AD115" s="6">
        <f t="shared" si="251"/>
        <v>12920.172399999999</v>
      </c>
      <c r="AE115" s="6">
        <f t="shared" si="251"/>
        <v>11624.133899999999</v>
      </c>
      <c r="AF115" s="6">
        <f t="shared" si="251"/>
        <v>16054.912100000001</v>
      </c>
      <c r="AG115" s="6">
        <f t="shared" si="251"/>
        <v>23383.2333</v>
      </c>
      <c r="AH115" s="6">
        <f t="shared" si="251"/>
        <v>23449.4509</v>
      </c>
      <c r="AI115" s="6">
        <f t="shared" si="251"/>
        <v>21276.8724</v>
      </c>
      <c r="AJ115" s="6">
        <f t="shared" ref="AJ115:BO115" si="252">AJ51+AJ59</f>
        <v>24940.284</v>
      </c>
      <c r="AK115" s="6">
        <f t="shared" si="252"/>
        <v>22847.010200000001</v>
      </c>
      <c r="AL115" s="6">
        <f t="shared" si="252"/>
        <v>19024.201700000001</v>
      </c>
      <c r="AM115" s="213">
        <f t="shared" si="252"/>
        <v>18129.4974</v>
      </c>
      <c r="AN115" s="6">
        <f t="shared" si="252"/>
        <v>8935.5587999999989</v>
      </c>
      <c r="AO115" s="6">
        <f t="shared" si="252"/>
        <v>10125.7076</v>
      </c>
      <c r="AP115" s="6">
        <f t="shared" si="252"/>
        <v>12920.172399999999</v>
      </c>
      <c r="AQ115" s="6">
        <f t="shared" si="252"/>
        <v>11624.133899999999</v>
      </c>
      <c r="AR115" s="6">
        <f t="shared" si="252"/>
        <v>16054.912100000001</v>
      </c>
      <c r="AS115" s="6">
        <f t="shared" si="252"/>
        <v>23383.2333</v>
      </c>
      <c r="AT115" s="6">
        <f t="shared" si="252"/>
        <v>23449.4509</v>
      </c>
      <c r="AU115" s="6">
        <f t="shared" si="252"/>
        <v>21276.8724</v>
      </c>
      <c r="AV115" s="6">
        <f t="shared" si="252"/>
        <v>24940.284</v>
      </c>
      <c r="AW115" s="6">
        <f t="shared" si="252"/>
        <v>22847.010200000001</v>
      </c>
      <c r="AX115" s="6">
        <f t="shared" si="252"/>
        <v>19024.201700000001</v>
      </c>
      <c r="AY115" s="213">
        <f t="shared" si="252"/>
        <v>18129.4974</v>
      </c>
      <c r="AZ115" s="6">
        <f t="shared" si="252"/>
        <v>8935.5587999999989</v>
      </c>
      <c r="BA115" s="6">
        <f t="shared" si="252"/>
        <v>10125.7076</v>
      </c>
      <c r="BB115" s="6">
        <f t="shared" si="252"/>
        <v>12920.172399999999</v>
      </c>
      <c r="BC115" s="6">
        <f t="shared" si="252"/>
        <v>11624.133899999999</v>
      </c>
      <c r="BD115" s="6">
        <f t="shared" si="252"/>
        <v>16054.912100000001</v>
      </c>
      <c r="BE115" s="6">
        <f t="shared" si="252"/>
        <v>23383.2333</v>
      </c>
      <c r="BF115" s="6">
        <f t="shared" si="252"/>
        <v>23449.4509</v>
      </c>
      <c r="BG115" s="6">
        <f t="shared" si="252"/>
        <v>21276.8724</v>
      </c>
      <c r="BH115" s="6">
        <f t="shared" si="252"/>
        <v>24940.284</v>
      </c>
      <c r="BI115" s="6">
        <f t="shared" si="252"/>
        <v>22847.010200000001</v>
      </c>
      <c r="BJ115" s="6">
        <f t="shared" si="252"/>
        <v>19024.201700000001</v>
      </c>
      <c r="BK115" s="6">
        <f t="shared" si="252"/>
        <v>18129.4974</v>
      </c>
      <c r="BL115" s="6">
        <f t="shared" si="252"/>
        <v>8935.5587999999989</v>
      </c>
      <c r="BM115" s="6">
        <f t="shared" si="252"/>
        <v>10125.7076</v>
      </c>
      <c r="BN115" s="6">
        <f t="shared" si="252"/>
        <v>12920.172399999999</v>
      </c>
      <c r="BO115" s="6">
        <f t="shared" si="252"/>
        <v>11624.133899999999</v>
      </c>
      <c r="BP115" s="6">
        <f t="shared" ref="BP115:CI115" si="253">BP51+BP59</f>
        <v>16054.912100000001</v>
      </c>
      <c r="BQ115" s="6">
        <f t="shared" si="253"/>
        <v>23383.2333</v>
      </c>
      <c r="BR115" s="6">
        <f t="shared" si="253"/>
        <v>23449.4509</v>
      </c>
      <c r="BS115" s="6">
        <f t="shared" si="253"/>
        <v>21276.8724</v>
      </c>
      <c r="BT115" s="6">
        <f t="shared" si="253"/>
        <v>24940.284</v>
      </c>
      <c r="BU115" s="6">
        <f t="shared" si="253"/>
        <v>22847.010200000001</v>
      </c>
      <c r="BV115" s="6">
        <f t="shared" si="253"/>
        <v>19024.201700000001</v>
      </c>
      <c r="BW115" s="6">
        <f t="shared" si="253"/>
        <v>18129.4974</v>
      </c>
      <c r="BX115" s="6">
        <f t="shared" si="253"/>
        <v>8935.5587999999989</v>
      </c>
      <c r="BY115" s="6">
        <f t="shared" si="253"/>
        <v>10125.7076</v>
      </c>
      <c r="BZ115" s="6">
        <f t="shared" si="253"/>
        <v>12920.172399999999</v>
      </c>
      <c r="CA115" s="6">
        <f t="shared" si="253"/>
        <v>11624.133899999999</v>
      </c>
      <c r="CB115" s="6">
        <f t="shared" si="253"/>
        <v>16054.912100000001</v>
      </c>
      <c r="CC115" s="6">
        <f t="shared" si="253"/>
        <v>23383.2333</v>
      </c>
      <c r="CD115" s="6">
        <f t="shared" si="253"/>
        <v>23449.4509</v>
      </c>
      <c r="CE115" s="6">
        <f t="shared" si="253"/>
        <v>21276.8724</v>
      </c>
      <c r="CF115" s="6">
        <f t="shared" si="253"/>
        <v>24940.284</v>
      </c>
      <c r="CG115" s="6">
        <f t="shared" si="253"/>
        <v>22847.010200000001</v>
      </c>
      <c r="CH115" s="6">
        <f t="shared" si="253"/>
        <v>19024.201700000001</v>
      </c>
      <c r="CI115" s="6">
        <f t="shared" si="253"/>
        <v>18129.4974</v>
      </c>
      <c r="CJ115" s="287"/>
      <c r="CK115" s="287"/>
      <c r="CL115" s="287"/>
    </row>
    <row r="116" spans="1:90">
      <c r="A116" s="2">
        <v>107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213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213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213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</row>
    <row r="168" spans="19:19"/>
  </sheetData>
  <mergeCells count="5">
    <mergeCell ref="Y7:AJ7"/>
    <mergeCell ref="D7:O7"/>
    <mergeCell ref="G5:M5"/>
    <mergeCell ref="G4:M4"/>
    <mergeCell ref="G3:M3"/>
  </mergeCells>
  <phoneticPr fontId="7" type="noConversion"/>
  <pageMargins left="0.25" right="0.25" top="0.75" bottom="0.75" header="0.3" footer="0.3"/>
  <pageSetup scale="71" fitToWidth="0" fitToHeight="2" orientation="landscape" r:id="rId1"/>
  <headerFooter alignWithMargins="0">
    <oddFooter>&amp;C&amp;A&amp;RPage &amp;P</oddFooter>
  </headerFooter>
  <rowBreaks count="1" manualBreakCount="1">
    <brk id="53" max="86" man="1"/>
  </rowBreaks>
  <colBreaks count="3" manualBreakCount="3">
    <brk id="15" min="2" max="102" man="1"/>
    <brk id="24" min="2" max="102" man="1"/>
    <brk id="36" min="2" max="102" man="1"/>
  </colBreaks>
  <customProperties>
    <customPr name="_pios_id" r:id="rId2"/>
  </customPropertie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T165"/>
  <sheetViews>
    <sheetView zoomScaleNormal="100" workbookViewId="0">
      <selection activeCell="D50" sqref="D50"/>
    </sheetView>
  </sheetViews>
  <sheetFormatPr defaultColWidth="9.140625" defaultRowHeight="12.75"/>
  <cols>
    <col min="1" max="1" width="9.140625" style="197"/>
    <col min="2" max="2" width="14.140625" style="197" customWidth="1"/>
    <col min="3" max="3" width="11" style="197" bestFit="1" customWidth="1"/>
    <col min="4" max="4" width="24" style="197" bestFit="1" customWidth="1"/>
    <col min="5" max="5" width="16" style="197" customWidth="1"/>
    <col min="6" max="17" width="10.7109375" style="197" customWidth="1"/>
    <col min="18" max="18" width="10.42578125" style="197" bestFit="1" customWidth="1"/>
    <col min="19" max="19" width="9.140625" style="197"/>
    <col min="20" max="20" width="11.42578125" style="197" bestFit="1" customWidth="1"/>
    <col min="21" max="16384" width="9.140625" style="197"/>
  </cols>
  <sheetData>
    <row r="1" spans="1:17">
      <c r="B1" s="666" t="s">
        <v>677</v>
      </c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6"/>
    </row>
    <row r="2" spans="1:17">
      <c r="B2" s="666" t="s">
        <v>694</v>
      </c>
      <c r="C2" s="666"/>
      <c r="D2" s="666"/>
      <c r="E2" s="666"/>
      <c r="F2" s="666"/>
      <c r="G2" s="666"/>
      <c r="H2" s="666"/>
      <c r="I2" s="666"/>
      <c r="J2" s="666"/>
      <c r="K2" s="666"/>
      <c r="L2" s="666"/>
      <c r="M2" s="666"/>
      <c r="N2" s="666"/>
      <c r="O2" s="666"/>
      <c r="P2" s="666"/>
      <c r="Q2" s="666"/>
    </row>
    <row r="3" spans="1:17">
      <c r="B3" s="666" t="str">
        <f>'Test Year Revenue Present'!A6</f>
        <v>TEST YEAR ENDING MARCH 31 2026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</row>
    <row r="4" spans="1:17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1:17" ht="13.5" thickBot="1">
      <c r="A6" s="196" t="s">
        <v>652</v>
      </c>
      <c r="B6" s="194" t="s">
        <v>77</v>
      </c>
      <c r="C6" s="195" t="s">
        <v>557</v>
      </c>
      <c r="D6" s="194" t="s">
        <v>97</v>
      </c>
      <c r="E6" s="196" t="s">
        <v>98</v>
      </c>
      <c r="F6" s="536">
        <f>'Bill Frequency'!C9</f>
        <v>45108</v>
      </c>
      <c r="G6" s="536">
        <f>'Bill Frequency'!D9</f>
        <v>45169</v>
      </c>
      <c r="H6" s="536">
        <f>'Bill Frequency'!E9</f>
        <v>45199</v>
      </c>
      <c r="I6" s="536">
        <f>'Bill Frequency'!F9</f>
        <v>45230</v>
      </c>
      <c r="J6" s="536">
        <f>'Bill Frequency'!G9</f>
        <v>45260</v>
      </c>
      <c r="K6" s="536">
        <f>'Bill Frequency'!H9</f>
        <v>45291</v>
      </c>
      <c r="L6" s="536">
        <f>'Bill Frequency'!I9</f>
        <v>45322</v>
      </c>
      <c r="M6" s="536">
        <f>'Bill Frequency'!J9</f>
        <v>45351</v>
      </c>
      <c r="N6" s="536">
        <f>'Bill Frequency'!K9</f>
        <v>45382</v>
      </c>
      <c r="O6" s="536">
        <f>'Bill Frequency'!L9</f>
        <v>45412</v>
      </c>
      <c r="P6" s="536">
        <f>'Bill Frequency'!M9</f>
        <v>45443</v>
      </c>
      <c r="Q6" s="536">
        <f>'Bill Frequency'!N9</f>
        <v>45473</v>
      </c>
    </row>
    <row r="7" spans="1:17" ht="13.5" thickTop="1">
      <c r="B7" s="647" t="s">
        <v>12</v>
      </c>
      <c r="C7" s="646" t="s">
        <v>13</v>
      </c>
      <c r="D7" s="200" t="s">
        <v>14</v>
      </c>
      <c r="E7" s="200" t="s">
        <v>15</v>
      </c>
      <c r="F7" s="645" t="s">
        <v>80</v>
      </c>
      <c r="G7" s="645" t="s">
        <v>81</v>
      </c>
      <c r="H7" s="645" t="s">
        <v>82</v>
      </c>
      <c r="I7" s="645" t="s">
        <v>83</v>
      </c>
      <c r="J7" s="645" t="s">
        <v>84</v>
      </c>
      <c r="K7" s="645" t="s">
        <v>85</v>
      </c>
      <c r="L7" s="645" t="s">
        <v>86</v>
      </c>
      <c r="M7" s="645" t="s">
        <v>87</v>
      </c>
      <c r="N7" s="645" t="s">
        <v>88</v>
      </c>
      <c r="O7" s="645" t="s">
        <v>204</v>
      </c>
      <c r="P7" s="645" t="s">
        <v>205</v>
      </c>
      <c r="Q7" s="645" t="s">
        <v>206</v>
      </c>
    </row>
    <row r="8" spans="1:17">
      <c r="B8" s="198"/>
      <c r="C8" s="199"/>
      <c r="D8" s="199"/>
      <c r="E8" s="200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</row>
    <row r="9" spans="1:17" s="202" customFormat="1" ht="25.5">
      <c r="A9" s="202">
        <v>1</v>
      </c>
      <c r="B9" s="398">
        <v>1</v>
      </c>
      <c r="C9" s="375">
        <v>3047698436</v>
      </c>
      <c r="D9" s="376" t="s">
        <v>697</v>
      </c>
      <c r="E9" s="376" t="s">
        <v>553</v>
      </c>
      <c r="F9" s="377"/>
      <c r="G9" s="377"/>
      <c r="H9" s="377"/>
      <c r="I9" s="377"/>
      <c r="J9" s="377"/>
      <c r="K9" s="378"/>
      <c r="L9" s="378"/>
      <c r="M9" s="378"/>
      <c r="N9" s="378"/>
      <c r="O9" s="378"/>
      <c r="P9" s="378"/>
      <c r="Q9" s="378"/>
    </row>
    <row r="10" spans="1:17">
      <c r="A10" s="202">
        <f>A9+1</f>
        <v>2</v>
      </c>
      <c r="B10" s="379"/>
      <c r="C10" s="380"/>
      <c r="D10" s="381" t="s">
        <v>99</v>
      </c>
      <c r="E10" s="381"/>
      <c r="F10" s="382"/>
      <c r="G10" s="382"/>
      <c r="H10" s="382"/>
      <c r="I10" s="382"/>
      <c r="J10" s="383"/>
      <c r="K10" s="383"/>
      <c r="L10" s="382"/>
      <c r="M10" s="382"/>
      <c r="N10" s="382"/>
      <c r="O10" s="382"/>
      <c r="P10" s="382"/>
      <c r="Q10" s="382"/>
    </row>
    <row r="11" spans="1:17" ht="15">
      <c r="A11" s="202">
        <f t="shared" ref="A11:A74" si="0">A10+1</f>
        <v>3</v>
      </c>
      <c r="B11" s="384"/>
      <c r="C11" s="380"/>
      <c r="D11" s="381" t="s">
        <v>100</v>
      </c>
      <c r="E11" s="385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</row>
    <row r="12" spans="1:17" ht="15">
      <c r="A12" s="202">
        <f t="shared" si="0"/>
        <v>4</v>
      </c>
      <c r="B12" s="384"/>
      <c r="C12" s="384"/>
      <c r="D12" s="384" t="s">
        <v>101</v>
      </c>
      <c r="E12" s="384"/>
      <c r="F12" s="386"/>
      <c r="G12" s="386"/>
      <c r="H12" s="386"/>
      <c r="I12" s="386"/>
      <c r="J12" s="386"/>
      <c r="K12" s="386"/>
      <c r="L12" s="386"/>
      <c r="M12" s="386">
        <v>-2967.3512499999997</v>
      </c>
      <c r="N12" s="386">
        <v>-2081.0728333333336</v>
      </c>
      <c r="O12" s="386"/>
      <c r="P12" s="386">
        <v>-2328.3517142857136</v>
      </c>
      <c r="Q12" s="386"/>
    </row>
    <row r="13" spans="1:17" ht="15">
      <c r="A13" s="202">
        <f t="shared" si="0"/>
        <v>5</v>
      </c>
      <c r="B13" s="384"/>
      <c r="C13" s="384"/>
      <c r="D13" s="384" t="s">
        <v>102</v>
      </c>
      <c r="E13" s="384"/>
      <c r="F13" s="386"/>
      <c r="G13" s="386"/>
      <c r="H13" s="386"/>
      <c r="I13" s="386"/>
      <c r="J13" s="386"/>
      <c r="K13" s="386"/>
      <c r="L13" s="386"/>
      <c r="M13" s="386">
        <v>-4252.2380000000012</v>
      </c>
      <c r="N13" s="386"/>
      <c r="O13" s="386"/>
      <c r="P13" s="386"/>
      <c r="Q13" s="386"/>
    </row>
    <row r="14" spans="1:17">
      <c r="A14" s="202">
        <f t="shared" si="0"/>
        <v>6</v>
      </c>
      <c r="B14" s="384"/>
      <c r="C14" s="384"/>
      <c r="D14" s="384"/>
      <c r="E14" s="384"/>
      <c r="F14" s="387"/>
      <c r="G14" s="387"/>
      <c r="H14" s="387"/>
      <c r="I14" s="387"/>
      <c r="J14" s="388"/>
      <c r="K14" s="388"/>
      <c r="L14" s="387"/>
      <c r="M14" s="387"/>
      <c r="N14" s="387"/>
      <c r="O14" s="387"/>
      <c r="P14" s="387"/>
      <c r="Q14" s="387"/>
    </row>
    <row r="15" spans="1:17" ht="25.5">
      <c r="A15" s="202">
        <f t="shared" si="0"/>
        <v>7</v>
      </c>
      <c r="B15" s="537">
        <f>B9+1</f>
        <v>2</v>
      </c>
      <c r="C15" s="389">
        <v>3062942311</v>
      </c>
      <c r="D15" s="376" t="s">
        <v>698</v>
      </c>
      <c r="E15" s="376" t="s">
        <v>553</v>
      </c>
      <c r="F15" s="377"/>
      <c r="G15" s="378"/>
      <c r="H15" s="378"/>
      <c r="I15" s="378"/>
      <c r="J15" s="378"/>
      <c r="K15" s="378"/>
      <c r="L15" s="377"/>
      <c r="M15" s="378"/>
      <c r="N15" s="378"/>
      <c r="O15" s="378"/>
      <c r="P15" s="378"/>
      <c r="Q15" s="378"/>
    </row>
    <row r="16" spans="1:17">
      <c r="A16" s="202">
        <f t="shared" si="0"/>
        <v>8</v>
      </c>
      <c r="B16" s="379"/>
      <c r="C16" s="380"/>
      <c r="D16" s="381" t="s">
        <v>99</v>
      </c>
      <c r="E16" s="381"/>
      <c r="F16" s="382">
        <v>1</v>
      </c>
      <c r="G16" s="382">
        <v>1</v>
      </c>
      <c r="H16" s="382">
        <v>1</v>
      </c>
      <c r="I16" s="382">
        <v>1</v>
      </c>
      <c r="J16" s="383">
        <v>1</v>
      </c>
      <c r="K16" s="383"/>
      <c r="L16" s="382"/>
      <c r="M16" s="382"/>
      <c r="N16" s="382"/>
      <c r="O16" s="382"/>
      <c r="P16" s="382"/>
      <c r="Q16" s="382"/>
    </row>
    <row r="17" spans="1:17" ht="15">
      <c r="A17" s="202">
        <f t="shared" si="0"/>
        <v>9</v>
      </c>
      <c r="B17" s="384"/>
      <c r="C17" s="380"/>
      <c r="D17" s="381" t="s">
        <v>100</v>
      </c>
      <c r="E17" s="385"/>
      <c r="F17" s="386">
        <v>300</v>
      </c>
      <c r="G17" s="386">
        <v>300</v>
      </c>
      <c r="H17" s="386">
        <v>300</v>
      </c>
      <c r="I17" s="386">
        <v>300</v>
      </c>
      <c r="J17" s="386">
        <v>300</v>
      </c>
      <c r="K17" s="386">
        <v>270.58699999999999</v>
      </c>
      <c r="L17" s="386"/>
      <c r="M17" s="386"/>
      <c r="N17" s="386"/>
      <c r="O17" s="386"/>
      <c r="P17" s="386"/>
      <c r="Q17" s="386"/>
    </row>
    <row r="18" spans="1:17" ht="15">
      <c r="A18" s="202">
        <f t="shared" si="0"/>
        <v>10</v>
      </c>
      <c r="B18" s="384"/>
      <c r="C18" s="384"/>
      <c r="D18" s="384" t="s">
        <v>101</v>
      </c>
      <c r="E18" s="384"/>
      <c r="F18" s="386">
        <v>2706.2274285714288</v>
      </c>
      <c r="G18" s="386">
        <v>2706.2274285714288</v>
      </c>
      <c r="H18" s="386">
        <v>2706.2274285714288</v>
      </c>
      <c r="I18" s="386">
        <v>2706.2274285714288</v>
      </c>
      <c r="J18" s="386">
        <v>2706.2274285714288</v>
      </c>
      <c r="K18" s="386">
        <v>2706.2274285714288</v>
      </c>
      <c r="L18" s="386">
        <v>2521.3634285714288</v>
      </c>
      <c r="M18" s="386"/>
      <c r="N18" s="386"/>
      <c r="O18" s="386"/>
      <c r="P18" s="386"/>
      <c r="Q18" s="386"/>
    </row>
    <row r="19" spans="1:17">
      <c r="A19" s="202">
        <f t="shared" si="0"/>
        <v>11</v>
      </c>
      <c r="B19" s="384"/>
      <c r="C19" s="384"/>
      <c r="D19" s="384" t="s">
        <v>102</v>
      </c>
      <c r="E19" s="384"/>
      <c r="F19" s="390"/>
      <c r="G19" s="390"/>
      <c r="H19" s="390"/>
      <c r="I19" s="390"/>
      <c r="J19" s="391"/>
      <c r="K19" s="391"/>
      <c r="L19" s="390"/>
      <c r="M19" s="390"/>
      <c r="N19" s="390"/>
      <c r="O19" s="390"/>
      <c r="P19" s="390"/>
      <c r="Q19" s="390"/>
    </row>
    <row r="20" spans="1:17">
      <c r="A20" s="202">
        <f t="shared" si="0"/>
        <v>12</v>
      </c>
      <c r="B20" s="384"/>
      <c r="C20" s="384"/>
      <c r="D20" s="384"/>
      <c r="E20" s="384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</row>
    <row r="21" spans="1:17">
      <c r="A21" s="202">
        <f t="shared" si="0"/>
        <v>13</v>
      </c>
      <c r="B21" s="537">
        <f>B15+1</f>
        <v>3</v>
      </c>
      <c r="C21" s="389">
        <v>3005959465</v>
      </c>
      <c r="D21" s="376" t="s">
        <v>689</v>
      </c>
      <c r="E21" s="376" t="s">
        <v>690</v>
      </c>
      <c r="F21" s="377"/>
      <c r="G21" s="378"/>
      <c r="H21" s="378"/>
      <c r="I21" s="378"/>
      <c r="J21" s="378"/>
      <c r="K21" s="378"/>
      <c r="L21" s="377"/>
      <c r="M21" s="378"/>
      <c r="N21" s="378"/>
      <c r="O21" s="378"/>
      <c r="P21" s="378"/>
      <c r="Q21" s="378"/>
    </row>
    <row r="22" spans="1:17">
      <c r="A22" s="202">
        <f t="shared" si="0"/>
        <v>14</v>
      </c>
      <c r="B22" s="379"/>
      <c r="C22" s="380"/>
      <c r="D22" s="384" t="s">
        <v>555</v>
      </c>
      <c r="E22" s="381"/>
      <c r="F22" s="382">
        <v>-1</v>
      </c>
      <c r="G22" s="382">
        <v>-1</v>
      </c>
      <c r="H22" s="382">
        <v>-1</v>
      </c>
      <c r="I22" s="382">
        <v>-1</v>
      </c>
      <c r="J22" s="382">
        <v>-1</v>
      </c>
      <c r="K22" s="382">
        <v>-1</v>
      </c>
      <c r="L22" s="382">
        <v>-1</v>
      </c>
      <c r="M22" s="382">
        <v>-1</v>
      </c>
      <c r="N22" s="382">
        <v>-1</v>
      </c>
      <c r="O22" s="382">
        <v>-1</v>
      </c>
      <c r="P22" s="382">
        <v>-1</v>
      </c>
      <c r="Q22" s="382">
        <v>-1</v>
      </c>
    </row>
    <row r="23" spans="1:17" ht="15">
      <c r="A23" s="202">
        <f t="shared" si="0"/>
        <v>15</v>
      </c>
      <c r="B23" s="384"/>
      <c r="C23" s="380"/>
      <c r="D23" s="384" t="s">
        <v>105</v>
      </c>
      <c r="E23" s="385"/>
      <c r="F23" s="386"/>
      <c r="G23" s="386"/>
      <c r="H23" s="386"/>
      <c r="I23" s="386">
        <v>-0.11600000000000001</v>
      </c>
      <c r="J23" s="386"/>
      <c r="K23" s="386"/>
      <c r="L23" s="386"/>
      <c r="M23" s="386">
        <v>-32.889000000000003</v>
      </c>
      <c r="N23" s="386">
        <v>-2.681</v>
      </c>
      <c r="O23" s="386"/>
      <c r="P23" s="386"/>
      <c r="Q23" s="386"/>
    </row>
    <row r="24" spans="1:17" ht="15">
      <c r="A24" s="202">
        <f t="shared" si="0"/>
        <v>16</v>
      </c>
      <c r="B24" s="384"/>
      <c r="C24" s="384"/>
      <c r="D24" s="381" t="s">
        <v>106</v>
      </c>
      <c r="E24" s="384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</row>
    <row r="25" spans="1:17">
      <c r="A25" s="202">
        <f t="shared" si="0"/>
        <v>17</v>
      </c>
      <c r="B25" s="384"/>
      <c r="C25" s="384"/>
      <c r="D25" s="384" t="s">
        <v>107</v>
      </c>
      <c r="E25" s="384"/>
      <c r="F25" s="394"/>
      <c r="G25" s="394"/>
      <c r="H25" s="394"/>
      <c r="I25" s="394">
        <v>-0.02</v>
      </c>
      <c r="J25" s="394"/>
      <c r="K25" s="394"/>
      <c r="L25" s="394"/>
      <c r="M25" s="394">
        <v>-6.24</v>
      </c>
      <c r="N25" s="394">
        <v>-0.5</v>
      </c>
      <c r="O25" s="394"/>
      <c r="P25" s="394"/>
      <c r="Q25" s="394"/>
    </row>
    <row r="26" spans="1:17">
      <c r="A26" s="202">
        <f t="shared" si="0"/>
        <v>18</v>
      </c>
      <c r="B26" s="384"/>
      <c r="C26" s="384"/>
      <c r="D26" s="384"/>
      <c r="E26" s="384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</row>
    <row r="27" spans="1:17" ht="25.5">
      <c r="A27" s="202">
        <f t="shared" si="0"/>
        <v>19</v>
      </c>
      <c r="B27" s="537">
        <f>B21+1</f>
        <v>4</v>
      </c>
      <c r="C27" s="389">
        <v>3046625962</v>
      </c>
      <c r="D27" s="376" t="s">
        <v>699</v>
      </c>
      <c r="E27" s="376" t="s">
        <v>553</v>
      </c>
      <c r="F27" s="377"/>
      <c r="G27" s="378"/>
      <c r="H27" s="378"/>
      <c r="I27" s="378"/>
      <c r="J27" s="378"/>
      <c r="K27" s="378"/>
      <c r="L27" s="377"/>
      <c r="M27" s="378"/>
      <c r="N27" s="378"/>
      <c r="O27" s="378"/>
      <c r="P27" s="378"/>
      <c r="Q27" s="378"/>
    </row>
    <row r="28" spans="1:17">
      <c r="A28" s="202">
        <f t="shared" si="0"/>
        <v>20</v>
      </c>
      <c r="B28" s="379"/>
      <c r="C28" s="380"/>
      <c r="D28" s="381" t="s">
        <v>99</v>
      </c>
      <c r="E28" s="381"/>
      <c r="F28" s="382"/>
      <c r="G28" s="382"/>
      <c r="H28" s="382"/>
      <c r="I28" s="382"/>
      <c r="J28" s="383"/>
      <c r="K28" s="383"/>
      <c r="L28" s="382"/>
      <c r="M28" s="382"/>
      <c r="N28" s="382"/>
      <c r="O28" s="382"/>
      <c r="P28" s="382"/>
      <c r="Q28" s="382"/>
    </row>
    <row r="29" spans="1:17">
      <c r="A29" s="202">
        <f t="shared" si="0"/>
        <v>21</v>
      </c>
      <c r="B29" s="384"/>
      <c r="C29" s="380"/>
      <c r="D29" s="381" t="s">
        <v>100</v>
      </c>
      <c r="E29" s="385"/>
      <c r="F29" s="395"/>
      <c r="G29" s="395"/>
      <c r="H29" s="395"/>
      <c r="I29" s="395"/>
      <c r="J29" s="395"/>
      <c r="K29" s="395"/>
      <c r="L29" s="395"/>
      <c r="M29" s="395"/>
      <c r="N29" s="395"/>
      <c r="O29" s="395"/>
      <c r="P29" s="395">
        <v>286.68099999999998</v>
      </c>
      <c r="Q29" s="395"/>
    </row>
    <row r="30" spans="1:17">
      <c r="A30" s="202">
        <f t="shared" si="0"/>
        <v>22</v>
      </c>
      <c r="B30" s="384"/>
      <c r="C30" s="384"/>
      <c r="D30" s="384" t="s">
        <v>101</v>
      </c>
      <c r="E30" s="384"/>
      <c r="F30" s="395"/>
      <c r="G30" s="395"/>
      <c r="H30" s="395"/>
      <c r="I30" s="395"/>
      <c r="J30" s="395"/>
      <c r="K30" s="395"/>
      <c r="L30" s="395"/>
      <c r="M30" s="395"/>
      <c r="N30" s="395"/>
      <c r="O30" s="395">
        <v>4629.8149999999996</v>
      </c>
      <c r="P30" s="395">
        <v>9700</v>
      </c>
      <c r="Q30" s="395"/>
    </row>
    <row r="31" spans="1:17">
      <c r="A31" s="202">
        <f t="shared" si="0"/>
        <v>23</v>
      </c>
      <c r="B31" s="384"/>
      <c r="C31" s="384"/>
      <c r="D31" s="384" t="s">
        <v>102</v>
      </c>
      <c r="E31" s="384"/>
      <c r="F31" s="395"/>
      <c r="G31" s="395"/>
      <c r="H31" s="395"/>
      <c r="I31" s="395"/>
      <c r="J31" s="395"/>
      <c r="K31" s="395"/>
      <c r="L31" s="395"/>
      <c r="M31" s="395"/>
      <c r="N31" s="395"/>
      <c r="O31" s="395"/>
      <c r="P31" s="395"/>
      <c r="Q31" s="395"/>
    </row>
    <row r="32" spans="1:17">
      <c r="A32" s="202">
        <f t="shared" si="0"/>
        <v>24</v>
      </c>
      <c r="B32" s="393"/>
      <c r="C32" s="384"/>
      <c r="D32" s="384"/>
      <c r="E32" s="384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</row>
    <row r="33" spans="1:17">
      <c r="A33" s="202">
        <f t="shared" si="0"/>
        <v>25</v>
      </c>
      <c r="B33" s="537">
        <f>B27+1</f>
        <v>5</v>
      </c>
      <c r="C33" s="389">
        <v>3011039241</v>
      </c>
      <c r="D33" s="376" t="s">
        <v>689</v>
      </c>
      <c r="E33" s="376" t="s">
        <v>553</v>
      </c>
      <c r="F33" s="377"/>
      <c r="G33" s="378"/>
      <c r="H33" s="378"/>
      <c r="I33" s="378"/>
      <c r="J33" s="378"/>
      <c r="K33" s="378"/>
      <c r="L33" s="377"/>
      <c r="M33" s="378"/>
      <c r="N33" s="378"/>
      <c r="O33" s="378"/>
      <c r="P33" s="378"/>
      <c r="Q33" s="378"/>
    </row>
    <row r="34" spans="1:17">
      <c r="A34" s="202">
        <f t="shared" si="0"/>
        <v>26</v>
      </c>
      <c r="B34" s="379"/>
      <c r="C34" s="380"/>
      <c r="D34" s="381" t="s">
        <v>99</v>
      </c>
      <c r="E34" s="381"/>
      <c r="F34" s="382">
        <v>-1</v>
      </c>
      <c r="G34" s="382">
        <v>-1</v>
      </c>
      <c r="H34" s="382">
        <v>-1</v>
      </c>
      <c r="I34" s="382">
        <v>-1</v>
      </c>
      <c r="J34" s="383">
        <v>-1</v>
      </c>
      <c r="K34" s="383">
        <v>-1</v>
      </c>
      <c r="L34" s="382"/>
      <c r="M34" s="382"/>
      <c r="N34" s="382"/>
      <c r="O34" s="382"/>
      <c r="P34" s="382"/>
      <c r="Q34" s="382"/>
    </row>
    <row r="35" spans="1:17" ht="15">
      <c r="A35" s="202">
        <f t="shared" si="0"/>
        <v>27</v>
      </c>
      <c r="B35" s="384"/>
      <c r="C35" s="380"/>
      <c r="D35" s="381" t="s">
        <v>100</v>
      </c>
      <c r="E35" s="385"/>
      <c r="F35" s="386">
        <v>-115.004</v>
      </c>
      <c r="G35" s="386">
        <v>-20.623999999999999</v>
      </c>
      <c r="H35" s="386">
        <v>-1.34</v>
      </c>
      <c r="I35" s="386">
        <v>-0.42799999999999999</v>
      </c>
      <c r="J35" s="386">
        <v>-11.848999999999998</v>
      </c>
      <c r="K35" s="386">
        <v>-60.155000000000001</v>
      </c>
      <c r="L35" s="386"/>
      <c r="M35" s="386"/>
      <c r="N35" s="386"/>
      <c r="O35" s="386"/>
      <c r="P35" s="386"/>
      <c r="Q35" s="386"/>
    </row>
    <row r="36" spans="1:17" ht="15">
      <c r="A36" s="202">
        <f t="shared" si="0"/>
        <v>28</v>
      </c>
      <c r="B36" s="384"/>
      <c r="C36" s="384"/>
      <c r="D36" s="384" t="s">
        <v>101</v>
      </c>
      <c r="E36" s="384"/>
      <c r="F36" s="386"/>
      <c r="G36" s="386"/>
      <c r="H36" s="386"/>
      <c r="I36" s="386"/>
      <c r="J36" s="386">
        <v>-1.7763568394002505E-15</v>
      </c>
      <c r="K36" s="386"/>
      <c r="L36" s="386"/>
      <c r="M36" s="386"/>
      <c r="N36" s="386"/>
      <c r="O36" s="386"/>
      <c r="P36" s="386"/>
      <c r="Q36" s="386"/>
    </row>
    <row r="37" spans="1:17">
      <c r="A37" s="202">
        <f t="shared" si="0"/>
        <v>29</v>
      </c>
      <c r="B37" s="384"/>
      <c r="C37" s="384"/>
      <c r="D37" s="384" t="s">
        <v>102</v>
      </c>
      <c r="E37" s="384"/>
      <c r="F37" s="390"/>
      <c r="G37" s="390"/>
      <c r="H37" s="390"/>
      <c r="I37" s="390"/>
      <c r="J37" s="391"/>
      <c r="K37" s="391"/>
      <c r="L37" s="390"/>
      <c r="M37" s="390"/>
      <c r="N37" s="390"/>
      <c r="O37" s="390"/>
      <c r="P37" s="390"/>
      <c r="Q37" s="390"/>
    </row>
    <row r="38" spans="1:17">
      <c r="A38" s="202">
        <f t="shared" si="0"/>
        <v>30</v>
      </c>
      <c r="B38" s="384"/>
      <c r="C38" s="384"/>
      <c r="D38" s="384"/>
      <c r="E38" s="384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</row>
    <row r="39" spans="1:17">
      <c r="A39" s="202">
        <f t="shared" si="0"/>
        <v>31</v>
      </c>
      <c r="B39" s="537">
        <f>B33+1</f>
        <v>6</v>
      </c>
      <c r="C39" s="389">
        <v>3008282127</v>
      </c>
      <c r="D39" s="376" t="s">
        <v>689</v>
      </c>
      <c r="E39" s="376" t="s">
        <v>553</v>
      </c>
      <c r="F39" s="377"/>
      <c r="G39" s="378"/>
      <c r="H39" s="378"/>
      <c r="I39" s="378"/>
      <c r="J39" s="378"/>
      <c r="K39" s="378"/>
      <c r="L39" s="377"/>
      <c r="M39" s="378"/>
      <c r="N39" s="378"/>
      <c r="O39" s="378"/>
      <c r="P39" s="378"/>
      <c r="Q39" s="378"/>
    </row>
    <row r="40" spans="1:17">
      <c r="A40" s="202">
        <f t="shared" si="0"/>
        <v>32</v>
      </c>
      <c r="B40" s="384"/>
      <c r="C40" s="380"/>
      <c r="D40" s="381" t="s">
        <v>99</v>
      </c>
      <c r="E40" s="381"/>
      <c r="F40" s="382">
        <v>-1</v>
      </c>
      <c r="G40" s="382">
        <v>-1</v>
      </c>
      <c r="H40" s="382">
        <v>-1</v>
      </c>
      <c r="I40" s="382">
        <v>-1</v>
      </c>
      <c r="J40" s="383">
        <v>-1</v>
      </c>
      <c r="K40" s="383">
        <v>-1</v>
      </c>
      <c r="L40" s="382"/>
      <c r="M40" s="382"/>
      <c r="N40" s="382"/>
      <c r="O40" s="382"/>
      <c r="P40" s="382"/>
      <c r="Q40" s="382"/>
    </row>
    <row r="41" spans="1:17" ht="15">
      <c r="A41" s="202">
        <f t="shared" si="0"/>
        <v>33</v>
      </c>
      <c r="B41" s="384"/>
      <c r="C41" s="380"/>
      <c r="D41" s="381" t="s">
        <v>100</v>
      </c>
      <c r="E41" s="385"/>
      <c r="F41" s="386">
        <v>-162.54400000000001</v>
      </c>
      <c r="G41" s="386">
        <v>-147.56800000000001</v>
      </c>
      <c r="H41" s="386">
        <v>-144.524</v>
      </c>
      <c r="I41" s="386">
        <v>-201.011</v>
      </c>
      <c r="J41" s="386">
        <v>-300</v>
      </c>
      <c r="K41" s="386">
        <v>-300</v>
      </c>
      <c r="L41" s="386"/>
      <c r="M41" s="386"/>
      <c r="N41" s="386"/>
      <c r="O41" s="386"/>
      <c r="P41" s="386"/>
      <c r="Q41" s="386"/>
    </row>
    <row r="42" spans="1:17" ht="15">
      <c r="A42" s="202">
        <f t="shared" si="0"/>
        <v>34</v>
      </c>
      <c r="B42" s="384"/>
      <c r="C42" s="384"/>
      <c r="D42" s="384" t="s">
        <v>101</v>
      </c>
      <c r="E42" s="384"/>
      <c r="F42" s="386"/>
      <c r="G42" s="386"/>
      <c r="H42" s="386"/>
      <c r="I42" s="386"/>
      <c r="J42" s="386">
        <v>-198.93200000000002</v>
      </c>
      <c r="K42" s="386">
        <v>-281.63599999999997</v>
      </c>
      <c r="L42" s="386"/>
      <c r="M42" s="386"/>
      <c r="N42" s="386"/>
      <c r="O42" s="386"/>
      <c r="P42" s="386"/>
      <c r="Q42" s="386"/>
    </row>
    <row r="43" spans="1:17">
      <c r="A43" s="202">
        <f t="shared" si="0"/>
        <v>35</v>
      </c>
      <c r="B43" s="384"/>
      <c r="C43" s="384"/>
      <c r="D43" s="384" t="s">
        <v>102</v>
      </c>
      <c r="E43" s="384"/>
      <c r="F43" s="390"/>
      <c r="G43" s="390"/>
      <c r="H43" s="390"/>
      <c r="I43" s="390"/>
      <c r="J43" s="391"/>
      <c r="K43" s="391"/>
      <c r="L43" s="390"/>
      <c r="M43" s="390"/>
      <c r="N43" s="390"/>
      <c r="O43" s="390"/>
      <c r="P43" s="390"/>
      <c r="Q43" s="390"/>
    </row>
    <row r="44" spans="1:17">
      <c r="A44" s="202">
        <f t="shared" si="0"/>
        <v>36</v>
      </c>
      <c r="B44" s="384"/>
      <c r="C44" s="384"/>
      <c r="D44" s="384"/>
      <c r="E44" s="384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</row>
    <row r="45" spans="1:17" ht="25.5">
      <c r="A45" s="202">
        <f t="shared" si="0"/>
        <v>37</v>
      </c>
      <c r="B45" s="537">
        <f>B39+1</f>
        <v>7</v>
      </c>
      <c r="C45" s="389">
        <v>3064911707</v>
      </c>
      <c r="D45" s="376" t="s">
        <v>698</v>
      </c>
      <c r="E45" s="376" t="s">
        <v>553</v>
      </c>
      <c r="F45" s="377"/>
      <c r="G45" s="378"/>
      <c r="H45" s="378"/>
      <c r="I45" s="378"/>
      <c r="J45" s="378"/>
      <c r="K45" s="378"/>
      <c r="L45" s="377"/>
      <c r="M45" s="378"/>
      <c r="N45" s="378"/>
      <c r="O45" s="378"/>
      <c r="P45" s="378"/>
      <c r="Q45" s="378"/>
    </row>
    <row r="46" spans="1:17">
      <c r="A46" s="202">
        <f t="shared" si="0"/>
        <v>38</v>
      </c>
      <c r="B46" s="384"/>
      <c r="C46" s="380"/>
      <c r="D46" s="381" t="s">
        <v>99</v>
      </c>
      <c r="E46" s="381"/>
      <c r="F46" s="382">
        <v>1</v>
      </c>
      <c r="G46" s="382">
        <v>1</v>
      </c>
      <c r="H46" s="382">
        <v>1</v>
      </c>
      <c r="I46" s="382">
        <v>1</v>
      </c>
      <c r="J46" s="382">
        <v>1</v>
      </c>
      <c r="K46" s="382">
        <v>1</v>
      </c>
      <c r="L46" s="382">
        <v>1</v>
      </c>
      <c r="M46" s="382">
        <v>1</v>
      </c>
      <c r="N46" s="382">
        <v>1</v>
      </c>
      <c r="O46" s="382">
        <v>1</v>
      </c>
      <c r="P46" s="382"/>
      <c r="Q46" s="382"/>
    </row>
    <row r="47" spans="1:17" ht="15">
      <c r="A47" s="202">
        <f t="shared" si="0"/>
        <v>39</v>
      </c>
      <c r="B47" s="384"/>
      <c r="C47" s="380"/>
      <c r="D47" s="381" t="s">
        <v>100</v>
      </c>
      <c r="E47" s="385"/>
      <c r="F47" s="386">
        <v>300</v>
      </c>
      <c r="G47" s="386">
        <v>300</v>
      </c>
      <c r="H47" s="386">
        <v>300</v>
      </c>
      <c r="I47" s="386">
        <v>300</v>
      </c>
      <c r="J47" s="386">
        <v>300</v>
      </c>
      <c r="K47" s="386">
        <v>300</v>
      </c>
      <c r="L47" s="386">
        <v>300</v>
      </c>
      <c r="M47" s="386">
        <v>300</v>
      </c>
      <c r="N47" s="386">
        <v>300</v>
      </c>
      <c r="O47" s="386">
        <v>300</v>
      </c>
      <c r="P47" s="386"/>
      <c r="Q47" s="386"/>
    </row>
    <row r="48" spans="1:17" ht="15">
      <c r="A48" s="202">
        <f t="shared" si="0"/>
        <v>40</v>
      </c>
      <c r="B48" s="384"/>
      <c r="C48" s="384"/>
      <c r="D48" s="384" t="s">
        <v>101</v>
      </c>
      <c r="E48" s="384"/>
      <c r="F48" s="386">
        <v>540</v>
      </c>
      <c r="G48" s="386">
        <v>540</v>
      </c>
      <c r="H48" s="386">
        <v>540</v>
      </c>
      <c r="I48" s="386">
        <v>540</v>
      </c>
      <c r="J48" s="386">
        <v>540</v>
      </c>
      <c r="K48" s="386">
        <v>540</v>
      </c>
      <c r="L48" s="386">
        <v>540</v>
      </c>
      <c r="M48" s="386">
        <v>540</v>
      </c>
      <c r="N48" s="386">
        <v>540</v>
      </c>
      <c r="O48" s="386">
        <v>540</v>
      </c>
      <c r="P48" s="386"/>
      <c r="Q48" s="386"/>
    </row>
    <row r="49" spans="1:17">
      <c r="A49" s="202">
        <f t="shared" si="0"/>
        <v>41</v>
      </c>
      <c r="B49" s="384"/>
      <c r="C49" s="384"/>
      <c r="D49" s="384" t="s">
        <v>102</v>
      </c>
      <c r="E49" s="384"/>
      <c r="F49" s="390"/>
      <c r="G49" s="390"/>
      <c r="H49" s="390"/>
      <c r="I49" s="390"/>
      <c r="J49" s="391"/>
      <c r="K49" s="391"/>
      <c r="L49" s="390"/>
      <c r="M49" s="390"/>
      <c r="N49" s="390"/>
      <c r="O49" s="390"/>
      <c r="P49" s="390"/>
      <c r="Q49" s="390"/>
    </row>
    <row r="50" spans="1:17">
      <c r="A50" s="202">
        <f t="shared" si="0"/>
        <v>42</v>
      </c>
      <c r="B50" s="384"/>
      <c r="C50" s="384"/>
      <c r="D50" s="384"/>
      <c r="E50" s="384"/>
      <c r="F50" s="392"/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92"/>
    </row>
    <row r="51" spans="1:17" ht="25.5">
      <c r="A51" s="202">
        <f t="shared" si="0"/>
        <v>43</v>
      </c>
      <c r="B51" s="537">
        <f>B45+1</f>
        <v>8</v>
      </c>
      <c r="C51" s="389">
        <v>3063933347</v>
      </c>
      <c r="D51" s="376" t="s">
        <v>698</v>
      </c>
      <c r="E51" s="376" t="s">
        <v>552</v>
      </c>
      <c r="F51" s="377"/>
      <c r="G51" s="378"/>
      <c r="H51" s="378"/>
      <c r="I51" s="378"/>
      <c r="J51" s="378"/>
      <c r="K51" s="378"/>
      <c r="L51" s="377"/>
      <c r="M51" s="378"/>
      <c r="N51" s="378"/>
      <c r="O51" s="378"/>
      <c r="P51" s="378"/>
      <c r="Q51" s="378"/>
    </row>
    <row r="52" spans="1:17">
      <c r="A52" s="202">
        <f t="shared" si="0"/>
        <v>44</v>
      </c>
      <c r="B52" s="379"/>
      <c r="C52" s="380"/>
      <c r="D52" s="381" t="s">
        <v>108</v>
      </c>
      <c r="E52" s="381"/>
      <c r="F52" s="395">
        <v>1</v>
      </c>
      <c r="G52" s="395">
        <v>1</v>
      </c>
      <c r="H52" s="395">
        <v>1</v>
      </c>
      <c r="I52" s="395">
        <v>1</v>
      </c>
      <c r="J52" s="395">
        <v>1</v>
      </c>
      <c r="K52" s="395">
        <v>1</v>
      </c>
      <c r="L52" s="395">
        <v>1</v>
      </c>
      <c r="M52" s="395">
        <v>1</v>
      </c>
      <c r="N52" s="395"/>
      <c r="O52" s="395"/>
      <c r="P52" s="395"/>
      <c r="Q52" s="395"/>
    </row>
    <row r="53" spans="1:17">
      <c r="A53" s="202">
        <f t="shared" si="0"/>
        <v>45</v>
      </c>
      <c r="B53" s="384"/>
      <c r="C53" s="380"/>
      <c r="D53" s="381" t="s">
        <v>103</v>
      </c>
      <c r="E53" s="385"/>
      <c r="F53" s="395">
        <v>2000</v>
      </c>
      <c r="G53" s="395">
        <v>2000</v>
      </c>
      <c r="H53" s="395">
        <v>2000</v>
      </c>
      <c r="I53" s="395">
        <v>2000</v>
      </c>
      <c r="J53" s="395">
        <v>2000</v>
      </c>
      <c r="K53" s="395">
        <v>2000</v>
      </c>
      <c r="L53" s="395">
        <v>2000</v>
      </c>
      <c r="M53" s="395">
        <v>2000</v>
      </c>
      <c r="N53" s="395">
        <v>1975.0120000000002</v>
      </c>
      <c r="O53" s="395">
        <v>982.16200000000015</v>
      </c>
      <c r="P53" s="395"/>
      <c r="Q53" s="395"/>
    </row>
    <row r="54" spans="1:17">
      <c r="A54" s="202">
        <f t="shared" si="0"/>
        <v>46</v>
      </c>
      <c r="B54" s="384"/>
      <c r="C54" s="384"/>
      <c r="D54" s="384" t="s">
        <v>104</v>
      </c>
      <c r="E54" s="384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</row>
    <row r="55" spans="1:17">
      <c r="A55" s="202">
        <f t="shared" si="0"/>
        <v>47</v>
      </c>
      <c r="B55" s="384"/>
      <c r="C55" s="384"/>
      <c r="D55" s="384"/>
      <c r="E55" s="384"/>
      <c r="F55" s="390"/>
      <c r="G55" s="390"/>
      <c r="H55" s="390"/>
      <c r="I55" s="390"/>
      <c r="J55" s="391"/>
      <c r="K55" s="392"/>
      <c r="L55" s="392"/>
      <c r="M55" s="390"/>
      <c r="N55" s="390"/>
      <c r="O55" s="390"/>
      <c r="P55" s="390"/>
      <c r="Q55" s="390"/>
    </row>
    <row r="56" spans="1:17">
      <c r="A56" s="202">
        <f t="shared" si="0"/>
        <v>48</v>
      </c>
      <c r="B56" s="384"/>
      <c r="C56" s="384"/>
      <c r="D56" s="384"/>
      <c r="E56" s="384"/>
      <c r="F56" s="392"/>
      <c r="G56" s="392"/>
      <c r="H56" s="392"/>
      <c r="I56" s="392"/>
      <c r="J56" s="392"/>
      <c r="K56" s="392"/>
      <c r="L56" s="392"/>
      <c r="M56" s="392"/>
      <c r="N56" s="392"/>
      <c r="O56" s="392"/>
      <c r="P56" s="392"/>
      <c r="Q56" s="392"/>
    </row>
    <row r="57" spans="1:17">
      <c r="A57" s="202">
        <f t="shared" si="0"/>
        <v>49</v>
      </c>
      <c r="B57" s="537">
        <f>B51+1</f>
        <v>9</v>
      </c>
      <c r="C57" s="389">
        <v>3007912064</v>
      </c>
      <c r="D57" s="376" t="s">
        <v>689</v>
      </c>
      <c r="E57" s="376" t="s">
        <v>553</v>
      </c>
      <c r="F57" s="377"/>
      <c r="G57" s="378"/>
      <c r="H57" s="378"/>
      <c r="I57" s="378"/>
      <c r="J57" s="378"/>
      <c r="K57" s="378"/>
      <c r="L57" s="377"/>
      <c r="M57" s="378"/>
      <c r="N57" s="378"/>
      <c r="O57" s="378"/>
      <c r="P57" s="378"/>
      <c r="Q57" s="378"/>
    </row>
    <row r="58" spans="1:17">
      <c r="A58" s="202">
        <f t="shared" si="0"/>
        <v>50</v>
      </c>
      <c r="B58" s="379"/>
      <c r="C58" s="380"/>
      <c r="D58" s="381" t="s">
        <v>99</v>
      </c>
      <c r="E58" s="381"/>
      <c r="F58" s="382">
        <v>-1</v>
      </c>
      <c r="G58" s="382">
        <v>-1</v>
      </c>
      <c r="H58" s="382">
        <v>-1</v>
      </c>
      <c r="I58" s="382">
        <v>-1</v>
      </c>
      <c r="J58" s="383">
        <v>-1</v>
      </c>
      <c r="K58" s="383">
        <v>-1</v>
      </c>
      <c r="L58" s="382">
        <v>-1</v>
      </c>
      <c r="M58" s="382">
        <v>-1</v>
      </c>
      <c r="N58" s="382">
        <v>-1</v>
      </c>
      <c r="O58" s="382">
        <v>-1</v>
      </c>
      <c r="P58" s="382">
        <v>-1</v>
      </c>
      <c r="Q58" s="382">
        <v>-1</v>
      </c>
    </row>
    <row r="59" spans="1:17" ht="15">
      <c r="A59" s="202">
        <f t="shared" si="0"/>
        <v>51</v>
      </c>
      <c r="B59" s="384"/>
      <c r="C59" s="380"/>
      <c r="D59" s="381" t="s">
        <v>100</v>
      </c>
      <c r="E59" s="385"/>
      <c r="F59" s="386">
        <v>-300</v>
      </c>
      <c r="G59" s="386">
        <v>-300</v>
      </c>
      <c r="H59" s="386">
        <v>-300</v>
      </c>
      <c r="I59" s="386">
        <v>-300</v>
      </c>
      <c r="J59" s="386">
        <v>-300</v>
      </c>
      <c r="K59" s="386">
        <v>-300</v>
      </c>
      <c r="L59" s="386"/>
      <c r="M59" s="386"/>
      <c r="N59" s="386"/>
      <c r="O59" s="386"/>
      <c r="P59" s="386"/>
      <c r="Q59" s="386"/>
    </row>
    <row r="60" spans="1:17" ht="15">
      <c r="A60" s="202">
        <f t="shared" si="0"/>
        <v>52</v>
      </c>
      <c r="B60" s="384"/>
      <c r="C60" s="384"/>
      <c r="D60" s="384" t="s">
        <v>101</v>
      </c>
      <c r="E60" s="384"/>
      <c r="F60" s="386">
        <v>-9910.1550000000007</v>
      </c>
      <c r="G60" s="386">
        <v>-8126.8360000000002</v>
      </c>
      <c r="H60" s="386">
        <v>-9003.09</v>
      </c>
      <c r="I60" s="386">
        <v>-7922.3719999999994</v>
      </c>
      <c r="J60" s="386">
        <v>-9225.82</v>
      </c>
      <c r="K60" s="386">
        <v>-5830.76</v>
      </c>
      <c r="L60" s="386"/>
      <c r="M60" s="386"/>
      <c r="N60" s="386"/>
      <c r="O60" s="386"/>
      <c r="P60" s="386"/>
      <c r="Q60" s="386"/>
    </row>
    <row r="61" spans="1:17">
      <c r="A61" s="202">
        <f t="shared" si="0"/>
        <v>53</v>
      </c>
      <c r="B61" s="384"/>
      <c r="C61" s="384"/>
      <c r="D61" s="384" t="s">
        <v>102</v>
      </c>
      <c r="E61" s="384"/>
      <c r="F61" s="390"/>
      <c r="G61" s="390"/>
      <c r="H61" s="390"/>
      <c r="I61" s="390"/>
      <c r="J61" s="391"/>
      <c r="K61" s="391"/>
      <c r="L61" s="390"/>
      <c r="M61" s="390"/>
      <c r="N61" s="390"/>
      <c r="O61" s="390"/>
      <c r="P61" s="390"/>
      <c r="Q61" s="390"/>
    </row>
    <row r="62" spans="1:17">
      <c r="A62" s="202">
        <f t="shared" si="0"/>
        <v>54</v>
      </c>
      <c r="B62" s="384"/>
      <c r="C62" s="384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</row>
    <row r="63" spans="1:17">
      <c r="A63" s="202">
        <f t="shared" si="0"/>
        <v>55</v>
      </c>
      <c r="B63" s="537">
        <f>B57+1</f>
        <v>10</v>
      </c>
      <c r="C63" s="389">
        <v>3007540448</v>
      </c>
      <c r="D63" s="376" t="s">
        <v>689</v>
      </c>
      <c r="E63" s="376" t="s">
        <v>690</v>
      </c>
      <c r="F63" s="377"/>
      <c r="G63" s="378"/>
      <c r="H63" s="378"/>
      <c r="I63" s="378"/>
      <c r="J63" s="378"/>
      <c r="K63" s="378"/>
      <c r="L63" s="377"/>
      <c r="M63" s="378"/>
      <c r="N63" s="378"/>
      <c r="O63" s="378"/>
      <c r="P63" s="378"/>
      <c r="Q63" s="378"/>
    </row>
    <row r="64" spans="1:17">
      <c r="A64" s="202">
        <f t="shared" si="0"/>
        <v>56</v>
      </c>
      <c r="B64" s="379"/>
      <c r="C64" s="380"/>
      <c r="D64" s="384" t="s">
        <v>555</v>
      </c>
      <c r="E64" s="381"/>
      <c r="F64" s="382">
        <v>-1</v>
      </c>
      <c r="G64" s="382">
        <v>-1</v>
      </c>
      <c r="H64" s="382">
        <v>-1</v>
      </c>
      <c r="I64" s="382">
        <v>-1</v>
      </c>
      <c r="J64" s="383">
        <v>-1</v>
      </c>
      <c r="K64" s="383">
        <v>-1</v>
      </c>
      <c r="L64" s="382">
        <v>-1</v>
      </c>
      <c r="M64" s="382">
        <v>-1</v>
      </c>
      <c r="N64" s="382">
        <v>-1</v>
      </c>
      <c r="O64" s="382">
        <v>-1</v>
      </c>
      <c r="P64" s="382"/>
      <c r="Q64" s="382"/>
    </row>
    <row r="65" spans="1:17" ht="15">
      <c r="A65" s="202">
        <f t="shared" si="0"/>
        <v>57</v>
      </c>
      <c r="B65" s="384"/>
      <c r="C65" s="380"/>
      <c r="D65" s="384" t="s">
        <v>105</v>
      </c>
      <c r="E65" s="385"/>
      <c r="F65" s="386">
        <v>-5195.0330000000004</v>
      </c>
      <c r="G65" s="386">
        <v>-4569.7510000000002</v>
      </c>
      <c r="H65" s="386">
        <v>-3999.44</v>
      </c>
      <c r="I65" s="386">
        <v>-254.55500000000001</v>
      </c>
      <c r="J65" s="386">
        <v>-797.19600000000003</v>
      </c>
      <c r="K65" s="386">
        <v>-2438.5320000000002</v>
      </c>
      <c r="L65" s="386">
        <v>-3794.5079999999998</v>
      </c>
      <c r="M65" s="386">
        <v>-5407.3590000000004</v>
      </c>
      <c r="N65" s="386">
        <v>-2553.6970000000001</v>
      </c>
      <c r="O65" s="386">
        <v>-846.08500000000004</v>
      </c>
      <c r="P65" s="386"/>
      <c r="Q65" s="386"/>
    </row>
    <row r="66" spans="1:17" ht="15">
      <c r="A66" s="202">
        <f t="shared" si="0"/>
        <v>58</v>
      </c>
      <c r="B66" s="384"/>
      <c r="C66" s="384"/>
      <c r="D66" s="381" t="s">
        <v>106</v>
      </c>
      <c r="E66" s="384"/>
      <c r="F66" s="386">
        <v>0</v>
      </c>
      <c r="G66" s="386">
        <v>0</v>
      </c>
      <c r="H66" s="386">
        <v>0</v>
      </c>
      <c r="I66" s="384">
        <v>0</v>
      </c>
      <c r="J66" s="384">
        <v>0</v>
      </c>
      <c r="K66" s="384">
        <v>0</v>
      </c>
      <c r="L66" s="384">
        <v>0</v>
      </c>
      <c r="M66" s="384">
        <v>0</v>
      </c>
      <c r="N66" s="384">
        <v>0</v>
      </c>
      <c r="O66" s="384">
        <v>0</v>
      </c>
      <c r="P66" s="386"/>
      <c r="Q66" s="386"/>
    </row>
    <row r="67" spans="1:17">
      <c r="A67" s="202">
        <f t="shared" si="0"/>
        <v>59</v>
      </c>
      <c r="B67" s="384"/>
      <c r="C67" s="384"/>
      <c r="D67" s="384" t="s">
        <v>107</v>
      </c>
      <c r="E67" s="384"/>
      <c r="F67" s="394">
        <v>-3584.57</v>
      </c>
      <c r="G67" s="394">
        <v>-3153.13</v>
      </c>
      <c r="H67" s="394">
        <v>-2759.61</v>
      </c>
      <c r="I67" s="394">
        <v>-175.64</v>
      </c>
      <c r="J67" s="396">
        <v>-550.07000000000005</v>
      </c>
      <c r="K67" s="396">
        <v>-1682.59</v>
      </c>
      <c r="L67" s="394">
        <v>-2618.21</v>
      </c>
      <c r="M67" s="394">
        <v>-3731.08</v>
      </c>
      <c r="N67" s="394">
        <v>-1762.05</v>
      </c>
      <c r="O67" s="394">
        <v>-583.79999999999995</v>
      </c>
      <c r="P67" s="390"/>
      <c r="Q67" s="390"/>
    </row>
    <row r="68" spans="1:17">
      <c r="A68" s="202">
        <f t="shared" si="0"/>
        <v>60</v>
      </c>
      <c r="B68" s="384"/>
      <c r="C68" s="384"/>
      <c r="D68" s="384"/>
      <c r="E68" s="384"/>
      <c r="F68" s="384"/>
      <c r="G68" s="384"/>
      <c r="H68" s="384"/>
      <c r="I68" s="384"/>
      <c r="J68" s="384"/>
      <c r="K68" s="384"/>
      <c r="L68" s="384"/>
      <c r="M68" s="384"/>
      <c r="N68" s="384"/>
      <c r="O68" s="384"/>
      <c r="P68" s="384"/>
      <c r="Q68" s="384"/>
    </row>
    <row r="69" spans="1:17" ht="25.5">
      <c r="A69" s="202">
        <f t="shared" si="0"/>
        <v>61</v>
      </c>
      <c r="B69" s="537">
        <f>B63+1</f>
        <v>11</v>
      </c>
      <c r="C69" s="389">
        <v>3007043548</v>
      </c>
      <c r="D69" s="376" t="s">
        <v>697</v>
      </c>
      <c r="E69" s="376" t="s">
        <v>553</v>
      </c>
      <c r="F69" s="377"/>
      <c r="G69" s="378"/>
      <c r="H69" s="378"/>
      <c r="I69" s="378"/>
      <c r="J69" s="378"/>
      <c r="K69" s="378"/>
      <c r="L69" s="377"/>
      <c r="M69" s="378"/>
      <c r="N69" s="378"/>
      <c r="O69" s="378"/>
      <c r="P69" s="378"/>
      <c r="Q69" s="378"/>
    </row>
    <row r="70" spans="1:17">
      <c r="A70" s="202">
        <f t="shared" si="0"/>
        <v>62</v>
      </c>
      <c r="B70" s="379"/>
      <c r="C70" s="380"/>
      <c r="D70" s="381" t="s">
        <v>99</v>
      </c>
      <c r="E70" s="381"/>
      <c r="F70" s="382"/>
      <c r="G70" s="382"/>
      <c r="H70" s="382"/>
      <c r="I70" s="382"/>
      <c r="J70" s="383"/>
      <c r="K70" s="383"/>
      <c r="L70" s="382"/>
      <c r="M70" s="382"/>
      <c r="N70" s="382"/>
      <c r="O70" s="382"/>
      <c r="P70" s="382"/>
      <c r="Q70" s="382"/>
    </row>
    <row r="71" spans="1:17" ht="15">
      <c r="A71" s="202">
        <f t="shared" si="0"/>
        <v>63</v>
      </c>
      <c r="B71" s="384"/>
      <c r="C71" s="380"/>
      <c r="D71" s="381" t="s">
        <v>100</v>
      </c>
      <c r="E71" s="385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</row>
    <row r="72" spans="1:17" ht="15">
      <c r="A72" s="202">
        <f t="shared" si="0"/>
        <v>64</v>
      </c>
      <c r="B72" s="384"/>
      <c r="C72" s="384"/>
      <c r="D72" s="384" t="s">
        <v>101</v>
      </c>
      <c r="E72" s="384"/>
      <c r="F72" s="386"/>
      <c r="G72" s="386"/>
      <c r="H72" s="386"/>
      <c r="I72" s="397"/>
      <c r="J72" s="397"/>
      <c r="K72" s="397"/>
      <c r="L72" s="397"/>
      <c r="M72" s="397">
        <v>-1129.0065000000002</v>
      </c>
      <c r="N72" s="397"/>
      <c r="O72" s="397"/>
      <c r="P72" s="386"/>
      <c r="Q72" s="386"/>
    </row>
    <row r="73" spans="1:17">
      <c r="A73" s="202">
        <f t="shared" si="0"/>
        <v>65</v>
      </c>
      <c r="B73" s="384"/>
      <c r="C73" s="384"/>
      <c r="D73" s="384" t="s">
        <v>102</v>
      </c>
      <c r="E73" s="384"/>
      <c r="F73" s="390"/>
      <c r="G73" s="390"/>
      <c r="H73" s="390"/>
      <c r="I73" s="390"/>
      <c r="J73" s="391"/>
      <c r="K73" s="391"/>
      <c r="L73" s="390"/>
      <c r="M73" s="390"/>
      <c r="N73" s="390"/>
      <c r="O73" s="390"/>
      <c r="P73" s="390"/>
      <c r="Q73" s="390"/>
    </row>
    <row r="74" spans="1:17">
      <c r="A74" s="202">
        <f t="shared" si="0"/>
        <v>66</v>
      </c>
      <c r="B74" s="384"/>
      <c r="C74" s="384"/>
      <c r="D74" s="384"/>
      <c r="E74" s="384"/>
      <c r="F74" s="384"/>
      <c r="G74" s="384"/>
      <c r="H74" s="384"/>
      <c r="I74" s="384"/>
      <c r="J74" s="384"/>
      <c r="K74" s="384"/>
      <c r="L74" s="384"/>
      <c r="M74" s="384"/>
      <c r="N74" s="384"/>
      <c r="O74" s="384"/>
      <c r="P74" s="384"/>
      <c r="Q74" s="384"/>
    </row>
    <row r="75" spans="1:17">
      <c r="A75" s="202">
        <f t="shared" ref="A75:A138" si="1">A74+1</f>
        <v>67</v>
      </c>
      <c r="B75" s="537">
        <f>B69+1</f>
        <v>12</v>
      </c>
      <c r="C75" s="389">
        <v>3004932931</v>
      </c>
      <c r="D75" s="376" t="s">
        <v>689</v>
      </c>
      <c r="E75" s="376" t="s">
        <v>553</v>
      </c>
      <c r="F75" s="377"/>
      <c r="G75" s="378"/>
      <c r="H75" s="378"/>
      <c r="I75" s="378"/>
      <c r="J75" s="378"/>
      <c r="K75" s="378"/>
      <c r="L75" s="377"/>
      <c r="M75" s="378"/>
      <c r="N75" s="378"/>
      <c r="O75" s="378"/>
      <c r="P75" s="378"/>
      <c r="Q75" s="378"/>
    </row>
    <row r="76" spans="1:17">
      <c r="A76" s="202">
        <f t="shared" si="1"/>
        <v>68</v>
      </c>
      <c r="B76" s="379"/>
      <c r="C76" s="380"/>
      <c r="D76" s="381" t="s">
        <v>99</v>
      </c>
      <c r="E76" s="381"/>
      <c r="F76" s="382">
        <v>-1</v>
      </c>
      <c r="G76" s="382">
        <v>-1</v>
      </c>
      <c r="H76" s="382">
        <v>-1</v>
      </c>
      <c r="I76" s="382">
        <v>-1</v>
      </c>
      <c r="J76" s="383">
        <v>-1</v>
      </c>
      <c r="K76" s="383">
        <v>-1</v>
      </c>
      <c r="L76" s="382">
        <v>-1</v>
      </c>
      <c r="M76" s="382"/>
      <c r="N76" s="382">
        <v>-1</v>
      </c>
      <c r="O76" s="382">
        <v>-1</v>
      </c>
      <c r="P76" s="382">
        <v>-1</v>
      </c>
      <c r="Q76" s="382"/>
    </row>
    <row r="77" spans="1:17" ht="15">
      <c r="A77" s="202">
        <f t="shared" si="1"/>
        <v>69</v>
      </c>
      <c r="B77" s="384"/>
      <c r="C77" s="380"/>
      <c r="D77" s="381" t="s">
        <v>100</v>
      </c>
      <c r="E77" s="385"/>
      <c r="F77" s="386"/>
      <c r="G77" s="386"/>
      <c r="H77" s="386"/>
      <c r="I77" s="386"/>
      <c r="J77" s="386"/>
      <c r="K77" s="386"/>
      <c r="L77" s="386">
        <v>-300</v>
      </c>
      <c r="M77" s="386"/>
      <c r="N77" s="386">
        <v>-300</v>
      </c>
      <c r="O77" s="386">
        <v>-109.91</v>
      </c>
      <c r="P77" s="386">
        <v>-25.631</v>
      </c>
      <c r="Q77" s="386"/>
    </row>
    <row r="78" spans="1:17" ht="15">
      <c r="A78" s="202">
        <f t="shared" si="1"/>
        <v>70</v>
      </c>
      <c r="B78" s="384"/>
      <c r="C78" s="384"/>
      <c r="D78" s="384" t="s">
        <v>101</v>
      </c>
      <c r="E78" s="384"/>
      <c r="F78" s="386"/>
      <c r="G78" s="386"/>
      <c r="H78" s="386"/>
      <c r="I78" s="386"/>
      <c r="J78" s="386"/>
      <c r="K78" s="386"/>
      <c r="L78" s="386">
        <v>-5081.9279999999999</v>
      </c>
      <c r="M78" s="386"/>
      <c r="N78" s="386">
        <v>-503.93799999999999</v>
      </c>
      <c r="O78" s="386"/>
      <c r="P78" s="386"/>
      <c r="Q78" s="386"/>
    </row>
    <row r="79" spans="1:17">
      <c r="A79" s="202">
        <f t="shared" si="1"/>
        <v>71</v>
      </c>
      <c r="B79" s="384"/>
      <c r="C79" s="384"/>
      <c r="D79" s="384" t="s">
        <v>102</v>
      </c>
      <c r="E79" s="384"/>
      <c r="F79" s="390"/>
      <c r="G79" s="390"/>
      <c r="H79" s="390"/>
      <c r="I79" s="390"/>
      <c r="J79" s="391"/>
      <c r="K79" s="391"/>
      <c r="L79" s="390"/>
      <c r="M79" s="390"/>
      <c r="N79" s="390"/>
      <c r="O79" s="390"/>
      <c r="P79" s="390"/>
      <c r="Q79" s="390"/>
    </row>
    <row r="80" spans="1:17">
      <c r="A80" s="202">
        <f t="shared" si="1"/>
        <v>72</v>
      </c>
      <c r="B80" s="384"/>
      <c r="C80" s="384"/>
      <c r="D80" s="384"/>
      <c r="E80" s="384"/>
      <c r="F80" s="392"/>
      <c r="G80" s="392"/>
      <c r="H80" s="392"/>
      <c r="I80" s="392"/>
      <c r="J80" s="392"/>
      <c r="K80" s="392"/>
      <c r="L80" s="392"/>
      <c r="M80" s="392"/>
      <c r="N80" s="392"/>
      <c r="O80" s="392"/>
      <c r="P80" s="392"/>
      <c r="Q80" s="392"/>
    </row>
    <row r="81" spans="1:17" ht="25.5">
      <c r="A81" s="202">
        <f t="shared" si="1"/>
        <v>73</v>
      </c>
      <c r="B81" s="537">
        <f>B75+1</f>
        <v>13</v>
      </c>
      <c r="C81" s="389">
        <v>3007969236</v>
      </c>
      <c r="D81" s="376" t="s">
        <v>699</v>
      </c>
      <c r="E81" s="376" t="s">
        <v>553</v>
      </c>
      <c r="F81" s="377"/>
      <c r="G81" s="378"/>
      <c r="H81" s="378"/>
      <c r="I81" s="378"/>
      <c r="J81" s="378"/>
      <c r="K81" s="378"/>
      <c r="L81" s="377"/>
      <c r="M81" s="378"/>
      <c r="N81" s="378"/>
      <c r="O81" s="378"/>
      <c r="P81" s="378"/>
      <c r="Q81" s="378"/>
    </row>
    <row r="82" spans="1:17">
      <c r="A82" s="202">
        <f t="shared" si="1"/>
        <v>74</v>
      </c>
      <c r="B82" s="379"/>
      <c r="C82" s="380"/>
      <c r="D82" s="381" t="s">
        <v>99</v>
      </c>
      <c r="E82" s="381"/>
      <c r="F82" s="382"/>
      <c r="G82" s="382"/>
      <c r="H82" s="382"/>
      <c r="I82" s="382"/>
      <c r="J82" s="383"/>
      <c r="K82" s="383"/>
      <c r="L82" s="382"/>
      <c r="M82" s="382"/>
      <c r="N82" s="382"/>
      <c r="O82" s="382"/>
      <c r="P82" s="382"/>
      <c r="Q82" s="382"/>
    </row>
    <row r="83" spans="1:17" ht="15">
      <c r="A83" s="202">
        <f t="shared" si="1"/>
        <v>75</v>
      </c>
      <c r="B83" s="384"/>
      <c r="C83" s="380"/>
      <c r="D83" s="381" t="s">
        <v>100</v>
      </c>
      <c r="E83" s="385"/>
      <c r="F83" s="386"/>
      <c r="G83" s="386"/>
      <c r="H83" s="386"/>
      <c r="I83" s="386"/>
      <c r="J83" s="386"/>
      <c r="K83" s="386"/>
      <c r="L83" s="386"/>
      <c r="M83" s="386"/>
      <c r="N83" s="386"/>
      <c r="O83" s="390"/>
      <c r="P83" s="386"/>
      <c r="Q83" s="386"/>
    </row>
    <row r="84" spans="1:17" ht="15">
      <c r="A84" s="202">
        <f t="shared" si="1"/>
        <v>76</v>
      </c>
      <c r="B84" s="384"/>
      <c r="C84" s="384"/>
      <c r="D84" s="384" t="s">
        <v>101</v>
      </c>
      <c r="E84" s="384"/>
      <c r="F84" s="386"/>
      <c r="G84" s="386"/>
      <c r="H84" s="386"/>
      <c r="I84" s="386">
        <v>2831.4719999999998</v>
      </c>
      <c r="J84" s="386">
        <v>5267.9650000000001</v>
      </c>
      <c r="K84" s="386"/>
      <c r="L84" s="386"/>
      <c r="M84" s="386"/>
      <c r="N84" s="386"/>
      <c r="O84" s="386"/>
      <c r="P84" s="386"/>
      <c r="Q84" s="386"/>
    </row>
    <row r="85" spans="1:17">
      <c r="A85" s="202">
        <f t="shared" si="1"/>
        <v>77</v>
      </c>
      <c r="B85" s="384"/>
      <c r="C85" s="384"/>
      <c r="D85" s="384" t="s">
        <v>102</v>
      </c>
      <c r="E85" s="384"/>
      <c r="F85" s="390"/>
      <c r="G85" s="390"/>
      <c r="H85" s="390"/>
      <c r="I85" s="390"/>
      <c r="J85" s="391"/>
      <c r="K85" s="391"/>
      <c r="L85" s="390"/>
      <c r="M85" s="390"/>
      <c r="N85" s="390"/>
      <c r="O85" s="390"/>
      <c r="P85" s="390"/>
      <c r="Q85" s="390"/>
    </row>
    <row r="86" spans="1:17">
      <c r="A86" s="202">
        <f t="shared" si="1"/>
        <v>78</v>
      </c>
      <c r="B86" s="384"/>
      <c r="C86" s="384"/>
      <c r="D86" s="384"/>
      <c r="E86" s="384"/>
      <c r="F86" s="384"/>
      <c r="G86" s="384"/>
      <c r="H86" s="384"/>
      <c r="I86" s="384"/>
      <c r="J86" s="384"/>
      <c r="K86" s="384"/>
      <c r="L86" s="384"/>
      <c r="M86" s="384"/>
      <c r="N86" s="384"/>
      <c r="O86" s="384"/>
      <c r="P86" s="384"/>
      <c r="Q86" s="384"/>
    </row>
    <row r="87" spans="1:17" ht="25.5">
      <c r="A87" s="202">
        <f t="shared" si="1"/>
        <v>79</v>
      </c>
      <c r="B87" s="537">
        <f>B81+1</f>
        <v>14</v>
      </c>
      <c r="C87" s="389">
        <v>3063437535</v>
      </c>
      <c r="D87" s="376" t="s">
        <v>698</v>
      </c>
      <c r="E87" s="376" t="s">
        <v>553</v>
      </c>
      <c r="F87" s="377"/>
      <c r="G87" s="378"/>
      <c r="H87" s="378"/>
      <c r="I87" s="378"/>
      <c r="J87" s="378"/>
      <c r="K87" s="378"/>
      <c r="L87" s="377"/>
      <c r="M87" s="378"/>
      <c r="N87" s="378"/>
      <c r="O87" s="378"/>
      <c r="P87" s="378"/>
      <c r="Q87" s="378"/>
    </row>
    <row r="88" spans="1:17">
      <c r="A88" s="202">
        <f t="shared" si="1"/>
        <v>80</v>
      </c>
      <c r="B88" s="379"/>
      <c r="C88" s="380"/>
      <c r="D88" s="381" t="s">
        <v>99</v>
      </c>
      <c r="E88" s="381"/>
      <c r="F88" s="382"/>
      <c r="G88" s="382"/>
      <c r="H88" s="382"/>
      <c r="I88" s="382"/>
      <c r="J88" s="383"/>
      <c r="K88" s="383"/>
      <c r="L88" s="382"/>
      <c r="M88" s="382"/>
      <c r="N88" s="382"/>
      <c r="O88" s="382"/>
      <c r="P88" s="382"/>
      <c r="Q88" s="382"/>
    </row>
    <row r="89" spans="1:17" ht="15">
      <c r="A89" s="202">
        <f t="shared" si="1"/>
        <v>81</v>
      </c>
      <c r="B89" s="384"/>
      <c r="C89" s="380"/>
      <c r="D89" s="381" t="s">
        <v>100</v>
      </c>
      <c r="E89" s="385"/>
      <c r="F89" s="386"/>
      <c r="G89" s="386"/>
      <c r="H89" s="386"/>
      <c r="I89" s="386"/>
      <c r="J89" s="386"/>
      <c r="K89" s="386"/>
      <c r="L89" s="386"/>
      <c r="M89" s="386"/>
      <c r="N89" s="386"/>
      <c r="O89" s="386"/>
      <c r="P89" s="386"/>
      <c r="Q89" s="386"/>
    </row>
    <row r="90" spans="1:17" ht="15">
      <c r="A90" s="202">
        <f t="shared" si="1"/>
        <v>82</v>
      </c>
      <c r="B90" s="384"/>
      <c r="C90" s="384"/>
      <c r="D90" s="384" t="s">
        <v>101</v>
      </c>
      <c r="E90" s="384"/>
      <c r="F90" s="386"/>
      <c r="G90" s="386"/>
      <c r="H90" s="386"/>
      <c r="I90" s="386"/>
      <c r="J90" s="386"/>
      <c r="K90" s="386"/>
      <c r="L90" s="386"/>
      <c r="M90" s="386"/>
      <c r="N90" s="386"/>
      <c r="O90" s="386"/>
      <c r="P90" s="386"/>
      <c r="Q90" s="386"/>
    </row>
    <row r="91" spans="1:17">
      <c r="A91" s="202">
        <f t="shared" si="1"/>
        <v>83</v>
      </c>
      <c r="B91" s="384"/>
      <c r="C91" s="384"/>
      <c r="D91" s="384" t="s">
        <v>102</v>
      </c>
      <c r="E91" s="384"/>
      <c r="F91" s="390"/>
      <c r="G91" s="390"/>
      <c r="H91" s="390"/>
      <c r="I91" s="390"/>
      <c r="J91" s="391"/>
      <c r="K91" s="391"/>
      <c r="L91" s="390"/>
      <c r="M91" s="390"/>
      <c r="N91" s="390"/>
      <c r="O91" s="390"/>
      <c r="P91" s="390"/>
      <c r="Q91" s="390"/>
    </row>
    <row r="92" spans="1:17">
      <c r="A92" s="202">
        <f t="shared" si="1"/>
        <v>84</v>
      </c>
      <c r="B92" s="384"/>
      <c r="C92" s="384"/>
      <c r="D92" s="384"/>
      <c r="E92" s="384"/>
      <c r="F92" s="384"/>
      <c r="G92" s="384"/>
      <c r="H92" s="384"/>
      <c r="I92" s="384"/>
      <c r="J92" s="384"/>
      <c r="K92" s="384"/>
      <c r="L92" s="384"/>
      <c r="M92" s="384"/>
      <c r="N92" s="384"/>
      <c r="O92" s="384"/>
      <c r="P92" s="384"/>
      <c r="Q92" s="384"/>
    </row>
    <row r="93" spans="1:17" ht="25.5">
      <c r="A93" s="202">
        <f t="shared" si="1"/>
        <v>85</v>
      </c>
      <c r="B93" s="537">
        <f>B87+1</f>
        <v>15</v>
      </c>
      <c r="C93" s="389">
        <v>4032471395</v>
      </c>
      <c r="D93" s="376" t="s">
        <v>700</v>
      </c>
      <c r="E93" s="376" t="s">
        <v>553</v>
      </c>
      <c r="F93" s="377"/>
      <c r="G93" s="378"/>
      <c r="H93" s="378"/>
      <c r="I93" s="378"/>
      <c r="J93" s="378"/>
      <c r="K93" s="378"/>
      <c r="L93" s="377"/>
      <c r="M93" s="378"/>
      <c r="N93" s="378"/>
      <c r="O93" s="378"/>
      <c r="P93" s="378"/>
      <c r="Q93" s="378"/>
    </row>
    <row r="94" spans="1:17">
      <c r="A94" s="202">
        <f t="shared" si="1"/>
        <v>86</v>
      </c>
      <c r="B94" s="379"/>
      <c r="C94" s="380"/>
      <c r="D94" s="381" t="s">
        <v>99</v>
      </c>
      <c r="E94" s="381"/>
      <c r="F94" s="382">
        <v>-1</v>
      </c>
      <c r="G94" s="382">
        <v>-1</v>
      </c>
      <c r="H94" s="382">
        <v>-1</v>
      </c>
      <c r="I94" s="382">
        <v>-1</v>
      </c>
      <c r="J94" s="383">
        <v>-1</v>
      </c>
      <c r="K94" s="383"/>
      <c r="L94" s="382"/>
      <c r="M94" s="382"/>
      <c r="N94" s="382"/>
      <c r="O94" s="382"/>
      <c r="P94" s="382"/>
      <c r="Q94" s="382"/>
    </row>
    <row r="95" spans="1:17" ht="15">
      <c r="A95" s="202">
        <f t="shared" si="1"/>
        <v>87</v>
      </c>
      <c r="B95" s="384"/>
      <c r="C95" s="380"/>
      <c r="D95" s="381" t="s">
        <v>100</v>
      </c>
      <c r="E95" s="385"/>
      <c r="F95" s="386">
        <v>-2.4710000000000001</v>
      </c>
      <c r="G95" s="386">
        <v>-20.571000000000002</v>
      </c>
      <c r="H95" s="386">
        <v>-31.306999999999999</v>
      </c>
      <c r="I95" s="386">
        <v>-52.031999999999996</v>
      </c>
      <c r="J95" s="386">
        <v>-91.024000000000001</v>
      </c>
      <c r="K95" s="386">
        <v>-300</v>
      </c>
      <c r="L95" s="386"/>
      <c r="M95" s="386"/>
      <c r="N95" s="386"/>
      <c r="O95" s="386"/>
      <c r="P95" s="386"/>
      <c r="Q95" s="386"/>
    </row>
    <row r="96" spans="1:17" ht="15">
      <c r="A96" s="202">
        <f t="shared" si="1"/>
        <v>88</v>
      </c>
      <c r="B96" s="384"/>
      <c r="C96" s="384"/>
      <c r="D96" s="384" t="s">
        <v>101</v>
      </c>
      <c r="E96" s="384"/>
      <c r="F96" s="386"/>
      <c r="G96" s="386"/>
      <c r="H96" s="386"/>
      <c r="I96" s="386"/>
      <c r="J96" s="386"/>
      <c r="K96" s="386">
        <v>-35.769999999999982</v>
      </c>
      <c r="L96" s="386"/>
      <c r="M96" s="386"/>
      <c r="N96" s="386"/>
      <c r="O96" s="386"/>
      <c r="P96" s="386"/>
      <c r="Q96" s="386"/>
    </row>
    <row r="97" spans="1:17">
      <c r="A97" s="202">
        <f t="shared" si="1"/>
        <v>89</v>
      </c>
      <c r="B97" s="384"/>
      <c r="C97" s="384"/>
      <c r="D97" s="384" t="s">
        <v>102</v>
      </c>
      <c r="E97" s="384"/>
      <c r="F97" s="390"/>
      <c r="G97" s="390"/>
      <c r="H97" s="390"/>
      <c r="I97" s="390"/>
      <c r="J97" s="391"/>
      <c r="K97" s="391"/>
      <c r="L97" s="390"/>
      <c r="M97" s="390"/>
      <c r="N97" s="390"/>
      <c r="O97" s="390"/>
      <c r="P97" s="390"/>
      <c r="Q97" s="390"/>
    </row>
    <row r="98" spans="1:17">
      <c r="A98" s="202">
        <f t="shared" si="1"/>
        <v>90</v>
      </c>
      <c r="B98" s="384"/>
      <c r="C98" s="384"/>
      <c r="D98" s="384"/>
      <c r="E98" s="384"/>
      <c r="F98" s="384"/>
      <c r="G98" s="384"/>
      <c r="H98" s="384"/>
      <c r="I98" s="384"/>
      <c r="J98" s="384"/>
      <c r="K98" s="384"/>
      <c r="L98" s="384"/>
      <c r="M98" s="384"/>
      <c r="N98" s="384"/>
      <c r="O98" s="384"/>
      <c r="P98" s="384"/>
      <c r="Q98" s="384"/>
    </row>
    <row r="99" spans="1:17" ht="25.5">
      <c r="A99" s="202">
        <f t="shared" si="1"/>
        <v>91</v>
      </c>
      <c r="B99" s="537">
        <f>B93+1</f>
        <v>16</v>
      </c>
      <c r="C99" s="389">
        <v>3009420798</v>
      </c>
      <c r="D99" s="376" t="s">
        <v>699</v>
      </c>
      <c r="E99" s="376" t="s">
        <v>553</v>
      </c>
      <c r="F99" s="377"/>
      <c r="G99" s="378"/>
      <c r="H99" s="378"/>
      <c r="I99" s="378"/>
      <c r="J99" s="378"/>
      <c r="K99" s="378"/>
      <c r="L99" s="377"/>
      <c r="M99" s="378"/>
      <c r="N99" s="378"/>
      <c r="O99" s="378"/>
      <c r="P99" s="378"/>
      <c r="Q99" s="378"/>
    </row>
    <row r="100" spans="1:17">
      <c r="A100" s="202">
        <f t="shared" si="1"/>
        <v>92</v>
      </c>
      <c r="B100" s="379"/>
      <c r="C100" s="380"/>
      <c r="D100" s="381" t="s">
        <v>99</v>
      </c>
      <c r="E100" s="381"/>
      <c r="F100" s="382"/>
      <c r="G100" s="382"/>
      <c r="H100" s="382"/>
      <c r="I100" s="382"/>
      <c r="J100" s="383"/>
      <c r="K100" s="383"/>
      <c r="L100" s="382"/>
      <c r="M100" s="382"/>
      <c r="N100" s="382"/>
      <c r="O100" s="382"/>
      <c r="P100" s="382"/>
      <c r="Q100" s="382"/>
    </row>
    <row r="101" spans="1:17" ht="15">
      <c r="A101" s="202">
        <f t="shared" si="1"/>
        <v>93</v>
      </c>
      <c r="B101" s="384"/>
      <c r="C101" s="380"/>
      <c r="D101" s="381" t="s">
        <v>100</v>
      </c>
      <c r="E101" s="385"/>
      <c r="F101" s="386"/>
      <c r="G101" s="386"/>
      <c r="H101" s="386"/>
      <c r="I101" s="386"/>
      <c r="J101" s="386"/>
      <c r="K101" s="386"/>
      <c r="L101" s="386"/>
      <c r="M101" s="386"/>
      <c r="N101" s="386">
        <v>150.137</v>
      </c>
      <c r="O101" s="386">
        <v>115.85599999999999</v>
      </c>
      <c r="P101" s="386">
        <v>241.595</v>
      </c>
      <c r="Q101" s="386">
        <v>300</v>
      </c>
    </row>
    <row r="102" spans="1:17" ht="15">
      <c r="A102" s="202">
        <f t="shared" si="1"/>
        <v>94</v>
      </c>
      <c r="B102" s="384"/>
      <c r="C102" s="384"/>
      <c r="D102" s="384" t="s">
        <v>101</v>
      </c>
      <c r="E102" s="384"/>
      <c r="F102" s="386">
        <v>64.488666666666631</v>
      </c>
      <c r="G102" s="386">
        <v>140.94866666666667</v>
      </c>
      <c r="H102" s="386">
        <v>804.02966666666657</v>
      </c>
      <c r="I102" s="386">
        <v>793.05666666666662</v>
      </c>
      <c r="J102" s="386">
        <v>-316.77333333333354</v>
      </c>
      <c r="K102" s="386">
        <v>117.46866666666665</v>
      </c>
      <c r="L102" s="386">
        <v>771.46066666666684</v>
      </c>
      <c r="M102" s="386">
        <v>1769.0096666666664</v>
      </c>
      <c r="N102" s="386">
        <v>2366.6666666666665</v>
      </c>
      <c r="O102" s="386">
        <v>2366.6666666666665</v>
      </c>
      <c r="P102" s="386">
        <v>2366.6666666666665</v>
      </c>
      <c r="Q102" s="386">
        <v>2366.6666666666665</v>
      </c>
    </row>
    <row r="103" spans="1:17">
      <c r="A103" s="202">
        <f t="shared" si="1"/>
        <v>95</v>
      </c>
      <c r="B103" s="384"/>
      <c r="C103" s="384"/>
      <c r="D103" s="384" t="s">
        <v>102</v>
      </c>
      <c r="E103" s="384"/>
      <c r="F103" s="390"/>
      <c r="G103" s="390"/>
      <c r="H103" s="390"/>
      <c r="I103" s="390"/>
      <c r="J103" s="391"/>
      <c r="K103" s="391"/>
      <c r="L103" s="390"/>
      <c r="M103" s="390"/>
      <c r="N103" s="390"/>
      <c r="O103" s="390"/>
      <c r="P103" s="390"/>
      <c r="Q103" s="390"/>
    </row>
    <row r="104" spans="1:17">
      <c r="A104" s="202">
        <f t="shared" si="1"/>
        <v>96</v>
      </c>
      <c r="B104" s="384"/>
      <c r="C104" s="384"/>
      <c r="D104" s="384"/>
      <c r="E104" s="384"/>
      <c r="F104" s="384"/>
      <c r="G104" s="384"/>
      <c r="H104" s="384"/>
      <c r="I104" s="384"/>
      <c r="J104" s="384"/>
      <c r="K104" s="384"/>
      <c r="L104" s="384"/>
      <c r="M104" s="384"/>
      <c r="N104" s="384"/>
      <c r="O104" s="384"/>
      <c r="P104" s="384"/>
      <c r="Q104" s="384"/>
    </row>
    <row r="105" spans="1:17" ht="25.5">
      <c r="A105" s="202">
        <f t="shared" si="1"/>
        <v>97</v>
      </c>
      <c r="B105" s="537">
        <f>B99+1</f>
        <v>17</v>
      </c>
      <c r="C105" s="389">
        <v>3062953489</v>
      </c>
      <c r="D105" s="376" t="s">
        <v>698</v>
      </c>
      <c r="E105" s="376" t="s">
        <v>553</v>
      </c>
      <c r="F105" s="377"/>
      <c r="G105" s="378"/>
      <c r="H105" s="378"/>
      <c r="I105" s="378"/>
      <c r="J105" s="378"/>
      <c r="K105" s="378"/>
      <c r="L105" s="377"/>
      <c r="M105" s="378"/>
      <c r="N105" s="378"/>
      <c r="O105" s="378"/>
      <c r="P105" s="378"/>
      <c r="Q105" s="378"/>
    </row>
    <row r="106" spans="1:17">
      <c r="A106" s="202">
        <f t="shared" si="1"/>
        <v>98</v>
      </c>
      <c r="B106" s="379"/>
      <c r="C106" s="380"/>
      <c r="D106" s="381" t="s">
        <v>99</v>
      </c>
      <c r="E106" s="381"/>
      <c r="F106" s="382">
        <v>1</v>
      </c>
      <c r="G106" s="382">
        <v>1</v>
      </c>
      <c r="H106" s="382">
        <v>1</v>
      </c>
      <c r="I106" s="382">
        <v>1</v>
      </c>
      <c r="J106" s="383">
        <v>1</v>
      </c>
      <c r="K106" s="383"/>
      <c r="L106" s="382"/>
      <c r="M106" s="382"/>
      <c r="N106" s="382"/>
      <c r="O106" s="382"/>
      <c r="P106" s="382"/>
      <c r="Q106" s="382"/>
    </row>
    <row r="107" spans="1:17" ht="15">
      <c r="A107" s="202">
        <f t="shared" si="1"/>
        <v>99</v>
      </c>
      <c r="B107" s="384"/>
      <c r="C107" s="380"/>
      <c r="D107" s="381" t="s">
        <v>100</v>
      </c>
      <c r="E107" s="385"/>
      <c r="F107" s="386">
        <v>300</v>
      </c>
      <c r="G107" s="386">
        <v>300</v>
      </c>
      <c r="H107" s="386">
        <v>300</v>
      </c>
      <c r="I107" s="386">
        <v>300</v>
      </c>
      <c r="J107" s="386">
        <v>300</v>
      </c>
      <c r="K107" s="386"/>
      <c r="L107" s="386"/>
      <c r="M107" s="386"/>
      <c r="N107" s="386"/>
      <c r="O107" s="386"/>
      <c r="P107" s="386"/>
      <c r="Q107" s="386"/>
    </row>
    <row r="108" spans="1:17" ht="15">
      <c r="A108" s="202">
        <f t="shared" si="1"/>
        <v>100</v>
      </c>
      <c r="B108" s="384"/>
      <c r="C108" s="384"/>
      <c r="D108" s="384" t="s">
        <v>101</v>
      </c>
      <c r="E108" s="384"/>
      <c r="F108" s="386">
        <v>4599.4216249999999</v>
      </c>
      <c r="G108" s="386">
        <v>4599.4216249999999</v>
      </c>
      <c r="H108" s="386">
        <v>4599.4216249999999</v>
      </c>
      <c r="I108" s="386">
        <v>4599.4216249999999</v>
      </c>
      <c r="J108" s="386">
        <v>4599.4216249999999</v>
      </c>
      <c r="K108" s="386">
        <v>2018.1656250000001</v>
      </c>
      <c r="L108" s="386">
        <v>93.874625000000378</v>
      </c>
      <c r="M108" s="386"/>
      <c r="N108" s="386"/>
      <c r="O108" s="386"/>
      <c r="P108" s="386"/>
      <c r="Q108" s="386">
        <v>415.44562500000029</v>
      </c>
    </row>
    <row r="109" spans="1:17">
      <c r="A109" s="202">
        <f t="shared" si="1"/>
        <v>101</v>
      </c>
      <c r="B109" s="384"/>
      <c r="C109" s="384"/>
      <c r="D109" s="384" t="s">
        <v>102</v>
      </c>
      <c r="E109" s="384"/>
      <c r="F109" s="390"/>
      <c r="G109" s="390"/>
      <c r="H109" s="390"/>
      <c r="I109" s="390"/>
      <c r="J109" s="391"/>
      <c r="K109" s="391"/>
      <c r="L109" s="390"/>
      <c r="M109" s="390"/>
      <c r="N109" s="390"/>
      <c r="O109" s="390"/>
      <c r="P109" s="390"/>
      <c r="Q109" s="390"/>
    </row>
    <row r="110" spans="1:17">
      <c r="A110" s="202">
        <f t="shared" si="1"/>
        <v>102</v>
      </c>
      <c r="B110" s="384"/>
      <c r="C110" s="384"/>
      <c r="D110" s="384"/>
      <c r="E110" s="384"/>
      <c r="F110" s="384"/>
      <c r="G110" s="384"/>
      <c r="H110" s="384"/>
      <c r="I110" s="384"/>
      <c r="J110" s="384"/>
      <c r="K110" s="384"/>
      <c r="L110" s="384"/>
      <c r="M110" s="384"/>
      <c r="N110" s="384"/>
      <c r="O110" s="384"/>
      <c r="P110" s="384"/>
      <c r="Q110" s="384"/>
    </row>
    <row r="111" spans="1:17" ht="25.5">
      <c r="A111" s="202">
        <f t="shared" si="1"/>
        <v>103</v>
      </c>
      <c r="B111" s="537">
        <f>B105+1</f>
        <v>18</v>
      </c>
      <c r="C111" s="389"/>
      <c r="D111" s="376" t="s">
        <v>698</v>
      </c>
      <c r="E111" s="376" t="s">
        <v>690</v>
      </c>
      <c r="F111" s="377"/>
      <c r="G111" s="378"/>
      <c r="H111" s="378"/>
      <c r="I111" s="378"/>
      <c r="J111" s="378"/>
      <c r="K111" s="378"/>
      <c r="L111" s="377"/>
      <c r="M111" s="378"/>
      <c r="N111" s="378"/>
      <c r="O111" s="378"/>
      <c r="P111" s="378"/>
      <c r="Q111" s="378"/>
    </row>
    <row r="112" spans="1:17">
      <c r="A112" s="202">
        <f t="shared" si="1"/>
        <v>104</v>
      </c>
      <c r="B112" s="379"/>
      <c r="C112" s="380"/>
      <c r="D112" s="381" t="s">
        <v>555</v>
      </c>
      <c r="E112" s="381"/>
      <c r="F112" s="382">
        <v>1</v>
      </c>
      <c r="G112" s="382">
        <v>1</v>
      </c>
      <c r="H112" s="382">
        <v>1</v>
      </c>
      <c r="I112" s="382">
        <v>1</v>
      </c>
      <c r="J112" s="383">
        <v>1</v>
      </c>
      <c r="K112" s="383">
        <v>1</v>
      </c>
      <c r="L112" s="382">
        <v>1</v>
      </c>
      <c r="M112" s="382">
        <v>1</v>
      </c>
      <c r="N112" s="382">
        <v>1</v>
      </c>
      <c r="O112" s="382">
        <v>1</v>
      </c>
      <c r="P112" s="382">
        <v>1</v>
      </c>
      <c r="Q112" s="382">
        <v>1</v>
      </c>
    </row>
    <row r="113" spans="1:18" ht="15">
      <c r="A113" s="202">
        <f t="shared" si="1"/>
        <v>105</v>
      </c>
      <c r="B113" s="384"/>
      <c r="C113" s="380"/>
      <c r="D113" s="381" t="s">
        <v>105</v>
      </c>
      <c r="E113" s="385"/>
      <c r="F113" s="432">
        <v>30000</v>
      </c>
      <c r="G113" s="432">
        <v>30000</v>
      </c>
      <c r="H113" s="432">
        <v>30000</v>
      </c>
      <c r="I113" s="432">
        <v>30000</v>
      </c>
      <c r="J113" s="432">
        <v>30000</v>
      </c>
      <c r="K113" s="432">
        <v>30000</v>
      </c>
      <c r="L113" s="432">
        <v>30000</v>
      </c>
      <c r="M113" s="432">
        <v>30000</v>
      </c>
      <c r="N113" s="432">
        <v>30000</v>
      </c>
      <c r="O113" s="432">
        <v>30000</v>
      </c>
      <c r="P113" s="432">
        <v>30000</v>
      </c>
      <c r="Q113" s="432">
        <v>30000</v>
      </c>
    </row>
    <row r="114" spans="1:18" ht="15">
      <c r="A114" s="202">
        <f t="shared" si="1"/>
        <v>106</v>
      </c>
      <c r="B114" s="384"/>
      <c r="C114" s="384"/>
      <c r="D114" s="384" t="s">
        <v>106</v>
      </c>
      <c r="E114" s="384"/>
      <c r="F114" s="432"/>
      <c r="G114" s="432"/>
      <c r="H114" s="432"/>
      <c r="I114" s="432"/>
      <c r="J114" s="432"/>
      <c r="K114" s="432"/>
      <c r="L114" s="432"/>
      <c r="M114" s="432"/>
      <c r="N114" s="432"/>
      <c r="O114" s="432"/>
      <c r="P114" s="432"/>
      <c r="Q114" s="432"/>
    </row>
    <row r="115" spans="1:18">
      <c r="A115" s="202">
        <f t="shared" si="1"/>
        <v>107</v>
      </c>
      <c r="B115" s="384"/>
      <c r="C115" s="384"/>
      <c r="D115" s="384" t="s">
        <v>107</v>
      </c>
      <c r="E115" s="384"/>
      <c r="F115" s="390">
        <v>22212.472500000003</v>
      </c>
      <c r="G115" s="390">
        <v>22212.472500000003</v>
      </c>
      <c r="H115" s="390">
        <v>22212.472500000003</v>
      </c>
      <c r="I115" s="390">
        <v>22212.472500000003</v>
      </c>
      <c r="J115" s="391">
        <v>22212.472500000003</v>
      </c>
      <c r="K115" s="391">
        <v>22212.472500000003</v>
      </c>
      <c r="L115" s="390">
        <v>22212.472500000003</v>
      </c>
      <c r="M115" s="390">
        <v>22212.472500000003</v>
      </c>
      <c r="N115" s="390">
        <v>22212.472500000003</v>
      </c>
      <c r="O115" s="390">
        <v>22212.472500000003</v>
      </c>
      <c r="P115" s="390">
        <v>22212.472500000003</v>
      </c>
      <c r="Q115" s="390">
        <v>22212.472500000003</v>
      </c>
    </row>
    <row r="116" spans="1:18">
      <c r="A116" s="202">
        <f t="shared" si="1"/>
        <v>108</v>
      </c>
      <c r="B116" s="384"/>
      <c r="C116" s="384"/>
      <c r="D116" s="384"/>
      <c r="E116" s="384"/>
      <c r="F116" s="384"/>
      <c r="G116" s="384"/>
      <c r="H116" s="384"/>
      <c r="I116" s="384"/>
      <c r="J116" s="384"/>
      <c r="K116" s="384"/>
      <c r="L116" s="384"/>
      <c r="M116" s="384"/>
      <c r="N116" s="384"/>
      <c r="O116" s="384"/>
      <c r="P116" s="384"/>
      <c r="Q116" s="384"/>
    </row>
    <row r="117" spans="1:18">
      <c r="A117" s="202">
        <f t="shared" si="1"/>
        <v>109</v>
      </c>
      <c r="B117" s="537">
        <f>B111+1</f>
        <v>19</v>
      </c>
      <c r="C117" s="389">
        <v>4032471395</v>
      </c>
      <c r="D117" s="376" t="s">
        <v>691</v>
      </c>
      <c r="E117" s="376" t="s">
        <v>6</v>
      </c>
      <c r="F117" s="377"/>
      <c r="G117" s="378"/>
      <c r="H117" s="378"/>
      <c r="I117" s="378"/>
      <c r="J117" s="378"/>
      <c r="K117" s="378"/>
      <c r="L117" s="377"/>
      <c r="M117" s="378"/>
      <c r="N117" s="378"/>
      <c r="O117" s="378"/>
      <c r="P117" s="378"/>
      <c r="Q117" s="378"/>
      <c r="R117" s="203"/>
    </row>
    <row r="118" spans="1:18">
      <c r="A118" s="202">
        <f t="shared" si="1"/>
        <v>110</v>
      </c>
      <c r="B118" s="379"/>
      <c r="C118" s="380"/>
      <c r="D118" s="384" t="s">
        <v>453</v>
      </c>
      <c r="E118" s="381"/>
      <c r="F118" s="382">
        <v>1</v>
      </c>
      <c r="G118" s="382">
        <v>1</v>
      </c>
      <c r="H118" s="382">
        <v>1</v>
      </c>
      <c r="I118" s="382">
        <v>1</v>
      </c>
      <c r="J118" s="382">
        <v>1</v>
      </c>
      <c r="K118" s="382"/>
      <c r="L118" s="382"/>
      <c r="M118" s="382"/>
      <c r="N118" s="382"/>
      <c r="O118" s="382"/>
      <c r="P118" s="382"/>
      <c r="Q118" s="382"/>
      <c r="R118" s="203"/>
    </row>
    <row r="119" spans="1:18">
      <c r="A119" s="202">
        <f t="shared" si="1"/>
        <v>111</v>
      </c>
      <c r="B119" s="384"/>
      <c r="C119" s="380"/>
      <c r="D119" s="384" t="s">
        <v>109</v>
      </c>
      <c r="E119" s="385"/>
      <c r="F119" s="382">
        <v>2.4710000000000001</v>
      </c>
      <c r="G119" s="382">
        <v>20.571000000000002</v>
      </c>
      <c r="H119" s="382">
        <v>31.306999999999999</v>
      </c>
      <c r="I119" s="382">
        <v>52.031999999999996</v>
      </c>
      <c r="J119" s="382">
        <v>91.024000000000001</v>
      </c>
      <c r="K119" s="382">
        <v>300</v>
      </c>
      <c r="L119" s="382"/>
      <c r="M119" s="382"/>
      <c r="N119" s="382"/>
      <c r="O119" s="382"/>
      <c r="P119" s="382"/>
      <c r="Q119" s="382"/>
      <c r="R119" s="203"/>
    </row>
    <row r="120" spans="1:18">
      <c r="A120" s="202">
        <f t="shared" si="1"/>
        <v>112</v>
      </c>
      <c r="B120" s="384"/>
      <c r="C120" s="384"/>
      <c r="D120" s="381" t="s">
        <v>110</v>
      </c>
      <c r="E120" s="384"/>
      <c r="F120" s="382"/>
      <c r="G120" s="382"/>
      <c r="H120" s="382"/>
      <c r="I120" s="382"/>
      <c r="J120" s="382"/>
      <c r="K120" s="382">
        <v>35.769999999999982</v>
      </c>
      <c r="L120" s="382"/>
      <c r="M120" s="382"/>
      <c r="N120" s="382"/>
      <c r="O120" s="382"/>
      <c r="P120" s="382"/>
      <c r="Q120" s="382"/>
      <c r="R120" s="203"/>
    </row>
    <row r="121" spans="1:18">
      <c r="A121" s="202">
        <f t="shared" si="1"/>
        <v>113</v>
      </c>
      <c r="B121" s="384"/>
      <c r="C121" s="384"/>
      <c r="D121" s="384" t="s">
        <v>111</v>
      </c>
      <c r="E121" s="384"/>
      <c r="F121" s="382"/>
      <c r="G121" s="382"/>
      <c r="H121" s="382"/>
      <c r="I121" s="382"/>
      <c r="J121" s="382"/>
      <c r="K121" s="382"/>
      <c r="L121" s="382"/>
      <c r="M121" s="382"/>
      <c r="N121" s="382"/>
      <c r="O121" s="382"/>
      <c r="P121" s="382"/>
      <c r="Q121" s="382"/>
      <c r="R121" s="203"/>
    </row>
    <row r="122" spans="1:18">
      <c r="A122" s="202">
        <f t="shared" si="1"/>
        <v>114</v>
      </c>
      <c r="B122" s="393"/>
      <c r="C122" s="384"/>
      <c r="D122" s="384"/>
      <c r="E122" s="384"/>
      <c r="F122" s="384"/>
      <c r="G122" s="384"/>
      <c r="H122" s="384"/>
      <c r="I122" s="384"/>
      <c r="J122" s="384"/>
      <c r="K122" s="384"/>
      <c r="L122" s="384"/>
      <c r="M122" s="384"/>
      <c r="N122" s="384"/>
      <c r="O122" s="384"/>
      <c r="P122" s="384"/>
      <c r="Q122" s="384"/>
      <c r="R122" s="203"/>
    </row>
    <row r="123" spans="1:18">
      <c r="A123" s="202">
        <f t="shared" si="1"/>
        <v>115</v>
      </c>
      <c r="B123" s="537">
        <f>B117+1</f>
        <v>20</v>
      </c>
      <c r="C123" s="389" t="s">
        <v>692</v>
      </c>
      <c r="D123" s="376" t="s">
        <v>693</v>
      </c>
      <c r="E123" s="376" t="s">
        <v>6</v>
      </c>
      <c r="F123" s="377"/>
      <c r="G123" s="378"/>
      <c r="H123" s="378"/>
      <c r="I123" s="378"/>
      <c r="J123" s="378"/>
      <c r="K123" s="378"/>
      <c r="L123" s="377"/>
      <c r="M123" s="378"/>
      <c r="N123" s="378"/>
      <c r="O123" s="378"/>
      <c r="P123" s="378"/>
      <c r="Q123" s="378"/>
      <c r="R123" s="203"/>
    </row>
    <row r="124" spans="1:18">
      <c r="A124" s="202">
        <f t="shared" si="1"/>
        <v>116</v>
      </c>
      <c r="B124" s="379"/>
      <c r="C124" s="380"/>
      <c r="D124" s="384" t="s">
        <v>453</v>
      </c>
      <c r="E124" s="381"/>
      <c r="F124" s="382"/>
      <c r="G124" s="382"/>
      <c r="H124" s="382">
        <v>-1</v>
      </c>
      <c r="I124" s="382">
        <v>-1</v>
      </c>
      <c r="J124" s="382">
        <v>-1</v>
      </c>
      <c r="K124" s="382"/>
      <c r="L124" s="382"/>
      <c r="M124" s="382"/>
      <c r="N124" s="382"/>
      <c r="O124" s="382"/>
      <c r="P124" s="382"/>
      <c r="Q124" s="382"/>
      <c r="R124" s="203"/>
    </row>
    <row r="125" spans="1:18">
      <c r="A125" s="202">
        <f t="shared" si="1"/>
        <v>117</v>
      </c>
      <c r="B125" s="384"/>
      <c r="C125" s="380"/>
      <c r="D125" s="384" t="s">
        <v>109</v>
      </c>
      <c r="E125" s="385"/>
      <c r="F125" s="382"/>
      <c r="G125" s="382"/>
      <c r="H125" s="382"/>
      <c r="I125" s="382"/>
      <c r="J125" s="382">
        <v>-300</v>
      </c>
      <c r="K125" s="382"/>
      <c r="L125" s="382"/>
      <c r="M125" s="382"/>
      <c r="N125" s="382"/>
      <c r="O125" s="382"/>
      <c r="P125" s="382"/>
      <c r="Q125" s="382"/>
      <c r="R125" s="203"/>
    </row>
    <row r="126" spans="1:18">
      <c r="A126" s="202">
        <f t="shared" si="1"/>
        <v>118</v>
      </c>
      <c r="B126" s="384"/>
      <c r="C126" s="384"/>
      <c r="D126" s="381" t="s">
        <v>110</v>
      </c>
      <c r="E126" s="384"/>
      <c r="F126" s="382"/>
      <c r="G126" s="382"/>
      <c r="H126" s="382"/>
      <c r="I126" s="382"/>
      <c r="J126" s="382">
        <v>-836.25400000000002</v>
      </c>
      <c r="K126" s="382"/>
      <c r="L126" s="382"/>
      <c r="M126" s="382"/>
      <c r="N126" s="382"/>
      <c r="O126" s="382"/>
      <c r="P126" s="382"/>
      <c r="Q126" s="382"/>
      <c r="R126" s="203"/>
    </row>
    <row r="127" spans="1:18">
      <c r="A127" s="202">
        <f t="shared" si="1"/>
        <v>119</v>
      </c>
      <c r="B127" s="384"/>
      <c r="C127" s="384"/>
      <c r="D127" s="384" t="s">
        <v>111</v>
      </c>
      <c r="E127" s="384"/>
      <c r="F127" s="382"/>
      <c r="G127" s="382"/>
      <c r="H127" s="382"/>
      <c r="I127" s="382"/>
      <c r="J127" s="382"/>
      <c r="K127" s="382"/>
      <c r="L127" s="382"/>
      <c r="M127" s="382"/>
      <c r="N127" s="382"/>
      <c r="O127" s="382"/>
      <c r="P127" s="382"/>
      <c r="Q127" s="382"/>
      <c r="R127" s="203"/>
    </row>
    <row r="128" spans="1:18">
      <c r="A128" s="202">
        <f t="shared" si="1"/>
        <v>120</v>
      </c>
      <c r="D128" s="204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3"/>
    </row>
    <row r="129" spans="1:20">
      <c r="A129" s="202">
        <f t="shared" si="1"/>
        <v>121</v>
      </c>
      <c r="D129" s="204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3"/>
    </row>
    <row r="130" spans="1:20">
      <c r="A130" s="202">
        <f t="shared" si="1"/>
        <v>122</v>
      </c>
      <c r="B130" s="399" t="s">
        <v>554</v>
      </c>
      <c r="C130" s="400"/>
      <c r="D130" s="401"/>
      <c r="E130" s="402"/>
      <c r="F130" s="403"/>
      <c r="G130" s="404"/>
      <c r="H130" s="404"/>
      <c r="I130" s="404"/>
      <c r="J130" s="404"/>
      <c r="K130" s="404"/>
      <c r="L130" s="403"/>
      <c r="M130" s="404"/>
      <c r="N130" s="404"/>
      <c r="O130" s="404"/>
      <c r="P130" s="404"/>
      <c r="Q130" s="404"/>
      <c r="R130" s="203"/>
    </row>
    <row r="131" spans="1:20">
      <c r="A131" s="202">
        <f t="shared" si="1"/>
        <v>123</v>
      </c>
      <c r="D131" s="204"/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03"/>
    </row>
    <row r="132" spans="1:20">
      <c r="A132" s="202">
        <f t="shared" si="1"/>
        <v>124</v>
      </c>
      <c r="D132" s="206" t="s">
        <v>453</v>
      </c>
      <c r="F132" s="538">
        <f t="shared" ref="F132:Q135" si="2">SUMIF($D$9:$D$127,$D132,F$9:F$127)</f>
        <v>1</v>
      </c>
      <c r="G132" s="538">
        <f t="shared" si="2"/>
        <v>1</v>
      </c>
      <c r="H132" s="538">
        <f t="shared" si="2"/>
        <v>0</v>
      </c>
      <c r="I132" s="538">
        <f t="shared" si="2"/>
        <v>0</v>
      </c>
      <c r="J132" s="538">
        <f t="shared" si="2"/>
        <v>0</v>
      </c>
      <c r="K132" s="538">
        <f t="shared" si="2"/>
        <v>0</v>
      </c>
      <c r="L132" s="538">
        <f t="shared" si="2"/>
        <v>0</v>
      </c>
      <c r="M132" s="538">
        <f t="shared" si="2"/>
        <v>0</v>
      </c>
      <c r="N132" s="538">
        <f t="shared" si="2"/>
        <v>0</v>
      </c>
      <c r="O132" s="538">
        <f t="shared" si="2"/>
        <v>0</v>
      </c>
      <c r="P132" s="538">
        <f t="shared" si="2"/>
        <v>0</v>
      </c>
      <c r="Q132" s="538">
        <f t="shared" si="2"/>
        <v>0</v>
      </c>
      <c r="R132" s="539">
        <f>SUM(F132:Q132)</f>
        <v>2</v>
      </c>
      <c r="S132" s="540">
        <f>'Contract &amp; Vol Adj'!Q27</f>
        <v>66</v>
      </c>
      <c r="T132" s="436">
        <f>R132*S132</f>
        <v>132</v>
      </c>
    </row>
    <row r="133" spans="1:20">
      <c r="A133" s="202">
        <f t="shared" si="1"/>
        <v>125</v>
      </c>
      <c r="D133" s="206" t="s">
        <v>109</v>
      </c>
      <c r="F133" s="538">
        <f t="shared" si="2"/>
        <v>2.4710000000000001</v>
      </c>
      <c r="G133" s="538">
        <f t="shared" si="2"/>
        <v>20.571000000000002</v>
      </c>
      <c r="H133" s="538">
        <f t="shared" si="2"/>
        <v>31.306999999999999</v>
      </c>
      <c r="I133" s="538">
        <f t="shared" si="2"/>
        <v>52.031999999999996</v>
      </c>
      <c r="J133" s="538">
        <f t="shared" si="2"/>
        <v>-208.976</v>
      </c>
      <c r="K133" s="538">
        <f t="shared" si="2"/>
        <v>300</v>
      </c>
      <c r="L133" s="538">
        <f t="shared" si="2"/>
        <v>0</v>
      </c>
      <c r="M133" s="538">
        <f t="shared" si="2"/>
        <v>0</v>
      </c>
      <c r="N133" s="538">
        <f t="shared" si="2"/>
        <v>0</v>
      </c>
      <c r="O133" s="538">
        <f t="shared" si="2"/>
        <v>0</v>
      </c>
      <c r="P133" s="538">
        <f t="shared" si="2"/>
        <v>0</v>
      </c>
      <c r="Q133" s="538">
        <f t="shared" si="2"/>
        <v>0</v>
      </c>
      <c r="R133" s="539">
        <f t="shared" ref="R133:R158" si="3">SUM(F133:Q133)</f>
        <v>197.405</v>
      </c>
      <c r="S133" s="540">
        <f>'Contract &amp; Vol Adj'!Q28</f>
        <v>1.5483</v>
      </c>
      <c r="T133" s="436">
        <f t="shared" ref="T133:T135" si="4">R133*S133</f>
        <v>305.64216149999999</v>
      </c>
    </row>
    <row r="134" spans="1:20">
      <c r="A134" s="202">
        <f t="shared" si="1"/>
        <v>126</v>
      </c>
      <c r="D134" s="197" t="s">
        <v>110</v>
      </c>
      <c r="F134" s="538">
        <f t="shared" si="2"/>
        <v>0</v>
      </c>
      <c r="G134" s="538">
        <f t="shared" si="2"/>
        <v>0</v>
      </c>
      <c r="H134" s="538">
        <f t="shared" si="2"/>
        <v>0</v>
      </c>
      <c r="I134" s="538">
        <f t="shared" si="2"/>
        <v>0</v>
      </c>
      <c r="J134" s="538">
        <f t="shared" si="2"/>
        <v>-836.25400000000002</v>
      </c>
      <c r="K134" s="538">
        <f t="shared" si="2"/>
        <v>35.769999999999982</v>
      </c>
      <c r="L134" s="538">
        <f t="shared" si="2"/>
        <v>0</v>
      </c>
      <c r="M134" s="538">
        <f t="shared" si="2"/>
        <v>0</v>
      </c>
      <c r="N134" s="538">
        <f t="shared" si="2"/>
        <v>0</v>
      </c>
      <c r="O134" s="538">
        <f t="shared" si="2"/>
        <v>0</v>
      </c>
      <c r="P134" s="538">
        <f t="shared" si="2"/>
        <v>0</v>
      </c>
      <c r="Q134" s="538">
        <f t="shared" si="2"/>
        <v>0</v>
      </c>
      <c r="R134" s="539">
        <f t="shared" si="3"/>
        <v>-800.48400000000004</v>
      </c>
      <c r="S134" s="540">
        <f>'Contract &amp; Vol Adj'!Q29</f>
        <v>1.0762</v>
      </c>
      <c r="T134" s="436">
        <f t="shared" si="4"/>
        <v>-861.48088080000002</v>
      </c>
    </row>
    <row r="135" spans="1:20">
      <c r="A135" s="202">
        <f t="shared" si="1"/>
        <v>127</v>
      </c>
      <c r="D135" s="197" t="s">
        <v>111</v>
      </c>
      <c r="F135" s="538">
        <f t="shared" si="2"/>
        <v>0</v>
      </c>
      <c r="G135" s="538">
        <f t="shared" si="2"/>
        <v>0</v>
      </c>
      <c r="H135" s="538">
        <f t="shared" si="2"/>
        <v>0</v>
      </c>
      <c r="I135" s="538">
        <f t="shared" si="2"/>
        <v>0</v>
      </c>
      <c r="J135" s="538">
        <f t="shared" si="2"/>
        <v>0</v>
      </c>
      <c r="K135" s="538">
        <f t="shared" si="2"/>
        <v>0</v>
      </c>
      <c r="L135" s="538">
        <f t="shared" si="2"/>
        <v>0</v>
      </c>
      <c r="M135" s="538">
        <f t="shared" si="2"/>
        <v>0</v>
      </c>
      <c r="N135" s="538">
        <f t="shared" si="2"/>
        <v>0</v>
      </c>
      <c r="O135" s="538">
        <f t="shared" si="2"/>
        <v>0</v>
      </c>
      <c r="P135" s="538">
        <f t="shared" si="2"/>
        <v>0</v>
      </c>
      <c r="Q135" s="538">
        <f t="shared" si="2"/>
        <v>0</v>
      </c>
      <c r="R135" s="539">
        <f t="shared" si="3"/>
        <v>0</v>
      </c>
      <c r="S135" s="540">
        <f>'Contract &amp; Vol Adj'!Q30</f>
        <v>0.88880000000000003</v>
      </c>
      <c r="T135" s="436">
        <f t="shared" si="4"/>
        <v>0</v>
      </c>
    </row>
    <row r="136" spans="1:20">
      <c r="A136" s="202">
        <f t="shared" si="1"/>
        <v>128</v>
      </c>
      <c r="D136" s="206"/>
      <c r="F136" s="392"/>
      <c r="G136" s="392"/>
      <c r="H136" s="392"/>
      <c r="I136" s="392"/>
      <c r="J136" s="392"/>
      <c r="K136" s="392"/>
      <c r="L136" s="392"/>
      <c r="M136" s="392"/>
      <c r="N136" s="392"/>
      <c r="O136" s="392"/>
      <c r="P136" s="392"/>
      <c r="Q136" s="392"/>
      <c r="R136" s="539">
        <f t="shared" si="3"/>
        <v>0</v>
      </c>
    </row>
    <row r="137" spans="1:20">
      <c r="A137" s="202">
        <f t="shared" si="1"/>
        <v>129</v>
      </c>
      <c r="D137" s="206" t="s">
        <v>454</v>
      </c>
      <c r="F137" s="538">
        <f t="shared" ref="F137:Q139" si="5">SUMIF($D$9:$D$127,$D137,F$9:F$127)</f>
        <v>0</v>
      </c>
      <c r="G137" s="538">
        <f t="shared" si="5"/>
        <v>0</v>
      </c>
      <c r="H137" s="538">
        <f t="shared" si="5"/>
        <v>0</v>
      </c>
      <c r="I137" s="538">
        <f t="shared" si="5"/>
        <v>0</v>
      </c>
      <c r="J137" s="538">
        <f t="shared" si="5"/>
        <v>0</v>
      </c>
      <c r="K137" s="538">
        <f t="shared" si="5"/>
        <v>0</v>
      </c>
      <c r="L137" s="538">
        <f t="shared" si="5"/>
        <v>0</v>
      </c>
      <c r="M137" s="538">
        <f t="shared" si="5"/>
        <v>0</v>
      </c>
      <c r="N137" s="538">
        <f t="shared" si="5"/>
        <v>0</v>
      </c>
      <c r="O137" s="538">
        <f t="shared" si="5"/>
        <v>0</v>
      </c>
      <c r="P137" s="538">
        <f t="shared" si="5"/>
        <v>0</v>
      </c>
      <c r="Q137" s="538">
        <f t="shared" si="5"/>
        <v>0</v>
      </c>
      <c r="R137" s="539">
        <f t="shared" si="3"/>
        <v>0</v>
      </c>
      <c r="S137" s="540">
        <f>'Contract &amp; Vol Adj'!Q47</f>
        <v>520</v>
      </c>
      <c r="T137" s="436">
        <f t="shared" ref="T137:T148" si="6">R137*S137</f>
        <v>0</v>
      </c>
    </row>
    <row r="138" spans="1:20">
      <c r="A138" s="202">
        <f t="shared" si="1"/>
        <v>130</v>
      </c>
      <c r="D138" s="206" t="s">
        <v>112</v>
      </c>
      <c r="F138" s="538">
        <f t="shared" si="5"/>
        <v>0</v>
      </c>
      <c r="G138" s="538">
        <f t="shared" si="5"/>
        <v>0</v>
      </c>
      <c r="H138" s="538">
        <f t="shared" si="5"/>
        <v>0</v>
      </c>
      <c r="I138" s="538">
        <f t="shared" si="5"/>
        <v>0</v>
      </c>
      <c r="J138" s="538">
        <f t="shared" si="5"/>
        <v>0</v>
      </c>
      <c r="K138" s="538">
        <f t="shared" si="5"/>
        <v>0</v>
      </c>
      <c r="L138" s="538">
        <f t="shared" si="5"/>
        <v>0</v>
      </c>
      <c r="M138" s="538">
        <f t="shared" si="5"/>
        <v>0</v>
      </c>
      <c r="N138" s="538">
        <f t="shared" si="5"/>
        <v>0</v>
      </c>
      <c r="O138" s="538">
        <f t="shared" si="5"/>
        <v>0</v>
      </c>
      <c r="P138" s="538">
        <f t="shared" si="5"/>
        <v>0</v>
      </c>
      <c r="Q138" s="538">
        <f t="shared" si="5"/>
        <v>0</v>
      </c>
      <c r="R138" s="539">
        <f t="shared" si="3"/>
        <v>0</v>
      </c>
      <c r="S138" s="540">
        <f>'Contract &amp; Vol Adj'!Q48</f>
        <v>0.95569999999999999</v>
      </c>
      <c r="T138" s="436">
        <f t="shared" si="6"/>
        <v>0</v>
      </c>
    </row>
    <row r="139" spans="1:20">
      <c r="A139" s="202">
        <f t="shared" ref="A139:A165" si="7">A138+1</f>
        <v>131</v>
      </c>
      <c r="D139" s="197" t="s">
        <v>113</v>
      </c>
      <c r="F139" s="538">
        <f t="shared" si="5"/>
        <v>0</v>
      </c>
      <c r="G139" s="538">
        <f t="shared" si="5"/>
        <v>0</v>
      </c>
      <c r="H139" s="538">
        <f t="shared" si="5"/>
        <v>0</v>
      </c>
      <c r="I139" s="538">
        <f t="shared" si="5"/>
        <v>0</v>
      </c>
      <c r="J139" s="538">
        <f t="shared" si="5"/>
        <v>0</v>
      </c>
      <c r="K139" s="538">
        <f t="shared" si="5"/>
        <v>0</v>
      </c>
      <c r="L139" s="538">
        <f t="shared" si="5"/>
        <v>0</v>
      </c>
      <c r="M139" s="538">
        <f t="shared" si="5"/>
        <v>0</v>
      </c>
      <c r="N139" s="538">
        <f t="shared" si="5"/>
        <v>0</v>
      </c>
      <c r="O139" s="538">
        <f t="shared" si="5"/>
        <v>0</v>
      </c>
      <c r="P139" s="538">
        <f t="shared" si="5"/>
        <v>0</v>
      </c>
      <c r="Q139" s="538">
        <f t="shared" si="5"/>
        <v>0</v>
      </c>
      <c r="R139" s="539">
        <f t="shared" si="3"/>
        <v>0</v>
      </c>
      <c r="S139" s="540">
        <f>'Contract &amp; Vol Adj'!Q49</f>
        <v>0.78369999999999995</v>
      </c>
      <c r="T139" s="436">
        <f t="shared" si="6"/>
        <v>0</v>
      </c>
    </row>
    <row r="140" spans="1:20">
      <c r="A140" s="202">
        <f t="shared" si="7"/>
        <v>132</v>
      </c>
      <c r="F140" s="392"/>
      <c r="G140" s="392"/>
      <c r="H140" s="392"/>
      <c r="I140" s="392"/>
      <c r="J140" s="392"/>
      <c r="K140" s="392"/>
      <c r="L140" s="392"/>
      <c r="M140" s="392"/>
      <c r="N140" s="392"/>
      <c r="O140" s="392"/>
      <c r="P140" s="392"/>
      <c r="Q140" s="392"/>
      <c r="R140" s="539">
        <f t="shared" si="3"/>
        <v>0</v>
      </c>
    </row>
    <row r="141" spans="1:20">
      <c r="A141" s="202">
        <f t="shared" si="7"/>
        <v>133</v>
      </c>
      <c r="D141" s="206" t="s">
        <v>108</v>
      </c>
      <c r="F141" s="538">
        <f t="shared" ref="F141:Q143" si="8">SUMIF($D$9:$D$127,$D141,F$9:F$127)</f>
        <v>1</v>
      </c>
      <c r="G141" s="538">
        <f t="shared" si="8"/>
        <v>1</v>
      </c>
      <c r="H141" s="538">
        <f t="shared" si="8"/>
        <v>1</v>
      </c>
      <c r="I141" s="538">
        <f t="shared" si="8"/>
        <v>1</v>
      </c>
      <c r="J141" s="538">
        <f t="shared" si="8"/>
        <v>1</v>
      </c>
      <c r="K141" s="538">
        <f t="shared" si="8"/>
        <v>1</v>
      </c>
      <c r="L141" s="538">
        <f t="shared" si="8"/>
        <v>1</v>
      </c>
      <c r="M141" s="538">
        <f t="shared" si="8"/>
        <v>1</v>
      </c>
      <c r="N141" s="538">
        <f t="shared" si="8"/>
        <v>0</v>
      </c>
      <c r="O141" s="538">
        <f t="shared" si="8"/>
        <v>0</v>
      </c>
      <c r="P141" s="538">
        <f t="shared" si="8"/>
        <v>0</v>
      </c>
      <c r="Q141" s="538">
        <f t="shared" si="8"/>
        <v>0</v>
      </c>
      <c r="R141" s="539">
        <f t="shared" si="3"/>
        <v>8</v>
      </c>
      <c r="S141" s="540">
        <f>'Contract &amp; Vol Adj'!Q69</f>
        <v>520</v>
      </c>
      <c r="T141" s="436">
        <f t="shared" si="6"/>
        <v>4160</v>
      </c>
    </row>
    <row r="142" spans="1:20">
      <c r="A142" s="202">
        <f t="shared" si="7"/>
        <v>134</v>
      </c>
      <c r="D142" s="206" t="s">
        <v>103</v>
      </c>
      <c r="F142" s="538">
        <f t="shared" si="8"/>
        <v>2000</v>
      </c>
      <c r="G142" s="538">
        <f t="shared" si="8"/>
        <v>2000</v>
      </c>
      <c r="H142" s="538">
        <f t="shared" si="8"/>
        <v>2000</v>
      </c>
      <c r="I142" s="538">
        <f t="shared" si="8"/>
        <v>2000</v>
      </c>
      <c r="J142" s="538">
        <f t="shared" si="8"/>
        <v>2000</v>
      </c>
      <c r="K142" s="538">
        <f t="shared" si="8"/>
        <v>2000</v>
      </c>
      <c r="L142" s="538">
        <f t="shared" si="8"/>
        <v>2000</v>
      </c>
      <c r="M142" s="538">
        <f t="shared" si="8"/>
        <v>2000</v>
      </c>
      <c r="N142" s="538">
        <f t="shared" si="8"/>
        <v>1975.0120000000002</v>
      </c>
      <c r="O142" s="538">
        <f t="shared" si="8"/>
        <v>982.16200000000015</v>
      </c>
      <c r="P142" s="538">
        <f t="shared" si="8"/>
        <v>0</v>
      </c>
      <c r="Q142" s="538">
        <f t="shared" si="8"/>
        <v>0</v>
      </c>
      <c r="R142" s="539">
        <f t="shared" si="3"/>
        <v>18957.173999999999</v>
      </c>
      <c r="S142" s="541">
        <f>'Contract &amp; Vol Adj'!Q73</f>
        <v>0.95569999999999999</v>
      </c>
      <c r="T142" s="436">
        <f t="shared" si="6"/>
        <v>18117.371191799997</v>
      </c>
    </row>
    <row r="143" spans="1:20">
      <c r="A143" s="202">
        <f t="shared" si="7"/>
        <v>135</v>
      </c>
      <c r="D143" s="197" t="s">
        <v>104</v>
      </c>
      <c r="F143" s="538">
        <f t="shared" si="8"/>
        <v>0</v>
      </c>
      <c r="G143" s="538">
        <f t="shared" si="8"/>
        <v>0</v>
      </c>
      <c r="H143" s="538">
        <f t="shared" si="8"/>
        <v>0</v>
      </c>
      <c r="I143" s="538">
        <f t="shared" si="8"/>
        <v>0</v>
      </c>
      <c r="J143" s="538">
        <f t="shared" si="8"/>
        <v>0</v>
      </c>
      <c r="K143" s="538">
        <f t="shared" si="8"/>
        <v>0</v>
      </c>
      <c r="L143" s="538">
        <f t="shared" si="8"/>
        <v>0</v>
      </c>
      <c r="M143" s="538">
        <f t="shared" si="8"/>
        <v>0</v>
      </c>
      <c r="N143" s="538">
        <f t="shared" si="8"/>
        <v>0</v>
      </c>
      <c r="O143" s="538">
        <f t="shared" si="8"/>
        <v>0</v>
      </c>
      <c r="P143" s="538">
        <f t="shared" si="8"/>
        <v>0</v>
      </c>
      <c r="Q143" s="538">
        <f t="shared" si="8"/>
        <v>0</v>
      </c>
      <c r="R143" s="539">
        <f t="shared" si="3"/>
        <v>0</v>
      </c>
      <c r="S143" s="541">
        <f>'Contract &amp; Vol Adj'!Q74</f>
        <v>0.78369999999999995</v>
      </c>
      <c r="T143" s="436">
        <f t="shared" si="6"/>
        <v>0</v>
      </c>
    </row>
    <row r="144" spans="1:20">
      <c r="A144" s="202">
        <f t="shared" si="7"/>
        <v>136</v>
      </c>
      <c r="F144" s="392"/>
      <c r="G144" s="392"/>
      <c r="H144" s="392"/>
      <c r="I144" s="392"/>
      <c r="J144" s="392"/>
      <c r="K144" s="392"/>
      <c r="L144" s="392"/>
      <c r="M144" s="392"/>
      <c r="N144" s="392"/>
      <c r="O144" s="392"/>
      <c r="P144" s="392"/>
      <c r="Q144" s="392"/>
      <c r="R144" s="539">
        <f t="shared" si="3"/>
        <v>0</v>
      </c>
    </row>
    <row r="145" spans="1:20">
      <c r="A145" s="202">
        <f t="shared" si="7"/>
        <v>137</v>
      </c>
      <c r="D145" s="206" t="s">
        <v>99</v>
      </c>
      <c r="F145" s="538">
        <f t="shared" ref="F145:Q148" si="9">SUMIF($D$9:$D$127,$D145,F$9:F$127)</f>
        <v>-2</v>
      </c>
      <c r="G145" s="538">
        <f t="shared" si="9"/>
        <v>-2</v>
      </c>
      <c r="H145" s="538">
        <f t="shared" si="9"/>
        <v>-2</v>
      </c>
      <c r="I145" s="538">
        <f t="shared" si="9"/>
        <v>-2</v>
      </c>
      <c r="J145" s="538">
        <f t="shared" si="9"/>
        <v>-2</v>
      </c>
      <c r="K145" s="538">
        <f t="shared" si="9"/>
        <v>-3</v>
      </c>
      <c r="L145" s="538">
        <f t="shared" si="9"/>
        <v>-1</v>
      </c>
      <c r="M145" s="538">
        <f t="shared" si="9"/>
        <v>0</v>
      </c>
      <c r="N145" s="538">
        <f t="shared" si="9"/>
        <v>-1</v>
      </c>
      <c r="O145" s="538">
        <f t="shared" si="9"/>
        <v>-1</v>
      </c>
      <c r="P145" s="538">
        <f t="shared" si="9"/>
        <v>-2</v>
      </c>
      <c r="Q145" s="538">
        <f t="shared" si="9"/>
        <v>-1</v>
      </c>
      <c r="R145" s="539">
        <f t="shared" si="3"/>
        <v>-19</v>
      </c>
      <c r="S145" s="540">
        <f>'Contract &amp; Vol Adj'!Q53</f>
        <v>520</v>
      </c>
      <c r="T145" s="436">
        <f t="shared" si="6"/>
        <v>-9880</v>
      </c>
    </row>
    <row r="146" spans="1:20">
      <c r="A146" s="202">
        <f t="shared" si="7"/>
        <v>138</v>
      </c>
      <c r="D146" s="206" t="s">
        <v>100</v>
      </c>
      <c r="F146" s="538">
        <f t="shared" si="9"/>
        <v>319.98099999999999</v>
      </c>
      <c r="G146" s="538">
        <f t="shared" si="9"/>
        <v>411.23699999999997</v>
      </c>
      <c r="H146" s="538">
        <f t="shared" si="9"/>
        <v>422.82900000000001</v>
      </c>
      <c r="I146" s="538">
        <f t="shared" si="9"/>
        <v>346.52900000000005</v>
      </c>
      <c r="J146" s="538">
        <f t="shared" si="9"/>
        <v>197.12700000000001</v>
      </c>
      <c r="K146" s="538">
        <f t="shared" si="9"/>
        <v>-389.56799999999998</v>
      </c>
      <c r="L146" s="538">
        <f t="shared" si="9"/>
        <v>0</v>
      </c>
      <c r="M146" s="538">
        <f t="shared" si="9"/>
        <v>300</v>
      </c>
      <c r="N146" s="538">
        <f t="shared" si="9"/>
        <v>150.137</v>
      </c>
      <c r="O146" s="538">
        <f t="shared" si="9"/>
        <v>305.94600000000003</v>
      </c>
      <c r="P146" s="538">
        <f t="shared" si="9"/>
        <v>502.64499999999998</v>
      </c>
      <c r="Q146" s="538">
        <f t="shared" si="9"/>
        <v>300</v>
      </c>
      <c r="R146" s="539">
        <f t="shared" si="3"/>
        <v>2866.8629999999998</v>
      </c>
      <c r="S146" s="541">
        <f>'Contract &amp; Vol Adj'!Q57</f>
        <v>1.5483</v>
      </c>
      <c r="T146" s="436">
        <f t="shared" si="6"/>
        <v>4438.7639829</v>
      </c>
    </row>
    <row r="147" spans="1:20">
      <c r="A147" s="202">
        <f t="shared" si="7"/>
        <v>139</v>
      </c>
      <c r="D147" s="197" t="s">
        <v>101</v>
      </c>
      <c r="F147" s="538">
        <f t="shared" si="9"/>
        <v>-2000.0172797619061</v>
      </c>
      <c r="G147" s="538">
        <f t="shared" si="9"/>
        <v>-140.23827976190387</v>
      </c>
      <c r="H147" s="538">
        <f t="shared" si="9"/>
        <v>-353.41127976190546</v>
      </c>
      <c r="I147" s="538">
        <f t="shared" si="9"/>
        <v>3547.8057202380951</v>
      </c>
      <c r="J147" s="538">
        <f t="shared" si="9"/>
        <v>3372.0887202380954</v>
      </c>
      <c r="K147" s="538">
        <f t="shared" si="9"/>
        <v>-766.30427976190458</v>
      </c>
      <c r="L147" s="538">
        <f t="shared" si="9"/>
        <v>-1155.2292797619039</v>
      </c>
      <c r="M147" s="538">
        <f t="shared" si="9"/>
        <v>-1787.3480833333338</v>
      </c>
      <c r="N147" s="538">
        <f t="shared" si="9"/>
        <v>321.65583333333279</v>
      </c>
      <c r="O147" s="538">
        <f t="shared" si="9"/>
        <v>7536.4816666666666</v>
      </c>
      <c r="P147" s="538">
        <f t="shared" si="9"/>
        <v>9738.3149523809534</v>
      </c>
      <c r="Q147" s="538">
        <f t="shared" si="9"/>
        <v>2782.1122916666668</v>
      </c>
      <c r="R147" s="539">
        <f t="shared" si="3"/>
        <v>21095.910702380952</v>
      </c>
      <c r="S147" s="541">
        <f>'Contract &amp; Vol Adj'!Q58</f>
        <v>1.0762</v>
      </c>
      <c r="T147" s="436">
        <f t="shared" si="6"/>
        <v>22703.419097902381</v>
      </c>
    </row>
    <row r="148" spans="1:20">
      <c r="A148" s="202">
        <f t="shared" si="7"/>
        <v>140</v>
      </c>
      <c r="D148" s="197" t="s">
        <v>102</v>
      </c>
      <c r="F148" s="538">
        <f t="shared" si="9"/>
        <v>0</v>
      </c>
      <c r="G148" s="538">
        <f t="shared" si="9"/>
        <v>0</v>
      </c>
      <c r="H148" s="538">
        <f t="shared" si="9"/>
        <v>0</v>
      </c>
      <c r="I148" s="538">
        <f t="shared" si="9"/>
        <v>0</v>
      </c>
      <c r="J148" s="538">
        <f t="shared" si="9"/>
        <v>0</v>
      </c>
      <c r="K148" s="538">
        <f t="shared" si="9"/>
        <v>0</v>
      </c>
      <c r="L148" s="538">
        <f t="shared" si="9"/>
        <v>0</v>
      </c>
      <c r="M148" s="538">
        <f t="shared" si="9"/>
        <v>-4252.2380000000012</v>
      </c>
      <c r="N148" s="538">
        <f t="shared" si="9"/>
        <v>0</v>
      </c>
      <c r="O148" s="538">
        <f t="shared" si="9"/>
        <v>0</v>
      </c>
      <c r="P148" s="538">
        <f t="shared" si="9"/>
        <v>0</v>
      </c>
      <c r="Q148" s="538">
        <f t="shared" si="9"/>
        <v>0</v>
      </c>
      <c r="R148" s="539">
        <f t="shared" si="3"/>
        <v>-4252.2380000000012</v>
      </c>
      <c r="S148" s="541">
        <f>'Contract &amp; Vol Adj'!Q59</f>
        <v>0.88880000000000003</v>
      </c>
      <c r="T148" s="436">
        <f t="shared" si="6"/>
        <v>-3779.3891344000012</v>
      </c>
    </row>
    <row r="149" spans="1:20">
      <c r="A149" s="202">
        <f t="shared" si="7"/>
        <v>141</v>
      </c>
      <c r="F149" s="392"/>
      <c r="G149" s="392"/>
      <c r="H149" s="392"/>
      <c r="I149" s="392"/>
      <c r="J149" s="392"/>
      <c r="K149" s="392"/>
      <c r="L149" s="392"/>
      <c r="M149" s="392"/>
      <c r="N149" s="392"/>
      <c r="O149" s="392"/>
      <c r="P149" s="392"/>
      <c r="Q149" s="392"/>
      <c r="R149" s="539">
        <f t="shared" si="3"/>
        <v>0</v>
      </c>
    </row>
    <row r="150" spans="1:20">
      <c r="A150" s="202">
        <f t="shared" si="7"/>
        <v>142</v>
      </c>
      <c r="D150" s="206" t="s">
        <v>567</v>
      </c>
      <c r="F150" s="538">
        <f t="shared" ref="F150:Q153" si="10">SUMIF($D$9:$D$127,$D150,F$9:F$127)</f>
        <v>0</v>
      </c>
      <c r="G150" s="538">
        <f t="shared" si="10"/>
        <v>0</v>
      </c>
      <c r="H150" s="538">
        <f t="shared" si="10"/>
        <v>0</v>
      </c>
      <c r="I150" s="538">
        <f t="shared" si="10"/>
        <v>0</v>
      </c>
      <c r="J150" s="538">
        <f t="shared" si="10"/>
        <v>0</v>
      </c>
      <c r="K150" s="538">
        <f t="shared" si="10"/>
        <v>0</v>
      </c>
      <c r="L150" s="538">
        <f t="shared" si="10"/>
        <v>0</v>
      </c>
      <c r="M150" s="538">
        <f t="shared" si="10"/>
        <v>0</v>
      </c>
      <c r="N150" s="538">
        <f t="shared" si="10"/>
        <v>0</v>
      </c>
      <c r="O150" s="538">
        <f t="shared" si="10"/>
        <v>0</v>
      </c>
      <c r="P150" s="538">
        <f t="shared" si="10"/>
        <v>0</v>
      </c>
      <c r="Q150" s="538">
        <f t="shared" si="10"/>
        <v>0</v>
      </c>
      <c r="R150" s="539">
        <f t="shared" si="3"/>
        <v>0</v>
      </c>
    </row>
    <row r="151" spans="1:20">
      <c r="A151" s="202">
        <f t="shared" si="7"/>
        <v>143</v>
      </c>
      <c r="D151" s="206" t="s">
        <v>568</v>
      </c>
      <c r="F151" s="538">
        <f t="shared" si="10"/>
        <v>0</v>
      </c>
      <c r="G151" s="538">
        <f t="shared" si="10"/>
        <v>0</v>
      </c>
      <c r="H151" s="538">
        <f t="shared" si="10"/>
        <v>0</v>
      </c>
      <c r="I151" s="538">
        <f t="shared" si="10"/>
        <v>0</v>
      </c>
      <c r="J151" s="538">
        <f t="shared" si="10"/>
        <v>0</v>
      </c>
      <c r="K151" s="538">
        <f t="shared" si="10"/>
        <v>0</v>
      </c>
      <c r="L151" s="538">
        <f t="shared" si="10"/>
        <v>0</v>
      </c>
      <c r="M151" s="538">
        <f t="shared" si="10"/>
        <v>0</v>
      </c>
      <c r="N151" s="538">
        <f t="shared" si="10"/>
        <v>0</v>
      </c>
      <c r="O151" s="538">
        <f t="shared" si="10"/>
        <v>0</v>
      </c>
      <c r="P151" s="538">
        <f t="shared" si="10"/>
        <v>0</v>
      </c>
      <c r="Q151" s="538">
        <f t="shared" si="10"/>
        <v>0</v>
      </c>
      <c r="R151" s="539">
        <f t="shared" si="3"/>
        <v>0</v>
      </c>
    </row>
    <row r="152" spans="1:20">
      <c r="A152" s="202">
        <f t="shared" si="7"/>
        <v>144</v>
      </c>
      <c r="D152" s="197" t="s">
        <v>569</v>
      </c>
      <c r="F152" s="538">
        <f t="shared" si="10"/>
        <v>0</v>
      </c>
      <c r="G152" s="538">
        <f t="shared" si="10"/>
        <v>0</v>
      </c>
      <c r="H152" s="538">
        <f t="shared" si="10"/>
        <v>0</v>
      </c>
      <c r="I152" s="538">
        <f t="shared" si="10"/>
        <v>0</v>
      </c>
      <c r="J152" s="538">
        <f t="shared" si="10"/>
        <v>0</v>
      </c>
      <c r="K152" s="538">
        <f t="shared" si="10"/>
        <v>0</v>
      </c>
      <c r="L152" s="538">
        <f t="shared" si="10"/>
        <v>0</v>
      </c>
      <c r="M152" s="538">
        <f t="shared" si="10"/>
        <v>0</v>
      </c>
      <c r="N152" s="538">
        <f t="shared" si="10"/>
        <v>0</v>
      </c>
      <c r="O152" s="538">
        <f t="shared" si="10"/>
        <v>0</v>
      </c>
      <c r="P152" s="538">
        <f t="shared" si="10"/>
        <v>0</v>
      </c>
      <c r="Q152" s="538">
        <f t="shared" si="10"/>
        <v>0</v>
      </c>
      <c r="R152" s="539">
        <f t="shared" si="3"/>
        <v>0</v>
      </c>
    </row>
    <row r="153" spans="1:20">
      <c r="A153" s="202">
        <f t="shared" si="7"/>
        <v>145</v>
      </c>
      <c r="D153" s="197" t="s">
        <v>570</v>
      </c>
      <c r="F153" s="538">
        <f t="shared" si="10"/>
        <v>0</v>
      </c>
      <c r="G153" s="538">
        <f t="shared" si="10"/>
        <v>0</v>
      </c>
      <c r="H153" s="538">
        <f t="shared" si="10"/>
        <v>0</v>
      </c>
      <c r="I153" s="538">
        <f t="shared" si="10"/>
        <v>0</v>
      </c>
      <c r="J153" s="538">
        <f t="shared" si="10"/>
        <v>0</v>
      </c>
      <c r="K153" s="538">
        <f t="shared" si="10"/>
        <v>0</v>
      </c>
      <c r="L153" s="538">
        <f t="shared" si="10"/>
        <v>0</v>
      </c>
      <c r="M153" s="538">
        <f t="shared" si="10"/>
        <v>0</v>
      </c>
      <c r="N153" s="538">
        <f t="shared" si="10"/>
        <v>0</v>
      </c>
      <c r="O153" s="538">
        <f t="shared" si="10"/>
        <v>0</v>
      </c>
      <c r="P153" s="538">
        <f t="shared" si="10"/>
        <v>0</v>
      </c>
      <c r="Q153" s="538">
        <f t="shared" si="10"/>
        <v>0</v>
      </c>
      <c r="R153" s="539">
        <f t="shared" si="3"/>
        <v>0</v>
      </c>
    </row>
    <row r="154" spans="1:20">
      <c r="A154" s="202">
        <f t="shared" si="7"/>
        <v>146</v>
      </c>
      <c r="F154" s="392"/>
      <c r="G154" s="392"/>
      <c r="H154" s="392"/>
      <c r="I154" s="392"/>
      <c r="J154" s="392"/>
      <c r="K154" s="392"/>
      <c r="L154" s="392"/>
      <c r="M154" s="392"/>
      <c r="N154" s="392"/>
      <c r="O154" s="392"/>
      <c r="P154" s="392"/>
      <c r="Q154" s="392"/>
      <c r="R154" s="539">
        <f t="shared" si="3"/>
        <v>0</v>
      </c>
    </row>
    <row r="155" spans="1:20">
      <c r="A155" s="202">
        <f t="shared" si="7"/>
        <v>147</v>
      </c>
      <c r="D155" s="197" t="s">
        <v>555</v>
      </c>
      <c r="F155" s="538">
        <f t="shared" ref="F155:Q158" si="11">SUMIF($D$9:$D$127,$D155,F$9:F$127)</f>
        <v>-1</v>
      </c>
      <c r="G155" s="538">
        <f t="shared" si="11"/>
        <v>-1</v>
      </c>
      <c r="H155" s="538">
        <f t="shared" si="11"/>
        <v>-1</v>
      </c>
      <c r="I155" s="538">
        <f t="shared" si="11"/>
        <v>-1</v>
      </c>
      <c r="J155" s="538">
        <f t="shared" si="11"/>
        <v>-1</v>
      </c>
      <c r="K155" s="538">
        <f t="shared" si="11"/>
        <v>-1</v>
      </c>
      <c r="L155" s="538">
        <f t="shared" si="11"/>
        <v>-1</v>
      </c>
      <c r="M155" s="538">
        <f t="shared" si="11"/>
        <v>-1</v>
      </c>
      <c r="N155" s="538">
        <f t="shared" si="11"/>
        <v>-1</v>
      </c>
      <c r="O155" s="538">
        <f t="shared" si="11"/>
        <v>-1</v>
      </c>
      <c r="P155" s="538">
        <f t="shared" si="11"/>
        <v>0</v>
      </c>
      <c r="Q155" s="538">
        <f t="shared" si="11"/>
        <v>0</v>
      </c>
      <c r="R155" s="539">
        <f t="shared" si="3"/>
        <v>-10</v>
      </c>
    </row>
    <row r="156" spans="1:20">
      <c r="A156" s="202">
        <f t="shared" si="7"/>
        <v>148</v>
      </c>
      <c r="D156" s="206" t="s">
        <v>105</v>
      </c>
      <c r="F156" s="538">
        <f t="shared" si="11"/>
        <v>24804.967000000001</v>
      </c>
      <c r="G156" s="538">
        <f t="shared" si="11"/>
        <v>25430.249</v>
      </c>
      <c r="H156" s="538">
        <f t="shared" si="11"/>
        <v>26000.560000000001</v>
      </c>
      <c r="I156" s="538">
        <f t="shared" si="11"/>
        <v>29745.329000000002</v>
      </c>
      <c r="J156" s="538">
        <f t="shared" si="11"/>
        <v>29202.804</v>
      </c>
      <c r="K156" s="538">
        <f t="shared" si="11"/>
        <v>27561.468000000001</v>
      </c>
      <c r="L156" s="538">
        <f t="shared" si="11"/>
        <v>26205.491999999998</v>
      </c>
      <c r="M156" s="538">
        <f t="shared" si="11"/>
        <v>24559.752</v>
      </c>
      <c r="N156" s="538">
        <f t="shared" si="11"/>
        <v>27443.621999999999</v>
      </c>
      <c r="O156" s="538">
        <f t="shared" si="11"/>
        <v>29153.915000000001</v>
      </c>
      <c r="P156" s="538">
        <f t="shared" si="11"/>
        <v>30000</v>
      </c>
      <c r="Q156" s="538">
        <f t="shared" si="11"/>
        <v>30000</v>
      </c>
      <c r="R156" s="539">
        <f t="shared" si="3"/>
        <v>330108.158</v>
      </c>
    </row>
    <row r="157" spans="1:20">
      <c r="A157" s="202">
        <f t="shared" si="7"/>
        <v>149</v>
      </c>
      <c r="D157" s="206" t="s">
        <v>106</v>
      </c>
      <c r="F157" s="538">
        <f t="shared" si="11"/>
        <v>0</v>
      </c>
      <c r="G157" s="538">
        <f t="shared" si="11"/>
        <v>0</v>
      </c>
      <c r="H157" s="538">
        <f t="shared" si="11"/>
        <v>0</v>
      </c>
      <c r="I157" s="538">
        <f t="shared" si="11"/>
        <v>0</v>
      </c>
      <c r="J157" s="538">
        <f t="shared" si="11"/>
        <v>0</v>
      </c>
      <c r="K157" s="538">
        <f t="shared" si="11"/>
        <v>0</v>
      </c>
      <c r="L157" s="538">
        <f t="shared" si="11"/>
        <v>0</v>
      </c>
      <c r="M157" s="538">
        <f t="shared" si="11"/>
        <v>0</v>
      </c>
      <c r="N157" s="538">
        <f t="shared" si="11"/>
        <v>0</v>
      </c>
      <c r="O157" s="538">
        <f t="shared" si="11"/>
        <v>0</v>
      </c>
      <c r="P157" s="538">
        <f t="shared" si="11"/>
        <v>0</v>
      </c>
      <c r="Q157" s="538">
        <f t="shared" si="11"/>
        <v>0</v>
      </c>
      <c r="R157" s="539">
        <f t="shared" si="3"/>
        <v>0</v>
      </c>
    </row>
    <row r="158" spans="1:20">
      <c r="A158" s="202">
        <f t="shared" si="7"/>
        <v>150</v>
      </c>
      <c r="D158" s="197" t="s">
        <v>107</v>
      </c>
      <c r="F158" s="538">
        <f t="shared" si="11"/>
        <v>18627.902500000004</v>
      </c>
      <c r="G158" s="538">
        <f t="shared" si="11"/>
        <v>19059.342500000002</v>
      </c>
      <c r="H158" s="538">
        <f t="shared" si="11"/>
        <v>19452.862500000003</v>
      </c>
      <c r="I158" s="538">
        <f t="shared" si="11"/>
        <v>22036.812500000004</v>
      </c>
      <c r="J158" s="538">
        <f t="shared" si="11"/>
        <v>21662.402500000004</v>
      </c>
      <c r="K158" s="538">
        <f t="shared" si="11"/>
        <v>20529.882500000003</v>
      </c>
      <c r="L158" s="538">
        <f t="shared" si="11"/>
        <v>19594.262500000004</v>
      </c>
      <c r="M158" s="538">
        <f t="shared" si="11"/>
        <v>18475.152500000004</v>
      </c>
      <c r="N158" s="538">
        <f t="shared" si="11"/>
        <v>20449.922500000004</v>
      </c>
      <c r="O158" s="538">
        <f t="shared" si="11"/>
        <v>21628.672500000004</v>
      </c>
      <c r="P158" s="538">
        <f t="shared" si="11"/>
        <v>22212.472500000003</v>
      </c>
      <c r="Q158" s="538">
        <f t="shared" si="11"/>
        <v>22212.472500000003</v>
      </c>
      <c r="R158" s="539">
        <f t="shared" si="3"/>
        <v>245942.16000000006</v>
      </c>
    </row>
    <row r="159" spans="1:20">
      <c r="A159" s="202">
        <f t="shared" si="7"/>
        <v>151</v>
      </c>
      <c r="R159" s="203"/>
    </row>
    <row r="160" spans="1:20">
      <c r="A160" s="202">
        <f t="shared" si="7"/>
        <v>152</v>
      </c>
      <c r="B160" s="267"/>
      <c r="C160" s="267"/>
      <c r="D160" s="206"/>
      <c r="F160" s="405"/>
      <c r="G160" s="405"/>
      <c r="H160" s="405"/>
      <c r="I160" s="405"/>
      <c r="J160" s="405"/>
      <c r="K160" s="405"/>
      <c r="L160" s="405"/>
      <c r="M160" s="405"/>
      <c r="N160" s="405"/>
      <c r="O160" s="405"/>
      <c r="P160" s="405"/>
      <c r="Q160" s="405"/>
      <c r="R160" s="405"/>
    </row>
    <row r="161" spans="1:5">
      <c r="A161" s="202">
        <f t="shared" si="7"/>
        <v>153</v>
      </c>
      <c r="D161" s="197" t="s">
        <v>561</v>
      </c>
      <c r="E161" s="202">
        <v>3</v>
      </c>
    </row>
    <row r="162" spans="1:5">
      <c r="A162" s="202">
        <f t="shared" si="7"/>
        <v>154</v>
      </c>
      <c r="D162" s="197" t="s">
        <v>562</v>
      </c>
      <c r="E162" s="202">
        <v>2</v>
      </c>
    </row>
    <row r="163" spans="1:5">
      <c r="A163" s="202">
        <f t="shared" si="7"/>
        <v>155</v>
      </c>
      <c r="D163" s="197" t="s">
        <v>563</v>
      </c>
      <c r="E163" s="202">
        <v>6</v>
      </c>
    </row>
    <row r="164" spans="1:5">
      <c r="A164" s="202">
        <f t="shared" si="7"/>
        <v>156</v>
      </c>
      <c r="D164" s="197" t="s">
        <v>564</v>
      </c>
      <c r="E164" s="202">
        <v>6</v>
      </c>
    </row>
    <row r="165" spans="1:5">
      <c r="A165" s="202">
        <f t="shared" si="7"/>
        <v>157</v>
      </c>
      <c r="D165" s="197" t="s">
        <v>565</v>
      </c>
      <c r="E165" s="202">
        <v>3</v>
      </c>
    </row>
  </sheetData>
  <autoFilter ref="B6:Q87" xr:uid="{00000000-0009-0000-0000-00000E000000}"/>
  <mergeCells count="3">
    <mergeCell ref="B2:Q2"/>
    <mergeCell ref="B1:Q1"/>
    <mergeCell ref="B3:Q3"/>
  </mergeCells>
  <printOptions horizontalCentered="1"/>
  <pageMargins left="0.25" right="0.25" top="0.75" bottom="0.75" header="0.3" footer="0.3"/>
  <pageSetup scale="67" fitToHeight="0" orientation="landscape" r:id="rId1"/>
  <headerFooter alignWithMargins="0">
    <oddFooter>&amp;C&amp;A&amp;RPage &amp;P</oddFooter>
  </headerFooter>
  <rowBreaks count="3" manualBreakCount="3">
    <brk id="49" max="16" man="1"/>
    <brk id="91" max="16" man="1"/>
    <brk id="128" max="16" man="1"/>
  </rowBreaks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0">
    <pageSetUpPr fitToPage="1"/>
  </sheetPr>
  <dimension ref="A1:P40"/>
  <sheetViews>
    <sheetView zoomScaleNormal="100" workbookViewId="0">
      <selection activeCell="D50" sqref="D50"/>
    </sheetView>
  </sheetViews>
  <sheetFormatPr defaultColWidth="9.140625" defaultRowHeight="12.75"/>
  <cols>
    <col min="1" max="1" width="7.140625" style="26" customWidth="1"/>
    <col min="2" max="2" width="4" style="26" customWidth="1"/>
    <col min="3" max="3" width="10.42578125" style="26" customWidth="1"/>
    <col min="4" max="9" width="10.5703125" style="26" customWidth="1"/>
    <col min="10" max="10" width="12.42578125" style="26" customWidth="1"/>
    <col min="11" max="15" width="10.5703125" style="26" customWidth="1"/>
    <col min="16" max="16" width="10.5703125" style="26" bestFit="1" customWidth="1"/>
    <col min="17" max="16384" width="9.140625" style="26"/>
  </cols>
  <sheetData>
    <row r="1" spans="1:16">
      <c r="A1" s="26" t="s">
        <v>677</v>
      </c>
    </row>
    <row r="2" spans="1:16">
      <c r="A2" s="26" t="s">
        <v>123</v>
      </c>
    </row>
    <row r="3" spans="1:16">
      <c r="A3" s="233" t="s">
        <v>652</v>
      </c>
      <c r="B3" s="120"/>
      <c r="C3" s="120"/>
      <c r="D3" s="648">
        <f>'Monthly Forecast'!Y8</f>
        <v>45777</v>
      </c>
      <c r="E3" s="648">
        <f>'Monthly Forecast'!Z8</f>
        <v>45808</v>
      </c>
      <c r="F3" s="648">
        <f>'Monthly Forecast'!AA8</f>
        <v>45838</v>
      </c>
      <c r="G3" s="648">
        <f>'Monthly Forecast'!AB8</f>
        <v>45869</v>
      </c>
      <c r="H3" s="648">
        <f>'Monthly Forecast'!AC8</f>
        <v>45900</v>
      </c>
      <c r="I3" s="648">
        <f>'Monthly Forecast'!AD8</f>
        <v>45930</v>
      </c>
      <c r="J3" s="648">
        <f>'Monthly Forecast'!AE8</f>
        <v>45961</v>
      </c>
      <c r="K3" s="648">
        <f>'Monthly Forecast'!AF8</f>
        <v>45991</v>
      </c>
      <c r="L3" s="648">
        <f>'Monthly Forecast'!AG8</f>
        <v>46022</v>
      </c>
      <c r="M3" s="648">
        <f>'Monthly Forecast'!AH8</f>
        <v>46053</v>
      </c>
      <c r="N3" s="648">
        <f>'Monthly Forecast'!AI8</f>
        <v>46081</v>
      </c>
      <c r="O3" s="648">
        <f>'Monthly Forecast'!AJ8</f>
        <v>46112</v>
      </c>
      <c r="P3" s="648" t="s">
        <v>18</v>
      </c>
    </row>
    <row r="4" spans="1:16">
      <c r="B4" s="26" t="s">
        <v>12</v>
      </c>
      <c r="C4" s="233" t="s">
        <v>13</v>
      </c>
      <c r="D4" s="649" t="s">
        <v>14</v>
      </c>
      <c r="E4" s="649" t="s">
        <v>15</v>
      </c>
      <c r="F4" s="649" t="s">
        <v>80</v>
      </c>
      <c r="G4" s="649" t="s">
        <v>81</v>
      </c>
      <c r="H4" s="649" t="s">
        <v>82</v>
      </c>
      <c r="I4" s="649" t="s">
        <v>83</v>
      </c>
      <c r="J4" s="649" t="s">
        <v>84</v>
      </c>
      <c r="K4" s="649" t="s">
        <v>85</v>
      </c>
      <c r="L4" s="649" t="s">
        <v>86</v>
      </c>
      <c r="M4" s="649" t="s">
        <v>87</v>
      </c>
      <c r="N4" s="649" t="s">
        <v>88</v>
      </c>
      <c r="O4" s="649" t="s">
        <v>204</v>
      </c>
      <c r="P4" s="649" t="s">
        <v>205</v>
      </c>
    </row>
    <row r="5" spans="1:16">
      <c r="D5" s="649"/>
      <c r="E5" s="649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</row>
    <row r="6" spans="1:16">
      <c r="A6" s="233">
        <v>1</v>
      </c>
      <c r="B6" s="26" t="s">
        <v>68</v>
      </c>
    </row>
    <row r="7" spans="1:16">
      <c r="A7" s="233">
        <f>A6+1</f>
        <v>2</v>
      </c>
      <c r="C7" s="26" t="s">
        <v>69</v>
      </c>
      <c r="D7" s="98">
        <f>+'Monthly Forecast'!Y12</f>
        <v>162288</v>
      </c>
      <c r="E7" s="98">
        <f>+'Monthly Forecast'!Z12</f>
        <v>161528</v>
      </c>
      <c r="F7" s="98">
        <f>+'Monthly Forecast'!AA12</f>
        <v>160443</v>
      </c>
      <c r="G7" s="98">
        <f>+'Monthly Forecast'!AB12</f>
        <v>158859</v>
      </c>
      <c r="H7" s="98">
        <f>+'Monthly Forecast'!AC12</f>
        <v>158643</v>
      </c>
      <c r="I7" s="98">
        <f>+'Monthly Forecast'!AD12</f>
        <v>157525</v>
      </c>
      <c r="J7" s="98">
        <f>+'Monthly Forecast'!AE12</f>
        <v>158693</v>
      </c>
      <c r="K7" s="98">
        <f>+'Monthly Forecast'!AF12</f>
        <v>160008</v>
      </c>
      <c r="L7" s="98">
        <f>+'Monthly Forecast'!AG12</f>
        <v>161112</v>
      </c>
      <c r="M7" s="98">
        <f>+'Monthly Forecast'!AH12</f>
        <v>162059</v>
      </c>
      <c r="N7" s="98">
        <f>+'Monthly Forecast'!AI12</f>
        <v>162229</v>
      </c>
      <c r="O7" s="98">
        <f>+'Monthly Forecast'!AJ12</f>
        <v>162136</v>
      </c>
      <c r="P7" s="98">
        <f>SUM(D7:O7)</f>
        <v>1925523</v>
      </c>
    </row>
    <row r="8" spans="1:16">
      <c r="A8" s="233">
        <f t="shared" ref="A8:A36" si="0">A7+1</f>
        <v>3</v>
      </c>
      <c r="C8" s="26" t="s">
        <v>20</v>
      </c>
      <c r="D8" s="98">
        <f>+'Monthly Forecast'!Y16</f>
        <v>882026.12686111452</v>
      </c>
      <c r="E8" s="98">
        <f>+'Monthly Forecast'!Z16</f>
        <v>434614.2793255627</v>
      </c>
      <c r="F8" s="98">
        <f>+'Monthly Forecast'!AA16</f>
        <v>184548.5338202024</v>
      </c>
      <c r="G8" s="98">
        <f>+'Monthly Forecast'!AB16</f>
        <v>153941.29715873633</v>
      </c>
      <c r="H8" s="98">
        <f>+'Monthly Forecast'!AC16</f>
        <v>153731.98374126368</v>
      </c>
      <c r="I8" s="98">
        <f>+'Monthly Forecast'!AD16</f>
        <v>156728.49049712287</v>
      </c>
      <c r="J8" s="98">
        <f>+'Monthly Forecast'!AE16</f>
        <v>299635.17222123418</v>
      </c>
      <c r="K8" s="98">
        <f>+'Monthly Forecast'!AF16</f>
        <v>904852.21625445888</v>
      </c>
      <c r="L8" s="98">
        <f>+'Monthly Forecast'!AG16</f>
        <v>1526317.6675882081</v>
      </c>
      <c r="M8" s="98">
        <f>+'Monthly Forecast'!AH16</f>
        <v>1847868.6072768497</v>
      </c>
      <c r="N8" s="98">
        <f>+'Monthly Forecast'!AI16</f>
        <v>2003113.4276887493</v>
      </c>
      <c r="O8" s="98">
        <f>+'Monthly Forecast'!AJ16</f>
        <v>1391215.0170340042</v>
      </c>
      <c r="P8" s="98">
        <f>SUM(D8:O8)</f>
        <v>9938592.8194675054</v>
      </c>
    </row>
    <row r="9" spans="1:16">
      <c r="A9" s="233">
        <f t="shared" si="0"/>
        <v>4</v>
      </c>
    </row>
    <row r="10" spans="1:16">
      <c r="A10" s="233">
        <f t="shared" si="0"/>
        <v>5</v>
      </c>
      <c r="B10" s="26" t="s">
        <v>435</v>
      </c>
    </row>
    <row r="11" spans="1:16">
      <c r="A11" s="233">
        <f t="shared" si="0"/>
        <v>6</v>
      </c>
      <c r="C11" s="26" t="s">
        <v>69</v>
      </c>
      <c r="D11" s="98">
        <f>'Monthly Forecast'!Y21+'Monthly Forecast'!Y39</f>
        <v>20388</v>
      </c>
      <c r="E11" s="98">
        <f>'Monthly Forecast'!Z21+'Monthly Forecast'!Z39</f>
        <v>20099</v>
      </c>
      <c r="F11" s="98">
        <f>'Monthly Forecast'!AA21+'Monthly Forecast'!AA39</f>
        <v>19700</v>
      </c>
      <c r="G11" s="98">
        <f>'Monthly Forecast'!AB21+'Monthly Forecast'!AB39</f>
        <v>19396</v>
      </c>
      <c r="H11" s="98">
        <f>'Monthly Forecast'!AC21+'Monthly Forecast'!AC39</f>
        <v>19345</v>
      </c>
      <c r="I11" s="98">
        <f>'Monthly Forecast'!AD21+'Monthly Forecast'!AD39</f>
        <v>19227</v>
      </c>
      <c r="J11" s="98">
        <f>'Monthly Forecast'!AE21+'Monthly Forecast'!AE39</f>
        <v>19439</v>
      </c>
      <c r="K11" s="98">
        <f>'Monthly Forecast'!AF21+'Monthly Forecast'!AF39</f>
        <v>19862</v>
      </c>
      <c r="L11" s="98">
        <f>'Monthly Forecast'!AG21+'Monthly Forecast'!AG39</f>
        <v>20143</v>
      </c>
      <c r="M11" s="98">
        <f>'Monthly Forecast'!AH21+'Monthly Forecast'!AH39</f>
        <v>20415</v>
      </c>
      <c r="N11" s="98">
        <f>'Monthly Forecast'!AI21+'Monthly Forecast'!AI39</f>
        <v>20384</v>
      </c>
      <c r="O11" s="98">
        <f>'Monthly Forecast'!AJ21+'Monthly Forecast'!AJ39</f>
        <v>20401</v>
      </c>
      <c r="P11" s="98">
        <f>SUM(D11:O11)</f>
        <v>238799</v>
      </c>
    </row>
    <row r="12" spans="1:16">
      <c r="A12" s="233">
        <f t="shared" si="0"/>
        <v>7</v>
      </c>
      <c r="C12" s="26" t="s">
        <v>20</v>
      </c>
      <c r="D12" s="98">
        <f>'Monthly Forecast'!Y25+'Monthly Forecast'!Y43</f>
        <v>576402.20950078743</v>
      </c>
      <c r="E12" s="98">
        <f>'Monthly Forecast'!Z25+'Monthly Forecast'!Z43</f>
        <v>330523.74120078742</v>
      </c>
      <c r="F12" s="98">
        <f>'Monthly Forecast'!AA25+'Monthly Forecast'!AA43</f>
        <v>192731.90940078747</v>
      </c>
      <c r="G12" s="98">
        <f>'Monthly Forecast'!AB25+'Monthly Forecast'!AB43</f>
        <v>174788.89550157488</v>
      </c>
      <c r="H12" s="98">
        <f>'Monthly Forecast'!AC25+'Monthly Forecast'!AC43</f>
        <v>174382.17140157492</v>
      </c>
      <c r="I12" s="98">
        <f>'Monthly Forecast'!AD25+'Monthly Forecast'!AD43</f>
        <v>175570.56590157488</v>
      </c>
      <c r="J12" s="98">
        <f>'Monthly Forecast'!AE25+'Monthly Forecast'!AE43</f>
        <v>252683.7580015749</v>
      </c>
      <c r="K12" s="98">
        <f>'Monthly Forecast'!AF25+'Monthly Forecast'!AF43</f>
        <v>581447.582501575</v>
      </c>
      <c r="L12" s="98">
        <f>'Monthly Forecast'!AG25+'Monthly Forecast'!AG43</f>
        <v>921718.76910157502</v>
      </c>
      <c r="M12" s="98">
        <f>'Monthly Forecast'!AH25+'Monthly Forecast'!AH43</f>
        <v>1103777.317201575</v>
      </c>
      <c r="N12" s="98">
        <f>'Monthly Forecast'!AI25+'Monthly Forecast'!AI43</f>
        <v>1184713.9600015748</v>
      </c>
      <c r="O12" s="98">
        <f>'Monthly Forecast'!AJ25+'Monthly Forecast'!AJ43</f>
        <v>853978.45080157486</v>
      </c>
      <c r="P12" s="98">
        <f>SUM(D12:O12)</f>
        <v>6522719.3305165367</v>
      </c>
    </row>
    <row r="13" spans="1:16">
      <c r="A13" s="233">
        <f t="shared" si="0"/>
        <v>8</v>
      </c>
    </row>
    <row r="14" spans="1:16">
      <c r="A14" s="233">
        <f t="shared" si="0"/>
        <v>9</v>
      </c>
      <c r="B14" s="26" t="s">
        <v>446</v>
      </c>
    </row>
    <row r="15" spans="1:16">
      <c r="A15" s="233">
        <f t="shared" si="0"/>
        <v>10</v>
      </c>
      <c r="C15" s="26" t="s">
        <v>69</v>
      </c>
      <c r="D15" s="98">
        <f>'Monthly Forecast'!Y30</f>
        <v>213</v>
      </c>
      <c r="E15" s="98">
        <f>'Monthly Forecast'!Z30</f>
        <v>212</v>
      </c>
      <c r="F15" s="98">
        <f>'Monthly Forecast'!AA30</f>
        <v>210</v>
      </c>
      <c r="G15" s="98">
        <f>'Monthly Forecast'!AB30</f>
        <v>203</v>
      </c>
      <c r="H15" s="98">
        <f>'Monthly Forecast'!AC30</f>
        <v>215</v>
      </c>
      <c r="I15" s="98">
        <f>'Monthly Forecast'!AD30</f>
        <v>208</v>
      </c>
      <c r="J15" s="98">
        <f>'Monthly Forecast'!AE30</f>
        <v>210</v>
      </c>
      <c r="K15" s="98">
        <f>'Monthly Forecast'!AF30</f>
        <v>213</v>
      </c>
      <c r="L15" s="98">
        <f>'Monthly Forecast'!AG30</f>
        <v>208</v>
      </c>
      <c r="M15" s="98">
        <f>'Monthly Forecast'!AH30</f>
        <v>205</v>
      </c>
      <c r="N15" s="98">
        <f>'Monthly Forecast'!AI30</f>
        <v>212</v>
      </c>
      <c r="O15" s="98">
        <f>'Monthly Forecast'!AJ30</f>
        <v>215</v>
      </c>
      <c r="P15" s="98">
        <f>SUM(D15:O15)</f>
        <v>2524</v>
      </c>
    </row>
    <row r="16" spans="1:16">
      <c r="A16" s="233">
        <f t="shared" si="0"/>
        <v>11</v>
      </c>
      <c r="C16" s="26" t="s">
        <v>20</v>
      </c>
      <c r="D16" s="98">
        <f>'Monthly Forecast'!Y34</f>
        <v>48282.486399999994</v>
      </c>
      <c r="E16" s="98">
        <f>'Monthly Forecast'!Z34</f>
        <v>53748.832999999999</v>
      </c>
      <c r="F16" s="98">
        <f>'Monthly Forecast'!AA34</f>
        <v>18116.6551</v>
      </c>
      <c r="G16" s="98">
        <f>'Monthly Forecast'!AB34</f>
        <v>15877.684700000002</v>
      </c>
      <c r="H16" s="98">
        <f>'Monthly Forecast'!AC34</f>
        <v>21616.8976</v>
      </c>
      <c r="I16" s="98">
        <f>'Monthly Forecast'!AD34</f>
        <v>19783.6505</v>
      </c>
      <c r="J16" s="98">
        <f>'Monthly Forecast'!AE34</f>
        <v>23476.986699999994</v>
      </c>
      <c r="K16" s="98">
        <f>'Monthly Forecast'!AF34</f>
        <v>43374.445699999997</v>
      </c>
      <c r="L16" s="98">
        <f>'Monthly Forecast'!AG34</f>
        <v>72466.311500000011</v>
      </c>
      <c r="M16" s="98">
        <f>'Monthly Forecast'!AH34</f>
        <v>122214.24679999999</v>
      </c>
      <c r="N16" s="98">
        <f>'Monthly Forecast'!AI34</f>
        <v>112514.85390000002</v>
      </c>
      <c r="O16" s="98">
        <f>'Monthly Forecast'!AJ34</f>
        <v>68008.585699999996</v>
      </c>
      <c r="P16" s="98">
        <f>SUM(D16:O16)</f>
        <v>619481.63760000002</v>
      </c>
    </row>
    <row r="17" spans="1:16">
      <c r="A17" s="233">
        <f t="shared" si="0"/>
        <v>12</v>
      </c>
    </row>
    <row r="18" spans="1:16">
      <c r="A18" s="233">
        <f t="shared" si="0"/>
        <v>13</v>
      </c>
      <c r="B18" s="26" t="s">
        <v>436</v>
      </c>
    </row>
    <row r="19" spans="1:16">
      <c r="A19" s="233">
        <f t="shared" si="0"/>
        <v>14</v>
      </c>
      <c r="C19" s="26" t="s">
        <v>69</v>
      </c>
      <c r="D19" s="98">
        <f>SUM('Monthly Forecast'!Y48,'Monthly Forecast'!Y56,'Monthly Forecast'!Y64,'Monthly Forecast'!Y80,'Monthly Forecast'!Y89)</f>
        <v>211.69230769230768</v>
      </c>
      <c r="E19" s="98">
        <f>SUM('Monthly Forecast'!Z48,'Monthly Forecast'!Z56,'Monthly Forecast'!Z64,'Monthly Forecast'!Z80,'Monthly Forecast'!Z89)</f>
        <v>212.69230769230768</v>
      </c>
      <c r="F19" s="98">
        <f>SUM('Monthly Forecast'!AA48,'Monthly Forecast'!AA56,'Monthly Forecast'!AA64,'Monthly Forecast'!AA80,'Monthly Forecast'!AA89)</f>
        <v>210.69230769230768</v>
      </c>
      <c r="G19" s="98">
        <f>SUM('Monthly Forecast'!AB48,'Monthly Forecast'!AB56,'Monthly Forecast'!AB64,'Monthly Forecast'!AB80,'Monthly Forecast'!AB89)</f>
        <v>207.69230769230768</v>
      </c>
      <c r="H19" s="98">
        <f>SUM('Monthly Forecast'!AC48,'Monthly Forecast'!AC56,'Monthly Forecast'!AC64,'Monthly Forecast'!AC80,'Monthly Forecast'!AC89)</f>
        <v>207.69230769230768</v>
      </c>
      <c r="I19" s="98">
        <f>SUM('Monthly Forecast'!AD48,'Monthly Forecast'!AD56,'Monthly Forecast'!AD64,'Monthly Forecast'!AD80,'Monthly Forecast'!AD89)</f>
        <v>208.69230769230768</v>
      </c>
      <c r="J19" s="98">
        <f>SUM('Monthly Forecast'!AE48,'Monthly Forecast'!AE56,'Monthly Forecast'!AE64,'Monthly Forecast'!AE80,'Monthly Forecast'!AE89)</f>
        <v>208.69230769230768</v>
      </c>
      <c r="K19" s="98">
        <f>SUM('Monthly Forecast'!AF48,'Monthly Forecast'!AF56,'Monthly Forecast'!AF64,'Monthly Forecast'!AF80,'Monthly Forecast'!AF89)</f>
        <v>209.69230769230768</v>
      </c>
      <c r="L19" s="98">
        <f>SUM('Monthly Forecast'!AG48,'Monthly Forecast'!AG56,'Monthly Forecast'!AG64,'Monthly Forecast'!AG80,'Monthly Forecast'!AG89)</f>
        <v>209.69230769230768</v>
      </c>
      <c r="M19" s="98">
        <f>SUM('Monthly Forecast'!AH48,'Monthly Forecast'!AH56,'Monthly Forecast'!AH64,'Monthly Forecast'!AH80,'Monthly Forecast'!AH89)</f>
        <v>213.69230769230768</v>
      </c>
      <c r="N19" s="98">
        <f>SUM('Monthly Forecast'!AI48,'Monthly Forecast'!AI56,'Monthly Forecast'!AI64,'Monthly Forecast'!AI80,'Monthly Forecast'!AI89)</f>
        <v>213.69230769230768</v>
      </c>
      <c r="O19" s="98">
        <f>SUM('Monthly Forecast'!AJ48,'Monthly Forecast'!AJ56,'Monthly Forecast'!AJ64,'Monthly Forecast'!AJ80,'Monthly Forecast'!AJ89)</f>
        <v>211.69230769230768</v>
      </c>
      <c r="P19" s="98">
        <f>SUM(D19:O19)</f>
        <v>2526.3076923076919</v>
      </c>
    </row>
    <row r="20" spans="1:16">
      <c r="A20" s="233">
        <f t="shared" si="0"/>
        <v>15</v>
      </c>
      <c r="C20" s="26" t="s">
        <v>20</v>
      </c>
      <c r="D20" s="98">
        <f>SUM('Monthly Forecast'!Y51,'Monthly Forecast'!Y59,'Monthly Forecast'!Y71,'Monthly Forecast'!Y86,'Monthly Forecast'!Y95,'Monthly Forecast'!Y77)</f>
        <v>2442302.4048666665</v>
      </c>
      <c r="E20" s="98">
        <f>SUM('Monthly Forecast'!Z51,'Monthly Forecast'!Z59,'Monthly Forecast'!Z71,'Monthly Forecast'!Z86,'Monthly Forecast'!Z95,'Monthly Forecast'!Z77)</f>
        <v>2537770.0806523813</v>
      </c>
      <c r="F20" s="98">
        <f>SUM('Monthly Forecast'!AA51,'Monthly Forecast'!AA59,'Monthly Forecast'!AA71,'Monthly Forecast'!AA86,'Monthly Forecast'!AA95,'Monthly Forecast'!AA77)</f>
        <v>2370681.1286916668</v>
      </c>
      <c r="G20" s="98">
        <f>SUM('Monthly Forecast'!AB51,'Monthly Forecast'!AB59,'Monthly Forecast'!AB71,'Monthly Forecast'!AB86,'Monthly Forecast'!AB95,'Monthly Forecast'!AB77)</f>
        <v>2297147.7545202379</v>
      </c>
      <c r="H20" s="98">
        <f>SUM('Monthly Forecast'!AC51,'Monthly Forecast'!AC59,'Monthly Forecast'!AC71,'Monthly Forecast'!AC86,'Monthly Forecast'!AC95,'Monthly Forecast'!AC77)</f>
        <v>2588657.403320238</v>
      </c>
      <c r="I20" s="98">
        <f>SUM('Monthly Forecast'!AD51,'Monthly Forecast'!AD59,'Monthly Forecast'!AD71,'Monthly Forecast'!AD86,'Monthly Forecast'!AD95,'Monthly Forecast'!AD77)</f>
        <v>2726024.0521202385</v>
      </c>
      <c r="J20" s="98">
        <f>SUM('Monthly Forecast'!AE51,'Monthly Forecast'!AE59,'Monthly Forecast'!AE71,'Monthly Forecast'!AE86,'Monthly Forecast'!AE95,'Monthly Forecast'!AE77)</f>
        <v>2828363.1836202382</v>
      </c>
      <c r="K20" s="98">
        <f>SUM('Monthly Forecast'!AF51,'Monthly Forecast'!AF59,'Monthly Forecast'!AF71,'Monthly Forecast'!AF86,'Monthly Forecast'!AF95,'Monthly Forecast'!AF77)</f>
        <v>3321132.715820238</v>
      </c>
      <c r="L20" s="98">
        <f>SUM('Monthly Forecast'!AG51,'Monthly Forecast'!AG59,'Monthly Forecast'!AG71,'Monthly Forecast'!AG86,'Monthly Forecast'!AG95,'Monthly Forecast'!AG77)</f>
        <v>2929550.5600202382</v>
      </c>
      <c r="M20" s="98">
        <f>SUM('Monthly Forecast'!AH51,'Monthly Forecast'!AH59,'Monthly Forecast'!AH71,'Monthly Forecast'!AH86,'Monthly Forecast'!AH95,'Monthly Forecast'!AH77)</f>
        <v>2960626.372620238</v>
      </c>
      <c r="N20" s="98">
        <f>SUM('Monthly Forecast'!AI51,'Monthly Forecast'!AI59,'Monthly Forecast'!AI71,'Monthly Forecast'!AI86,'Monthly Forecast'!AI95,'Monthly Forecast'!AI77)</f>
        <v>2664005.2133166669</v>
      </c>
      <c r="O20" s="98">
        <f>SUM('Monthly Forecast'!AJ51,'Monthly Forecast'!AJ59,'Monthly Forecast'!AJ71,'Monthly Forecast'!AJ86,'Monthly Forecast'!AJ95,'Monthly Forecast'!AJ77)</f>
        <v>2576186.0088333338</v>
      </c>
      <c r="P20" s="98">
        <f>SUM(D20:O20)</f>
        <v>32242446.878402386</v>
      </c>
    </row>
    <row r="21" spans="1:16">
      <c r="A21" s="233">
        <f t="shared" si="0"/>
        <v>16</v>
      </c>
    </row>
    <row r="22" spans="1:16">
      <c r="A22" s="233">
        <f t="shared" si="0"/>
        <v>17</v>
      </c>
    </row>
    <row r="23" spans="1:16">
      <c r="A23" s="233">
        <f t="shared" si="0"/>
        <v>18</v>
      </c>
    </row>
    <row r="24" spans="1:16" ht="38.25">
      <c r="A24" s="233">
        <f t="shared" si="0"/>
        <v>19</v>
      </c>
      <c r="B24" s="120"/>
      <c r="C24" s="120"/>
      <c r="D24" s="120"/>
      <c r="E24" s="120"/>
      <c r="F24" s="120"/>
      <c r="G24" s="257" t="s">
        <v>68</v>
      </c>
      <c r="H24" s="257" t="s">
        <v>435</v>
      </c>
      <c r="I24" s="257" t="s">
        <v>446</v>
      </c>
      <c r="J24" s="257" t="s">
        <v>436</v>
      </c>
      <c r="K24" s="257" t="s">
        <v>18</v>
      </c>
    </row>
    <row r="25" spans="1:16">
      <c r="A25" s="233">
        <f t="shared" si="0"/>
        <v>20</v>
      </c>
      <c r="C25" s="233" t="s">
        <v>12</v>
      </c>
      <c r="G25" s="254" t="s">
        <v>13</v>
      </c>
      <c r="H25" s="254" t="s">
        <v>14</v>
      </c>
      <c r="I25" s="254" t="s">
        <v>15</v>
      </c>
      <c r="J25" s="254" t="s">
        <v>80</v>
      </c>
      <c r="K25" s="254" t="s">
        <v>81</v>
      </c>
    </row>
    <row r="26" spans="1:16">
      <c r="A26" s="233">
        <f t="shared" si="0"/>
        <v>21</v>
      </c>
      <c r="G26" s="158"/>
      <c r="H26" s="158"/>
      <c r="I26" s="158"/>
      <c r="J26" s="22"/>
    </row>
    <row r="27" spans="1:16">
      <c r="A27" s="233">
        <f t="shared" si="0"/>
        <v>22</v>
      </c>
      <c r="C27" s="26" t="s">
        <v>437</v>
      </c>
      <c r="G27" s="542">
        <f>(_xlfn.XLOOKUP($H$40,$D$39:$O$39,$D$8:$O$8)+_xlfn.XLOOKUP($I$40,$D$39:$O$39,$D$8:$O$8))/(_xlfn.XLOOKUP($H$40,$D$39:$O$39,$D$7:$O$7)+_xlfn.XLOOKUP($I$40,$D$39:$O$39,$D$7:$O$7))</f>
        <v>0.96904359941039742</v>
      </c>
      <c r="H27" s="542">
        <f>(_xlfn.XLOOKUP($H$40,$D$39:$O$39,$D$12:$O$12)+_xlfn.XLOOKUP($I$40,$D$39:$O$39,$D$12:$O$12))/(_xlfn.XLOOKUP($H$40,$D$39:$O$39,$D$11:$O$11)+_xlfn.XLOOKUP($I$40,$D$39:$O$39,$D$11:$O$11))</f>
        <v>9.0129595752084306</v>
      </c>
      <c r="I27" s="542">
        <f>(_xlfn.XLOOKUP($H$40,$D$39:$O$39,$D$16:$O$16)+_xlfn.XLOOKUP($I$40,$D$39:$O$39,$D$16:$O$16))/(_xlfn.XLOOKUP($H$40,$D$39:$O$39,$D$15:$O$15)+_xlfn.XLOOKUP($I$40,$D$39:$O$39,$D$15:$O$15))</f>
        <v>89.699957655502402</v>
      </c>
      <c r="J27" s="100">
        <f>(_xlfn.XLOOKUP($H$40,$D$39:$O$39,$D$20:$O$20)+_xlfn.XLOOKUP($I$40,$D$39:$O$39,$D$20:$O$20))/(_xlfn.XLOOKUP($H$40,$D$39:$O$39,$D$19:$O$19)+_xlfn.XLOOKUP($I$40,$D$39:$O$39,$D$19:$O$19))</f>
        <v>11762.123528134478</v>
      </c>
      <c r="K27"/>
      <c r="L27"/>
      <c r="M27"/>
      <c r="N27"/>
      <c r="O27"/>
      <c r="P27"/>
    </row>
    <row r="28" spans="1:16">
      <c r="A28" s="233">
        <f t="shared" si="0"/>
        <v>23</v>
      </c>
      <c r="C28" s="26" t="s">
        <v>443</v>
      </c>
      <c r="G28" s="100">
        <f>+G27*P7</f>
        <v>1865915.7386675067</v>
      </c>
      <c r="H28" s="100">
        <f>+H27*P11</f>
        <v>2152285.7336001978</v>
      </c>
      <c r="I28" s="100">
        <f>+I27*P15</f>
        <v>226402.69312248807</v>
      </c>
      <c r="J28" s="100">
        <f>+J27*P19</f>
        <v>29714743.146999419</v>
      </c>
    </row>
    <row r="29" spans="1:16">
      <c r="A29" s="233">
        <f t="shared" si="0"/>
        <v>24</v>
      </c>
      <c r="C29" s="26" t="s">
        <v>444</v>
      </c>
      <c r="G29" s="543">
        <f>+G28/365/(P7/12)</f>
        <v>3.1858967651848681E-2</v>
      </c>
      <c r="H29" s="543">
        <f>+H28/365/(P11/12)</f>
        <v>0.29631647918493464</v>
      </c>
      <c r="I29" s="543">
        <f>+I28/365/(P15/12)</f>
        <v>2.9490397037425446</v>
      </c>
      <c r="J29" s="543">
        <f>+J28/365/(P19/12)</f>
        <v>386.69995160990061</v>
      </c>
    </row>
    <row r="30" spans="1:16">
      <c r="A30" s="233">
        <f t="shared" si="0"/>
        <v>25</v>
      </c>
      <c r="C30" s="26" t="s">
        <v>438</v>
      </c>
      <c r="G30" s="100">
        <f>+P8-G28</f>
        <v>8072677.0807999987</v>
      </c>
      <c r="H30" s="100">
        <f>+P12-H28</f>
        <v>4370433.5969163384</v>
      </c>
      <c r="I30" s="100">
        <f>+P16-I28</f>
        <v>393078.94447751192</v>
      </c>
      <c r="J30" s="100">
        <f>+P20-J28</f>
        <v>2527703.7314029671</v>
      </c>
    </row>
    <row r="31" spans="1:16">
      <c r="A31" s="233">
        <f t="shared" si="0"/>
        <v>26</v>
      </c>
      <c r="C31" s="26" t="s">
        <v>439</v>
      </c>
      <c r="G31" s="100">
        <f>HDDs!D25</f>
        <v>3857</v>
      </c>
      <c r="H31" s="100">
        <f>+G31</f>
        <v>3857</v>
      </c>
      <c r="I31" s="100">
        <f>+H31</f>
        <v>3857</v>
      </c>
      <c r="J31" s="100">
        <f>+I31</f>
        <v>3857</v>
      </c>
    </row>
    <row r="32" spans="1:16">
      <c r="A32" s="233">
        <f t="shared" si="0"/>
        <v>27</v>
      </c>
      <c r="C32" s="26" t="s">
        <v>440</v>
      </c>
      <c r="G32" s="543">
        <f>+G30/G31/(P7/12)</f>
        <v>1.3043690250365685E-2</v>
      </c>
      <c r="H32" s="543">
        <f>+H30/H31/(P11/12)</f>
        <v>5.6940808510288106E-2</v>
      </c>
      <c r="I32" s="543">
        <f>+I30/I31/(P15/12)</f>
        <v>0.4845315239431448</v>
      </c>
      <c r="J32" s="543">
        <f>+J30/J31/(P19/12)</f>
        <v>3.112945607196377</v>
      </c>
    </row>
    <row r="33" spans="1:15">
      <c r="A33" s="233">
        <f t="shared" si="0"/>
        <v>28</v>
      </c>
      <c r="C33" s="26" t="s">
        <v>441</v>
      </c>
      <c r="G33" s="100">
        <v>60</v>
      </c>
      <c r="H33" s="100">
        <f>+G33</f>
        <v>60</v>
      </c>
      <c r="I33" s="100">
        <f>+H33</f>
        <v>60</v>
      </c>
      <c r="J33" s="100">
        <f>+I33</f>
        <v>60</v>
      </c>
    </row>
    <row r="34" spans="1:15">
      <c r="A34" s="233">
        <f t="shared" si="0"/>
        <v>29</v>
      </c>
      <c r="C34" s="26" t="s">
        <v>442</v>
      </c>
      <c r="G34" s="543">
        <f>+G29+G32*G33</f>
        <v>0.81448038267378975</v>
      </c>
      <c r="H34" s="543">
        <f>+H29+H32*H33</f>
        <v>3.7127649898022206</v>
      </c>
      <c r="I34" s="543">
        <f>+I29+I32*I33</f>
        <v>32.020931140331236</v>
      </c>
      <c r="J34" s="543">
        <f>+J29+J32*J33</f>
        <v>573.47668804168325</v>
      </c>
    </row>
    <row r="35" spans="1:15">
      <c r="A35" s="233">
        <f t="shared" si="0"/>
        <v>30</v>
      </c>
    </row>
    <row r="36" spans="1:15">
      <c r="A36" s="233">
        <f t="shared" si="0"/>
        <v>31</v>
      </c>
      <c r="C36" s="26" t="s">
        <v>445</v>
      </c>
      <c r="G36" s="100">
        <f>+G34*(P7/12)</f>
        <v>130691.72582393198</v>
      </c>
      <c r="H36" s="100">
        <f>+H34*(P11/12)</f>
        <v>73883.713899981711</v>
      </c>
      <c r="I36" s="100">
        <f>+I34*(P15/12)</f>
        <v>6735.0691831830036</v>
      </c>
      <c r="J36" s="100">
        <f>+J34*(P19/12)</f>
        <v>120731.54736323691</v>
      </c>
      <c r="K36" s="100">
        <f>SUM(G36:J36)</f>
        <v>332042.05627033359</v>
      </c>
    </row>
    <row r="38" spans="1:15">
      <c r="D38" s="692" t="s">
        <v>665</v>
      </c>
      <c r="E38" s="693"/>
      <c r="F38" s="693"/>
      <c r="G38" s="693"/>
      <c r="H38" s="693"/>
      <c r="I38" s="693"/>
      <c r="J38" s="693"/>
      <c r="K38" s="693"/>
      <c r="L38" s="693"/>
      <c r="M38" s="693"/>
      <c r="N38" s="693"/>
      <c r="O38" s="694"/>
    </row>
    <row r="39" spans="1:15">
      <c r="D39" s="544">
        <f>MONTH(D3)</f>
        <v>4</v>
      </c>
      <c r="E39" s="231">
        <f t="shared" ref="E39:O39" si="1">MONTH(E3)</f>
        <v>5</v>
      </c>
      <c r="F39" s="231">
        <f t="shared" si="1"/>
        <v>6</v>
      </c>
      <c r="G39" s="231">
        <f t="shared" si="1"/>
        <v>7</v>
      </c>
      <c r="H39" s="231">
        <f t="shared" si="1"/>
        <v>8</v>
      </c>
      <c r="I39" s="231">
        <f t="shared" si="1"/>
        <v>9</v>
      </c>
      <c r="J39" s="231">
        <f t="shared" si="1"/>
        <v>10</v>
      </c>
      <c r="K39" s="231">
        <f t="shared" si="1"/>
        <v>11</v>
      </c>
      <c r="L39" s="231">
        <f t="shared" si="1"/>
        <v>12</v>
      </c>
      <c r="M39" s="231">
        <f t="shared" si="1"/>
        <v>1</v>
      </c>
      <c r="N39" s="231">
        <f t="shared" si="1"/>
        <v>2</v>
      </c>
      <c r="O39" s="545">
        <f t="shared" si="1"/>
        <v>3</v>
      </c>
    </row>
    <row r="40" spans="1:15">
      <c r="D40" s="695" t="s">
        <v>666</v>
      </c>
      <c r="E40" s="696"/>
      <c r="F40" s="696"/>
      <c r="G40" s="696"/>
      <c r="H40" s="353">
        <v>7</v>
      </c>
      <c r="I40" s="353">
        <v>8</v>
      </c>
      <c r="J40" s="46"/>
      <c r="K40" s="46"/>
      <c r="L40" s="46"/>
      <c r="M40" s="46"/>
      <c r="N40" s="46"/>
      <c r="O40" s="352"/>
    </row>
  </sheetData>
  <mergeCells count="2">
    <mergeCell ref="D38:O38"/>
    <mergeCell ref="D40:G40"/>
  </mergeCells>
  <phoneticPr fontId="5" type="noConversion"/>
  <printOptions horizontalCentered="1"/>
  <pageMargins left="0.25" right="0.25" top="0.75" bottom="0.75" header="0.3" footer="0.3"/>
  <pageSetup scale="85" fitToHeight="0" orientation="landscape" r:id="rId1"/>
  <headerFooter alignWithMargins="0">
    <oddFooter>&amp;C&amp;A&amp;RPage &amp;P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transitionEntry="1" codeName="Sheet6">
    <pageSetUpPr fitToPage="1"/>
  </sheetPr>
  <dimension ref="A3:CI158"/>
  <sheetViews>
    <sheetView zoomScaleNormal="100" workbookViewId="0">
      <selection activeCell="D50" sqref="D50"/>
    </sheetView>
  </sheetViews>
  <sheetFormatPr defaultColWidth="12.5703125" defaultRowHeight="12.75"/>
  <cols>
    <col min="1" max="1" width="5.5703125" style="2" bestFit="1" customWidth="1"/>
    <col min="2" max="2" width="29.5703125" style="2" customWidth="1"/>
    <col min="3" max="3" width="8.5703125" style="2" customWidth="1"/>
    <col min="4" max="63" width="10.5703125" style="2" customWidth="1"/>
    <col min="64" max="67" width="9.5703125" style="2" customWidth="1"/>
    <col min="68" max="87" width="10.5703125" style="2" customWidth="1"/>
    <col min="88" max="16384" width="12.5703125" style="2"/>
  </cols>
  <sheetData>
    <row r="3" spans="1:87">
      <c r="A3" s="7"/>
      <c r="C3" s="15"/>
      <c r="D3" s="14"/>
      <c r="E3" s="14"/>
      <c r="F3" s="14"/>
      <c r="G3" s="14"/>
      <c r="H3" s="14"/>
      <c r="I3" s="14"/>
      <c r="J3" s="4" t="s">
        <v>67</v>
      </c>
      <c r="K3" s="14"/>
      <c r="L3" s="14"/>
      <c r="M3" s="14"/>
      <c r="N3" s="14"/>
      <c r="O3" s="14"/>
      <c r="P3" s="38"/>
      <c r="Q3" s="38"/>
      <c r="R3" s="15"/>
      <c r="S3" s="39"/>
    </row>
    <row r="4" spans="1:87">
      <c r="A4" s="7"/>
      <c r="B4" s="14"/>
      <c r="C4" s="15"/>
      <c r="D4" s="14"/>
      <c r="E4" s="14"/>
      <c r="F4" s="14"/>
      <c r="G4" s="14"/>
      <c r="H4" s="14"/>
      <c r="I4" s="14"/>
      <c r="J4" s="4" t="s">
        <v>149</v>
      </c>
      <c r="K4" s="14"/>
      <c r="L4" s="14"/>
      <c r="M4" s="14"/>
      <c r="N4" s="14"/>
      <c r="O4" s="14"/>
      <c r="P4" s="14"/>
      <c r="Q4" s="14"/>
      <c r="R4" s="15"/>
      <c r="S4" s="14"/>
      <c r="Y4" s="3"/>
    </row>
    <row r="5" spans="1:87">
      <c r="A5" s="7"/>
      <c r="B5" s="14"/>
      <c r="C5" s="40"/>
      <c r="D5" s="14"/>
      <c r="E5" s="14"/>
      <c r="F5" s="14"/>
      <c r="G5" s="14"/>
      <c r="H5" s="14"/>
      <c r="I5" s="14"/>
      <c r="J5" s="4" t="str">
        <f>'Bill Frequency'!A6</f>
        <v>REFERENCE PERIOD - TWELVE MONTHS ENDING 06/30/2024</v>
      </c>
      <c r="K5" s="14"/>
      <c r="L5" s="14"/>
      <c r="M5" s="14"/>
      <c r="N5" s="14"/>
      <c r="O5" s="14"/>
      <c r="P5" s="14"/>
      <c r="Q5" s="14"/>
      <c r="R5" s="40"/>
      <c r="S5" s="14"/>
      <c r="Y5" s="6"/>
      <c r="AA5" s="6"/>
    </row>
    <row r="7" spans="1:87">
      <c r="A7" s="7" t="s">
        <v>11</v>
      </c>
      <c r="D7" s="689" t="str">
        <f>"Base Period – 12 Months Ending " &amp; TEXT(EOMONTH(Dashboard!$D$8,-12),"MMMM YYYY")</f>
        <v>Base Period – 12 Months Ending June 2023</v>
      </c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1"/>
      <c r="P7" s="4"/>
      <c r="S7" s="4"/>
      <c r="T7" s="4"/>
      <c r="U7" s="4"/>
      <c r="W7" s="4"/>
      <c r="X7" s="4"/>
      <c r="Y7" s="689" t="str">
        <f>"Test Period – 12 Months Ending " &amp; TEXT(Dashboard!$D$8,"MMMM YYYY")</f>
        <v>Test Period – 12 Months Ending June 2024</v>
      </c>
      <c r="Z7" s="690"/>
      <c r="AA7" s="690"/>
      <c r="AB7" s="690"/>
      <c r="AC7" s="690"/>
      <c r="AD7" s="690"/>
      <c r="AE7" s="690"/>
      <c r="AF7" s="690"/>
      <c r="AG7" s="690"/>
      <c r="AH7" s="690"/>
      <c r="AI7" s="690"/>
      <c r="AJ7" s="691"/>
    </row>
    <row r="8" spans="1:87">
      <c r="A8" s="8" t="s">
        <v>16</v>
      </c>
      <c r="B8" s="9" t="s">
        <v>26</v>
      </c>
      <c r="C8" s="10" t="s">
        <v>5</v>
      </c>
      <c r="D8" s="35">
        <f>'Monthly Forecast'!D8</f>
        <v>45108</v>
      </c>
      <c r="E8" s="35">
        <f>'Monthly Forecast'!E8</f>
        <v>45169</v>
      </c>
      <c r="F8" s="35">
        <f>'Monthly Forecast'!F8</f>
        <v>45199</v>
      </c>
      <c r="G8" s="35">
        <f>'Monthly Forecast'!G8</f>
        <v>45230</v>
      </c>
      <c r="H8" s="35">
        <f>'Monthly Forecast'!H8</f>
        <v>45260</v>
      </c>
      <c r="I8" s="35">
        <f>'Monthly Forecast'!I8</f>
        <v>45291</v>
      </c>
      <c r="J8" s="35">
        <f>'Monthly Forecast'!J8</f>
        <v>45322</v>
      </c>
      <c r="K8" s="35">
        <f>'Monthly Forecast'!K8</f>
        <v>45351</v>
      </c>
      <c r="L8" s="35">
        <f>'Monthly Forecast'!L8</f>
        <v>45382</v>
      </c>
      <c r="M8" s="35">
        <f>'Monthly Forecast'!M8</f>
        <v>45412</v>
      </c>
      <c r="N8" s="35">
        <f>'Monthly Forecast'!N8</f>
        <v>45443</v>
      </c>
      <c r="O8" s="35">
        <f>'Monthly Forecast'!O8</f>
        <v>45473</v>
      </c>
      <c r="P8" s="35">
        <f>'Monthly Forecast'!P8</f>
        <v>45504</v>
      </c>
      <c r="Q8" s="35">
        <f>'Monthly Forecast'!Q8</f>
        <v>45535</v>
      </c>
      <c r="R8" s="35">
        <f>'Monthly Forecast'!R8</f>
        <v>45565</v>
      </c>
      <c r="S8" s="35">
        <f>'Monthly Forecast'!S8</f>
        <v>45596</v>
      </c>
      <c r="T8" s="35">
        <f>'Monthly Forecast'!T8</f>
        <v>45626</v>
      </c>
      <c r="U8" s="35">
        <f>'Monthly Forecast'!U8</f>
        <v>45657</v>
      </c>
      <c r="V8" s="35">
        <f>'Monthly Forecast'!V8</f>
        <v>45688</v>
      </c>
      <c r="W8" s="35">
        <f>'Monthly Forecast'!W8</f>
        <v>45716</v>
      </c>
      <c r="X8" s="35">
        <f>'Monthly Forecast'!X8</f>
        <v>45747</v>
      </c>
      <c r="Y8" s="35">
        <f>'Monthly Forecast'!Y8</f>
        <v>45777</v>
      </c>
      <c r="Z8" s="35">
        <f>'Monthly Forecast'!Z8</f>
        <v>45808</v>
      </c>
      <c r="AA8" s="35">
        <f>'Monthly Forecast'!AA8</f>
        <v>45838</v>
      </c>
      <c r="AB8" s="35">
        <f>'Monthly Forecast'!AB8</f>
        <v>45869</v>
      </c>
      <c r="AC8" s="35">
        <f>'Monthly Forecast'!AC8</f>
        <v>45900</v>
      </c>
      <c r="AD8" s="35">
        <f>'Monthly Forecast'!AD8</f>
        <v>45930</v>
      </c>
      <c r="AE8" s="35">
        <f>'Monthly Forecast'!AE8</f>
        <v>45961</v>
      </c>
      <c r="AF8" s="35">
        <f>'Monthly Forecast'!AF8</f>
        <v>45991</v>
      </c>
      <c r="AG8" s="35">
        <f>'Monthly Forecast'!AG8</f>
        <v>46022</v>
      </c>
      <c r="AH8" s="35">
        <f>'Monthly Forecast'!AH8</f>
        <v>46053</v>
      </c>
      <c r="AI8" s="35">
        <f>'Monthly Forecast'!AI8</f>
        <v>46081</v>
      </c>
      <c r="AJ8" s="35">
        <f>'Monthly Forecast'!AJ8</f>
        <v>46112</v>
      </c>
      <c r="AK8" s="35">
        <f>'Monthly Forecast'!AK8</f>
        <v>46142</v>
      </c>
      <c r="AL8" s="35">
        <f>'Monthly Forecast'!AL8</f>
        <v>46173</v>
      </c>
      <c r="AM8" s="35">
        <f>'Monthly Forecast'!AM8</f>
        <v>46203</v>
      </c>
      <c r="AN8" s="35">
        <f>'Monthly Forecast'!AN8</f>
        <v>46234</v>
      </c>
      <c r="AO8" s="35">
        <f>'Monthly Forecast'!AO8</f>
        <v>46265</v>
      </c>
      <c r="AP8" s="35">
        <f>'Monthly Forecast'!AP8</f>
        <v>46295</v>
      </c>
      <c r="AQ8" s="35">
        <f>'Monthly Forecast'!AQ8</f>
        <v>46326</v>
      </c>
      <c r="AR8" s="35">
        <f>'Monthly Forecast'!AR8</f>
        <v>46356</v>
      </c>
      <c r="AS8" s="35">
        <f>'Monthly Forecast'!AS8</f>
        <v>46387</v>
      </c>
      <c r="AT8" s="35">
        <f>'Monthly Forecast'!AT8</f>
        <v>46418</v>
      </c>
      <c r="AU8" s="35">
        <f>'Monthly Forecast'!AU8</f>
        <v>46446</v>
      </c>
      <c r="AV8" s="35">
        <f>'Monthly Forecast'!AV8</f>
        <v>46477</v>
      </c>
      <c r="AW8" s="35">
        <f>'Monthly Forecast'!AW8</f>
        <v>46507</v>
      </c>
      <c r="AX8" s="35">
        <f>'Monthly Forecast'!AX8</f>
        <v>46538</v>
      </c>
      <c r="AY8" s="35">
        <f>'Monthly Forecast'!AY8</f>
        <v>46568</v>
      </c>
      <c r="AZ8" s="35">
        <f>'Monthly Forecast'!AZ8</f>
        <v>46599</v>
      </c>
      <c r="BA8" s="35">
        <f>'Monthly Forecast'!BA8</f>
        <v>46630</v>
      </c>
      <c r="BB8" s="35">
        <f>'Monthly Forecast'!BB8</f>
        <v>46660</v>
      </c>
      <c r="BC8" s="35">
        <f>'Monthly Forecast'!BC8</f>
        <v>46691</v>
      </c>
      <c r="BD8" s="35">
        <f>'Monthly Forecast'!BD8</f>
        <v>46721</v>
      </c>
      <c r="BE8" s="35">
        <f>'Monthly Forecast'!BE8</f>
        <v>46752</v>
      </c>
      <c r="BF8" s="35">
        <f>'Monthly Forecast'!BF8</f>
        <v>46783</v>
      </c>
      <c r="BG8" s="35">
        <f>'Monthly Forecast'!BG8</f>
        <v>46812</v>
      </c>
      <c r="BH8" s="35">
        <f>'Monthly Forecast'!BH8</f>
        <v>46843</v>
      </c>
      <c r="BI8" s="35">
        <f>'Monthly Forecast'!BI8</f>
        <v>46873</v>
      </c>
      <c r="BJ8" s="35">
        <f>'Monthly Forecast'!BJ8</f>
        <v>46904</v>
      </c>
      <c r="BK8" s="35">
        <f>'Monthly Forecast'!BK8</f>
        <v>46934</v>
      </c>
      <c r="BL8" s="35">
        <f>'Monthly Forecast'!BL8</f>
        <v>46965</v>
      </c>
      <c r="BM8" s="35">
        <f>'Monthly Forecast'!BM8</f>
        <v>46996</v>
      </c>
      <c r="BN8" s="35">
        <f>'Monthly Forecast'!BN8</f>
        <v>47026</v>
      </c>
      <c r="BO8" s="35">
        <f>'Monthly Forecast'!BO8</f>
        <v>47057</v>
      </c>
      <c r="BP8" s="35">
        <f>'Monthly Forecast'!BP8</f>
        <v>47087</v>
      </c>
      <c r="BQ8" s="35">
        <f>'Monthly Forecast'!BQ8</f>
        <v>47118</v>
      </c>
      <c r="BR8" s="35">
        <f>'Monthly Forecast'!BR8</f>
        <v>47149</v>
      </c>
      <c r="BS8" s="35">
        <f>'Monthly Forecast'!BS8</f>
        <v>47177</v>
      </c>
      <c r="BT8" s="35">
        <f>'Monthly Forecast'!BT8</f>
        <v>47208</v>
      </c>
      <c r="BU8" s="35">
        <f>'Monthly Forecast'!BU8</f>
        <v>47238</v>
      </c>
      <c r="BV8" s="35">
        <f>'Monthly Forecast'!BV8</f>
        <v>47269</v>
      </c>
      <c r="BW8" s="35">
        <f>'Monthly Forecast'!BW8</f>
        <v>47299</v>
      </c>
      <c r="BX8" s="35">
        <f>'Monthly Forecast'!BX8</f>
        <v>47330</v>
      </c>
      <c r="BY8" s="35">
        <f>'Monthly Forecast'!BY8</f>
        <v>47361</v>
      </c>
      <c r="BZ8" s="35">
        <f>'Monthly Forecast'!BZ8</f>
        <v>47391</v>
      </c>
      <c r="CA8" s="35">
        <f>'Monthly Forecast'!CA8</f>
        <v>47422</v>
      </c>
      <c r="CB8" s="35">
        <f>'Monthly Forecast'!CB8</f>
        <v>47452</v>
      </c>
      <c r="CC8" s="35">
        <f>'Monthly Forecast'!CC8</f>
        <v>47483</v>
      </c>
      <c r="CD8" s="35">
        <f>'Monthly Forecast'!CD8</f>
        <v>47514</v>
      </c>
      <c r="CE8" s="35">
        <f>'Monthly Forecast'!CE8</f>
        <v>47542</v>
      </c>
      <c r="CF8" s="35">
        <f>'Monthly Forecast'!CF8</f>
        <v>47573</v>
      </c>
      <c r="CG8" s="35">
        <f>'Monthly Forecast'!CG8</f>
        <v>47603</v>
      </c>
      <c r="CH8" s="35">
        <f>'Monthly Forecast'!CH8</f>
        <v>47634</v>
      </c>
      <c r="CI8" s="35">
        <f>'Monthly Forecast'!CI8</f>
        <v>47664</v>
      </c>
    </row>
    <row r="9" spans="1:87">
      <c r="B9" s="42" t="s">
        <v>12</v>
      </c>
      <c r="C9" s="42" t="s">
        <v>13</v>
      </c>
      <c r="D9" s="4" t="s">
        <v>14</v>
      </c>
      <c r="E9" s="48" t="s">
        <v>15</v>
      </c>
      <c r="F9" s="49" t="s">
        <v>80</v>
      </c>
      <c r="G9" s="49" t="s">
        <v>81</v>
      </c>
      <c r="H9" s="49" t="s">
        <v>82</v>
      </c>
      <c r="I9" s="49" t="s">
        <v>83</v>
      </c>
      <c r="J9" s="49" t="s">
        <v>84</v>
      </c>
      <c r="K9" s="49" t="s">
        <v>85</v>
      </c>
      <c r="L9" s="49" t="s">
        <v>86</v>
      </c>
      <c r="M9" s="49" t="s">
        <v>87</v>
      </c>
      <c r="N9" s="49" t="s">
        <v>88</v>
      </c>
      <c r="O9" s="49" t="s">
        <v>204</v>
      </c>
      <c r="P9" s="49" t="s">
        <v>205</v>
      </c>
      <c r="Q9" s="49" t="s">
        <v>206</v>
      </c>
      <c r="R9" s="49" t="s">
        <v>207</v>
      </c>
      <c r="S9" s="49" t="s">
        <v>208</v>
      </c>
      <c r="T9" s="49" t="s">
        <v>209</v>
      </c>
      <c r="U9" s="49" t="s">
        <v>210</v>
      </c>
      <c r="V9" s="49" t="s">
        <v>211</v>
      </c>
      <c r="W9" s="49" t="s">
        <v>212</v>
      </c>
      <c r="X9" s="49" t="s">
        <v>213</v>
      </c>
      <c r="Y9" s="49" t="s">
        <v>214</v>
      </c>
      <c r="Z9" s="49" t="s">
        <v>215</v>
      </c>
      <c r="AA9" s="49" t="s">
        <v>216</v>
      </c>
      <c r="AB9" s="49" t="s">
        <v>217</v>
      </c>
      <c r="AC9" s="49" t="s">
        <v>218</v>
      </c>
      <c r="AD9" s="49" t="s">
        <v>219</v>
      </c>
      <c r="AE9" s="49" t="s">
        <v>220</v>
      </c>
      <c r="AF9" s="49" t="s">
        <v>221</v>
      </c>
      <c r="AG9" s="49" t="s">
        <v>222</v>
      </c>
      <c r="AH9" s="49" t="s">
        <v>223</v>
      </c>
      <c r="AI9" s="49" t="s">
        <v>224</v>
      </c>
      <c r="AJ9" s="49" t="s">
        <v>225</v>
      </c>
      <c r="AK9" s="49" t="s">
        <v>226</v>
      </c>
      <c r="AL9" s="49" t="s">
        <v>227</v>
      </c>
      <c r="AM9" s="49" t="s">
        <v>228</v>
      </c>
      <c r="AN9" s="49" t="s">
        <v>229</v>
      </c>
      <c r="AO9" s="49" t="s">
        <v>230</v>
      </c>
      <c r="AP9" s="49" t="s">
        <v>231</v>
      </c>
      <c r="AQ9" s="49" t="s">
        <v>232</v>
      </c>
      <c r="AR9" s="49" t="s">
        <v>233</v>
      </c>
      <c r="AS9" s="49" t="s">
        <v>234</v>
      </c>
      <c r="AT9" s="49" t="s">
        <v>235</v>
      </c>
      <c r="AU9" s="49" t="s">
        <v>236</v>
      </c>
      <c r="AV9" s="49" t="s">
        <v>237</v>
      </c>
      <c r="AW9" s="49" t="s">
        <v>238</v>
      </c>
      <c r="AX9" s="49" t="s">
        <v>239</v>
      </c>
      <c r="AY9" s="49" t="s">
        <v>240</v>
      </c>
      <c r="AZ9" s="49" t="s">
        <v>241</v>
      </c>
      <c r="BA9" s="49" t="s">
        <v>242</v>
      </c>
      <c r="BB9" s="49" t="s">
        <v>243</v>
      </c>
      <c r="BC9" s="49" t="s">
        <v>244</v>
      </c>
      <c r="BD9" s="49" t="s">
        <v>245</v>
      </c>
      <c r="BE9" s="49" t="s">
        <v>246</v>
      </c>
      <c r="BF9" s="49" t="s">
        <v>247</v>
      </c>
      <c r="BG9" s="49" t="s">
        <v>248</v>
      </c>
      <c r="BH9" s="49" t="s">
        <v>249</v>
      </c>
      <c r="BI9" s="49" t="s">
        <v>250</v>
      </c>
      <c r="BJ9" s="49" t="s">
        <v>251</v>
      </c>
      <c r="BK9" s="49" t="s">
        <v>252</v>
      </c>
      <c r="BL9" s="49" t="s">
        <v>267</v>
      </c>
      <c r="BM9" s="49" t="s">
        <v>268</v>
      </c>
      <c r="BN9" s="49" t="s">
        <v>269</v>
      </c>
      <c r="BO9" s="49" t="s">
        <v>270</v>
      </c>
      <c r="BP9" s="49" t="s">
        <v>271</v>
      </c>
      <c r="BQ9" s="49" t="s">
        <v>272</v>
      </c>
      <c r="BR9" s="49" t="s">
        <v>273</v>
      </c>
      <c r="BS9" s="49" t="s">
        <v>274</v>
      </c>
      <c r="BT9" s="49" t="s">
        <v>275</v>
      </c>
      <c r="BU9" s="49" t="s">
        <v>276</v>
      </c>
      <c r="BV9" s="49" t="s">
        <v>277</v>
      </c>
      <c r="BW9" s="49" t="s">
        <v>278</v>
      </c>
      <c r="BX9" s="49" t="s">
        <v>297</v>
      </c>
      <c r="BY9" s="49" t="s">
        <v>298</v>
      </c>
      <c r="BZ9" s="49" t="s">
        <v>299</v>
      </c>
      <c r="CA9" s="49" t="s">
        <v>300</v>
      </c>
      <c r="CB9" s="49" t="s">
        <v>301</v>
      </c>
      <c r="CC9" s="49" t="s">
        <v>302</v>
      </c>
      <c r="CD9" s="49" t="s">
        <v>303</v>
      </c>
      <c r="CE9" s="49" t="s">
        <v>304</v>
      </c>
      <c r="CF9" s="49" t="s">
        <v>305</v>
      </c>
      <c r="CG9" s="49" t="s">
        <v>306</v>
      </c>
      <c r="CH9" s="49" t="s">
        <v>307</v>
      </c>
      <c r="CI9" s="49" t="s">
        <v>308</v>
      </c>
    </row>
    <row r="10" spans="1:87"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4"/>
      <c r="U10" s="24"/>
      <c r="V10" s="28"/>
      <c r="W10" s="24"/>
      <c r="X10" s="24"/>
      <c r="Y10" s="24"/>
      <c r="Z10" s="24"/>
      <c r="AA10" s="24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</row>
    <row r="11" spans="1:87">
      <c r="A11" s="2">
        <v>1</v>
      </c>
      <c r="B11" s="88" t="s">
        <v>151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</row>
    <row r="12" spans="1:87">
      <c r="A12" s="2">
        <v>2</v>
      </c>
      <c r="B12" s="2" t="s">
        <v>253</v>
      </c>
      <c r="C12" s="11">
        <f>'Rate Design'!N12</f>
        <v>3</v>
      </c>
      <c r="D12" s="6">
        <v>100</v>
      </c>
      <c r="E12" s="6">
        <v>111</v>
      </c>
      <c r="F12" s="6">
        <v>150</v>
      </c>
      <c r="G12" s="6">
        <v>373</v>
      </c>
      <c r="H12" s="6">
        <v>310</v>
      </c>
      <c r="I12" s="6">
        <v>251</v>
      </c>
      <c r="J12" s="6">
        <v>186</v>
      </c>
      <c r="K12" s="6">
        <v>93</v>
      </c>
      <c r="L12" s="6">
        <v>65</v>
      </c>
      <c r="M12" s="6">
        <v>37</v>
      </c>
      <c r="N12" s="6">
        <v>53</v>
      </c>
      <c r="O12" s="6">
        <v>50</v>
      </c>
      <c r="P12" s="6">
        <f t="shared" ref="P12:Y13" si="0">D12</f>
        <v>100</v>
      </c>
      <c r="Q12" s="6">
        <f t="shared" si="0"/>
        <v>111</v>
      </c>
      <c r="R12" s="6">
        <f t="shared" si="0"/>
        <v>150</v>
      </c>
      <c r="S12" s="6">
        <f t="shared" si="0"/>
        <v>373</v>
      </c>
      <c r="T12" s="6">
        <f t="shared" si="0"/>
        <v>310</v>
      </c>
      <c r="U12" s="6">
        <f t="shared" si="0"/>
        <v>251</v>
      </c>
      <c r="V12" s="6">
        <f t="shared" si="0"/>
        <v>186</v>
      </c>
      <c r="W12" s="6">
        <f t="shared" si="0"/>
        <v>93</v>
      </c>
      <c r="X12" s="6">
        <f t="shared" si="0"/>
        <v>65</v>
      </c>
      <c r="Y12" s="6">
        <f t="shared" si="0"/>
        <v>37</v>
      </c>
      <c r="Z12" s="6">
        <f t="shared" ref="Z12:AI13" si="1">N12</f>
        <v>53</v>
      </c>
      <c r="AA12" s="6">
        <f t="shared" si="1"/>
        <v>50</v>
      </c>
      <c r="AB12" s="6">
        <f t="shared" si="1"/>
        <v>100</v>
      </c>
      <c r="AC12" s="6">
        <f t="shared" si="1"/>
        <v>111</v>
      </c>
      <c r="AD12" s="6">
        <f t="shared" si="1"/>
        <v>150</v>
      </c>
      <c r="AE12" s="6">
        <f t="shared" si="1"/>
        <v>373</v>
      </c>
      <c r="AF12" s="6">
        <f t="shared" si="1"/>
        <v>310</v>
      </c>
      <c r="AG12" s="6">
        <f t="shared" si="1"/>
        <v>251</v>
      </c>
      <c r="AH12" s="6">
        <f t="shared" si="1"/>
        <v>186</v>
      </c>
      <c r="AI12" s="6">
        <f t="shared" si="1"/>
        <v>93</v>
      </c>
      <c r="AJ12" s="6">
        <f t="shared" ref="AJ12:AS13" si="2">X12</f>
        <v>65</v>
      </c>
      <c r="AK12" s="6">
        <f t="shared" si="2"/>
        <v>37</v>
      </c>
      <c r="AL12" s="6">
        <f t="shared" si="2"/>
        <v>53</v>
      </c>
      <c r="AM12" s="6">
        <f t="shared" si="2"/>
        <v>50</v>
      </c>
      <c r="AN12" s="6">
        <f t="shared" si="2"/>
        <v>100</v>
      </c>
      <c r="AO12" s="6">
        <f t="shared" si="2"/>
        <v>111</v>
      </c>
      <c r="AP12" s="6">
        <f t="shared" si="2"/>
        <v>150</v>
      </c>
      <c r="AQ12" s="6">
        <f t="shared" si="2"/>
        <v>373</v>
      </c>
      <c r="AR12" s="6">
        <f t="shared" si="2"/>
        <v>310</v>
      </c>
      <c r="AS12" s="6">
        <f t="shared" si="2"/>
        <v>251</v>
      </c>
      <c r="AT12" s="6">
        <f t="shared" ref="AT12:BC13" si="3">AH12</f>
        <v>186</v>
      </c>
      <c r="AU12" s="6">
        <f t="shared" si="3"/>
        <v>93</v>
      </c>
      <c r="AV12" s="6">
        <f t="shared" si="3"/>
        <v>65</v>
      </c>
      <c r="AW12" s="6">
        <f t="shared" si="3"/>
        <v>37</v>
      </c>
      <c r="AX12" s="6">
        <f t="shared" si="3"/>
        <v>53</v>
      </c>
      <c r="AY12" s="6">
        <f t="shared" si="3"/>
        <v>50</v>
      </c>
      <c r="AZ12" s="6">
        <f t="shared" si="3"/>
        <v>100</v>
      </c>
      <c r="BA12" s="6">
        <f t="shared" si="3"/>
        <v>111</v>
      </c>
      <c r="BB12" s="6">
        <f t="shared" si="3"/>
        <v>150</v>
      </c>
      <c r="BC12" s="6">
        <f t="shared" si="3"/>
        <v>373</v>
      </c>
      <c r="BD12" s="6">
        <f t="shared" ref="BD12:BK13" si="4">AR12</f>
        <v>310</v>
      </c>
      <c r="BE12" s="6">
        <f t="shared" si="4"/>
        <v>251</v>
      </c>
      <c r="BF12" s="6">
        <f t="shared" si="4"/>
        <v>186</v>
      </c>
      <c r="BG12" s="6">
        <f t="shared" si="4"/>
        <v>93</v>
      </c>
      <c r="BH12" s="6">
        <f t="shared" si="4"/>
        <v>65</v>
      </c>
      <c r="BI12" s="6">
        <f t="shared" si="4"/>
        <v>37</v>
      </c>
      <c r="BJ12" s="6">
        <f t="shared" si="4"/>
        <v>53</v>
      </c>
      <c r="BK12" s="6">
        <f t="shared" si="4"/>
        <v>50</v>
      </c>
      <c r="BL12" s="6">
        <f t="shared" ref="BL12:BW13" si="5">AZ12</f>
        <v>100</v>
      </c>
      <c r="BM12" s="6">
        <f t="shared" si="5"/>
        <v>111</v>
      </c>
      <c r="BN12" s="6">
        <f t="shared" si="5"/>
        <v>150</v>
      </c>
      <c r="BO12" s="6">
        <f t="shared" si="5"/>
        <v>373</v>
      </c>
      <c r="BP12" s="6">
        <f t="shared" si="5"/>
        <v>310</v>
      </c>
      <c r="BQ12" s="6">
        <f t="shared" si="5"/>
        <v>251</v>
      </c>
      <c r="BR12" s="6">
        <f t="shared" si="5"/>
        <v>186</v>
      </c>
      <c r="BS12" s="6">
        <f t="shared" si="5"/>
        <v>93</v>
      </c>
      <c r="BT12" s="6">
        <f t="shared" si="5"/>
        <v>65</v>
      </c>
      <c r="BU12" s="6">
        <f t="shared" si="5"/>
        <v>37</v>
      </c>
      <c r="BV12" s="6">
        <f t="shared" si="5"/>
        <v>53</v>
      </c>
      <c r="BW12" s="6">
        <f t="shared" si="5"/>
        <v>50</v>
      </c>
      <c r="BX12" s="6">
        <f t="shared" ref="BX12:CI13" si="6">BL12</f>
        <v>100</v>
      </c>
      <c r="BY12" s="6">
        <f t="shared" si="6"/>
        <v>111</v>
      </c>
      <c r="BZ12" s="6">
        <f t="shared" si="6"/>
        <v>150</v>
      </c>
      <c r="CA12" s="6">
        <f t="shared" si="6"/>
        <v>373</v>
      </c>
      <c r="CB12" s="6">
        <f t="shared" si="6"/>
        <v>310</v>
      </c>
      <c r="CC12" s="6">
        <f t="shared" si="6"/>
        <v>251</v>
      </c>
      <c r="CD12" s="6">
        <f t="shared" si="6"/>
        <v>186</v>
      </c>
      <c r="CE12" s="6">
        <f t="shared" si="6"/>
        <v>93</v>
      </c>
      <c r="CF12" s="6">
        <f t="shared" si="6"/>
        <v>65</v>
      </c>
      <c r="CG12" s="6">
        <f t="shared" si="6"/>
        <v>37</v>
      </c>
      <c r="CH12" s="6">
        <f t="shared" si="6"/>
        <v>53</v>
      </c>
      <c r="CI12" s="6">
        <f t="shared" si="6"/>
        <v>50</v>
      </c>
    </row>
    <row r="13" spans="1:87">
      <c r="A13" s="2">
        <v>3</v>
      </c>
      <c r="B13" s="2" t="s">
        <v>254</v>
      </c>
      <c r="C13" s="11">
        <f>'Rate Design'!O12</f>
        <v>44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f t="shared" si="0"/>
        <v>0</v>
      </c>
      <c r="Q13" s="6">
        <f t="shared" si="0"/>
        <v>0</v>
      </c>
      <c r="R13" s="6">
        <f t="shared" si="0"/>
        <v>0</v>
      </c>
      <c r="S13" s="6">
        <f t="shared" si="0"/>
        <v>0</v>
      </c>
      <c r="T13" s="6">
        <f t="shared" si="0"/>
        <v>0</v>
      </c>
      <c r="U13" s="6">
        <f t="shared" si="0"/>
        <v>0</v>
      </c>
      <c r="V13" s="6">
        <f t="shared" si="0"/>
        <v>0</v>
      </c>
      <c r="W13" s="6">
        <f t="shared" si="0"/>
        <v>0</v>
      </c>
      <c r="X13" s="6">
        <f t="shared" si="0"/>
        <v>0</v>
      </c>
      <c r="Y13" s="6">
        <f t="shared" si="0"/>
        <v>0</v>
      </c>
      <c r="Z13" s="6">
        <f t="shared" si="1"/>
        <v>0</v>
      </c>
      <c r="AA13" s="6">
        <f t="shared" si="1"/>
        <v>0</v>
      </c>
      <c r="AB13" s="6">
        <f t="shared" si="1"/>
        <v>0</v>
      </c>
      <c r="AC13" s="6">
        <f t="shared" si="1"/>
        <v>0</v>
      </c>
      <c r="AD13" s="6">
        <f t="shared" si="1"/>
        <v>0</v>
      </c>
      <c r="AE13" s="6">
        <f t="shared" si="1"/>
        <v>0</v>
      </c>
      <c r="AF13" s="6">
        <f t="shared" si="1"/>
        <v>0</v>
      </c>
      <c r="AG13" s="6">
        <f t="shared" si="1"/>
        <v>0</v>
      </c>
      <c r="AH13" s="6">
        <f t="shared" si="1"/>
        <v>0</v>
      </c>
      <c r="AI13" s="6">
        <f t="shared" si="1"/>
        <v>0</v>
      </c>
      <c r="AJ13" s="6">
        <f t="shared" si="2"/>
        <v>0</v>
      </c>
      <c r="AK13" s="6">
        <f t="shared" si="2"/>
        <v>0</v>
      </c>
      <c r="AL13" s="6">
        <f t="shared" si="2"/>
        <v>0</v>
      </c>
      <c r="AM13" s="6">
        <f t="shared" si="2"/>
        <v>0</v>
      </c>
      <c r="AN13" s="6">
        <f t="shared" si="2"/>
        <v>0</v>
      </c>
      <c r="AO13" s="6">
        <f t="shared" si="2"/>
        <v>0</v>
      </c>
      <c r="AP13" s="6">
        <f t="shared" si="2"/>
        <v>0</v>
      </c>
      <c r="AQ13" s="6">
        <f t="shared" si="2"/>
        <v>0</v>
      </c>
      <c r="AR13" s="6">
        <f t="shared" si="2"/>
        <v>0</v>
      </c>
      <c r="AS13" s="6">
        <f t="shared" si="2"/>
        <v>0</v>
      </c>
      <c r="AT13" s="6">
        <f t="shared" si="3"/>
        <v>0</v>
      </c>
      <c r="AU13" s="6">
        <f t="shared" si="3"/>
        <v>0</v>
      </c>
      <c r="AV13" s="6">
        <f t="shared" si="3"/>
        <v>0</v>
      </c>
      <c r="AW13" s="6">
        <f t="shared" si="3"/>
        <v>0</v>
      </c>
      <c r="AX13" s="6">
        <f t="shared" si="3"/>
        <v>0</v>
      </c>
      <c r="AY13" s="6">
        <f t="shared" si="3"/>
        <v>0</v>
      </c>
      <c r="AZ13" s="6">
        <f t="shared" si="3"/>
        <v>0</v>
      </c>
      <c r="BA13" s="6">
        <f t="shared" si="3"/>
        <v>0</v>
      </c>
      <c r="BB13" s="6">
        <f t="shared" si="3"/>
        <v>0</v>
      </c>
      <c r="BC13" s="6">
        <f t="shared" si="3"/>
        <v>0</v>
      </c>
      <c r="BD13" s="6">
        <f t="shared" si="4"/>
        <v>0</v>
      </c>
      <c r="BE13" s="6">
        <f t="shared" si="4"/>
        <v>0</v>
      </c>
      <c r="BF13" s="6">
        <f t="shared" si="4"/>
        <v>0</v>
      </c>
      <c r="BG13" s="6">
        <f t="shared" si="4"/>
        <v>0</v>
      </c>
      <c r="BH13" s="6">
        <f t="shared" si="4"/>
        <v>0</v>
      </c>
      <c r="BI13" s="6">
        <f t="shared" si="4"/>
        <v>0</v>
      </c>
      <c r="BJ13" s="6">
        <f t="shared" si="4"/>
        <v>0</v>
      </c>
      <c r="BK13" s="6">
        <f t="shared" si="4"/>
        <v>0</v>
      </c>
      <c r="BL13" s="6">
        <f t="shared" si="5"/>
        <v>0</v>
      </c>
      <c r="BM13" s="6">
        <f t="shared" si="5"/>
        <v>0</v>
      </c>
      <c r="BN13" s="6">
        <f t="shared" si="5"/>
        <v>0</v>
      </c>
      <c r="BO13" s="6">
        <f t="shared" si="5"/>
        <v>0</v>
      </c>
      <c r="BP13" s="6">
        <f t="shared" si="5"/>
        <v>0</v>
      </c>
      <c r="BQ13" s="6">
        <f t="shared" si="5"/>
        <v>0</v>
      </c>
      <c r="BR13" s="6">
        <f t="shared" si="5"/>
        <v>0</v>
      </c>
      <c r="BS13" s="6">
        <f t="shared" si="5"/>
        <v>0</v>
      </c>
      <c r="BT13" s="6">
        <f t="shared" si="5"/>
        <v>0</v>
      </c>
      <c r="BU13" s="6">
        <f t="shared" si="5"/>
        <v>0</v>
      </c>
      <c r="BV13" s="6">
        <f t="shared" si="5"/>
        <v>0</v>
      </c>
      <c r="BW13" s="6">
        <f t="shared" si="5"/>
        <v>0</v>
      </c>
      <c r="BX13" s="6">
        <f t="shared" si="6"/>
        <v>0</v>
      </c>
      <c r="BY13" s="6">
        <f t="shared" si="6"/>
        <v>0</v>
      </c>
      <c r="BZ13" s="6">
        <f t="shared" si="6"/>
        <v>0</v>
      </c>
      <c r="CA13" s="6">
        <f t="shared" si="6"/>
        <v>0</v>
      </c>
      <c r="CB13" s="6">
        <f t="shared" si="6"/>
        <v>0</v>
      </c>
      <c r="CC13" s="6">
        <f t="shared" si="6"/>
        <v>0</v>
      </c>
      <c r="CD13" s="6">
        <f t="shared" si="6"/>
        <v>0</v>
      </c>
      <c r="CE13" s="6">
        <f t="shared" si="6"/>
        <v>0</v>
      </c>
      <c r="CF13" s="6">
        <f t="shared" si="6"/>
        <v>0</v>
      </c>
      <c r="CG13" s="6">
        <f t="shared" si="6"/>
        <v>0</v>
      </c>
      <c r="CH13" s="6">
        <f t="shared" si="6"/>
        <v>0</v>
      </c>
      <c r="CI13" s="6">
        <f t="shared" si="6"/>
        <v>0</v>
      </c>
    </row>
    <row r="14" spans="1:87">
      <c r="A14" s="2">
        <v>6</v>
      </c>
      <c r="B14" s="21" t="s">
        <v>258</v>
      </c>
      <c r="C14" s="21"/>
      <c r="D14" s="20">
        <f>D12+D13</f>
        <v>100</v>
      </c>
      <c r="E14" s="20">
        <f t="shared" ref="E14:O14" si="7">E12+E13</f>
        <v>111</v>
      </c>
      <c r="F14" s="20">
        <f t="shared" si="7"/>
        <v>150</v>
      </c>
      <c r="G14" s="20">
        <f t="shared" si="7"/>
        <v>373</v>
      </c>
      <c r="H14" s="20">
        <f t="shared" si="7"/>
        <v>310</v>
      </c>
      <c r="I14" s="20">
        <f t="shared" si="7"/>
        <v>251</v>
      </c>
      <c r="J14" s="20">
        <f t="shared" si="7"/>
        <v>186</v>
      </c>
      <c r="K14" s="20">
        <f t="shared" si="7"/>
        <v>93</v>
      </c>
      <c r="L14" s="20">
        <f t="shared" si="7"/>
        <v>65</v>
      </c>
      <c r="M14" s="20">
        <f t="shared" si="7"/>
        <v>37</v>
      </c>
      <c r="N14" s="20">
        <f t="shared" si="7"/>
        <v>53</v>
      </c>
      <c r="O14" s="20">
        <f t="shared" si="7"/>
        <v>50</v>
      </c>
      <c r="P14" s="20">
        <f t="shared" ref="P14:BK14" si="8">P12+P13</f>
        <v>100</v>
      </c>
      <c r="Q14" s="20">
        <f t="shared" si="8"/>
        <v>111</v>
      </c>
      <c r="R14" s="20">
        <f t="shared" si="8"/>
        <v>150</v>
      </c>
      <c r="S14" s="20">
        <f t="shared" si="8"/>
        <v>373</v>
      </c>
      <c r="T14" s="20">
        <f t="shared" si="8"/>
        <v>310</v>
      </c>
      <c r="U14" s="20">
        <f t="shared" si="8"/>
        <v>251</v>
      </c>
      <c r="V14" s="20">
        <f t="shared" si="8"/>
        <v>186</v>
      </c>
      <c r="W14" s="20">
        <f t="shared" si="8"/>
        <v>93</v>
      </c>
      <c r="X14" s="20">
        <f t="shared" si="8"/>
        <v>65</v>
      </c>
      <c r="Y14" s="20">
        <f t="shared" si="8"/>
        <v>37</v>
      </c>
      <c r="Z14" s="20">
        <f t="shared" si="8"/>
        <v>53</v>
      </c>
      <c r="AA14" s="20">
        <f t="shared" si="8"/>
        <v>50</v>
      </c>
      <c r="AB14" s="20">
        <f t="shared" si="8"/>
        <v>100</v>
      </c>
      <c r="AC14" s="20">
        <f t="shared" si="8"/>
        <v>111</v>
      </c>
      <c r="AD14" s="20">
        <f t="shared" si="8"/>
        <v>150</v>
      </c>
      <c r="AE14" s="20">
        <f t="shared" si="8"/>
        <v>373</v>
      </c>
      <c r="AF14" s="20">
        <f t="shared" si="8"/>
        <v>310</v>
      </c>
      <c r="AG14" s="20">
        <f t="shared" si="8"/>
        <v>251</v>
      </c>
      <c r="AH14" s="20">
        <f t="shared" si="8"/>
        <v>186</v>
      </c>
      <c r="AI14" s="20">
        <f t="shared" si="8"/>
        <v>93</v>
      </c>
      <c r="AJ14" s="20">
        <f t="shared" si="8"/>
        <v>65</v>
      </c>
      <c r="AK14" s="20">
        <f t="shared" si="8"/>
        <v>37</v>
      </c>
      <c r="AL14" s="20">
        <f t="shared" si="8"/>
        <v>53</v>
      </c>
      <c r="AM14" s="20">
        <f t="shared" si="8"/>
        <v>50</v>
      </c>
      <c r="AN14" s="20">
        <f t="shared" si="8"/>
        <v>100</v>
      </c>
      <c r="AO14" s="20">
        <f t="shared" si="8"/>
        <v>111</v>
      </c>
      <c r="AP14" s="20">
        <f t="shared" si="8"/>
        <v>150</v>
      </c>
      <c r="AQ14" s="20">
        <f t="shared" si="8"/>
        <v>373</v>
      </c>
      <c r="AR14" s="20">
        <f t="shared" si="8"/>
        <v>310</v>
      </c>
      <c r="AS14" s="20">
        <f t="shared" si="8"/>
        <v>251</v>
      </c>
      <c r="AT14" s="20">
        <f t="shared" si="8"/>
        <v>186</v>
      </c>
      <c r="AU14" s="20">
        <f t="shared" si="8"/>
        <v>93</v>
      </c>
      <c r="AV14" s="20">
        <f t="shared" si="8"/>
        <v>65</v>
      </c>
      <c r="AW14" s="20">
        <f t="shared" si="8"/>
        <v>37</v>
      </c>
      <c r="AX14" s="20">
        <f t="shared" si="8"/>
        <v>53</v>
      </c>
      <c r="AY14" s="20">
        <f t="shared" si="8"/>
        <v>50</v>
      </c>
      <c r="AZ14" s="20">
        <f t="shared" si="8"/>
        <v>100</v>
      </c>
      <c r="BA14" s="20">
        <f t="shared" si="8"/>
        <v>111</v>
      </c>
      <c r="BB14" s="20">
        <f t="shared" si="8"/>
        <v>150</v>
      </c>
      <c r="BC14" s="20">
        <f t="shared" si="8"/>
        <v>373</v>
      </c>
      <c r="BD14" s="20">
        <f t="shared" si="8"/>
        <v>310</v>
      </c>
      <c r="BE14" s="20">
        <f t="shared" si="8"/>
        <v>251</v>
      </c>
      <c r="BF14" s="20">
        <f t="shared" si="8"/>
        <v>186</v>
      </c>
      <c r="BG14" s="20">
        <f t="shared" si="8"/>
        <v>93</v>
      </c>
      <c r="BH14" s="20">
        <f t="shared" si="8"/>
        <v>65</v>
      </c>
      <c r="BI14" s="20">
        <f t="shared" si="8"/>
        <v>37</v>
      </c>
      <c r="BJ14" s="20">
        <f t="shared" si="8"/>
        <v>53</v>
      </c>
      <c r="BK14" s="20">
        <f t="shared" si="8"/>
        <v>50</v>
      </c>
      <c r="BL14" s="20">
        <f t="shared" ref="BL14:BW14" si="9">BL12+BL13</f>
        <v>100</v>
      </c>
      <c r="BM14" s="20">
        <f t="shared" si="9"/>
        <v>111</v>
      </c>
      <c r="BN14" s="20">
        <f t="shared" si="9"/>
        <v>150</v>
      </c>
      <c r="BO14" s="20">
        <f t="shared" si="9"/>
        <v>373</v>
      </c>
      <c r="BP14" s="20">
        <f t="shared" si="9"/>
        <v>310</v>
      </c>
      <c r="BQ14" s="20">
        <f t="shared" si="9"/>
        <v>251</v>
      </c>
      <c r="BR14" s="20">
        <f t="shared" si="9"/>
        <v>186</v>
      </c>
      <c r="BS14" s="20">
        <f t="shared" si="9"/>
        <v>93</v>
      </c>
      <c r="BT14" s="20">
        <f t="shared" si="9"/>
        <v>65</v>
      </c>
      <c r="BU14" s="20">
        <f t="shared" si="9"/>
        <v>37</v>
      </c>
      <c r="BV14" s="20">
        <f t="shared" si="9"/>
        <v>53</v>
      </c>
      <c r="BW14" s="20">
        <f t="shared" si="9"/>
        <v>50</v>
      </c>
      <c r="BX14" s="20">
        <f t="shared" ref="BX14:CI14" si="10">BX12+BX13</f>
        <v>100</v>
      </c>
      <c r="BY14" s="20">
        <f t="shared" si="10"/>
        <v>111</v>
      </c>
      <c r="BZ14" s="20">
        <f t="shared" si="10"/>
        <v>150</v>
      </c>
      <c r="CA14" s="20">
        <f t="shared" si="10"/>
        <v>373</v>
      </c>
      <c r="CB14" s="20">
        <f t="shared" si="10"/>
        <v>310</v>
      </c>
      <c r="CC14" s="20">
        <f t="shared" si="10"/>
        <v>251</v>
      </c>
      <c r="CD14" s="20">
        <f t="shared" si="10"/>
        <v>186</v>
      </c>
      <c r="CE14" s="20">
        <f t="shared" si="10"/>
        <v>93</v>
      </c>
      <c r="CF14" s="20">
        <f t="shared" si="10"/>
        <v>65</v>
      </c>
      <c r="CG14" s="20">
        <f t="shared" si="10"/>
        <v>37</v>
      </c>
      <c r="CH14" s="20">
        <f t="shared" si="10"/>
        <v>53</v>
      </c>
      <c r="CI14" s="20">
        <f t="shared" si="10"/>
        <v>50</v>
      </c>
    </row>
    <row r="15" spans="1:87">
      <c r="A15" s="2">
        <v>7</v>
      </c>
      <c r="B15" s="21" t="s">
        <v>259</v>
      </c>
      <c r="C15" s="21"/>
      <c r="D15" s="546">
        <f t="shared" ref="D15:O15" si="11">$C$12*D12+$C$13*D13</f>
        <v>300</v>
      </c>
      <c r="E15" s="546">
        <f t="shared" si="11"/>
        <v>333</v>
      </c>
      <c r="F15" s="546">
        <f t="shared" si="11"/>
        <v>450</v>
      </c>
      <c r="G15" s="546">
        <f t="shared" si="11"/>
        <v>1119</v>
      </c>
      <c r="H15" s="546">
        <f t="shared" si="11"/>
        <v>930</v>
      </c>
      <c r="I15" s="546">
        <f t="shared" si="11"/>
        <v>753</v>
      </c>
      <c r="J15" s="546">
        <f t="shared" si="11"/>
        <v>558</v>
      </c>
      <c r="K15" s="546">
        <f t="shared" si="11"/>
        <v>279</v>
      </c>
      <c r="L15" s="546">
        <f t="shared" si="11"/>
        <v>195</v>
      </c>
      <c r="M15" s="546">
        <f t="shared" si="11"/>
        <v>111</v>
      </c>
      <c r="N15" s="546">
        <f t="shared" si="11"/>
        <v>159</v>
      </c>
      <c r="O15" s="546">
        <f t="shared" si="11"/>
        <v>150</v>
      </c>
      <c r="P15" s="546">
        <f t="shared" ref="P15:BK15" si="12">$C$12*P12+$C$13*P13</f>
        <v>300</v>
      </c>
      <c r="Q15" s="546">
        <f t="shared" si="12"/>
        <v>333</v>
      </c>
      <c r="R15" s="546">
        <f t="shared" si="12"/>
        <v>450</v>
      </c>
      <c r="S15" s="546">
        <f t="shared" si="12"/>
        <v>1119</v>
      </c>
      <c r="T15" s="546">
        <f t="shared" si="12"/>
        <v>930</v>
      </c>
      <c r="U15" s="546">
        <f t="shared" si="12"/>
        <v>753</v>
      </c>
      <c r="V15" s="546">
        <f t="shared" si="12"/>
        <v>558</v>
      </c>
      <c r="W15" s="546">
        <f t="shared" si="12"/>
        <v>279</v>
      </c>
      <c r="X15" s="546">
        <f t="shared" si="12"/>
        <v>195</v>
      </c>
      <c r="Y15" s="546">
        <f t="shared" si="12"/>
        <v>111</v>
      </c>
      <c r="Z15" s="546">
        <f t="shared" si="12"/>
        <v>159</v>
      </c>
      <c r="AA15" s="546">
        <f t="shared" si="12"/>
        <v>150</v>
      </c>
      <c r="AB15" s="546">
        <f t="shared" si="12"/>
        <v>300</v>
      </c>
      <c r="AC15" s="546">
        <f t="shared" si="12"/>
        <v>333</v>
      </c>
      <c r="AD15" s="546">
        <f t="shared" si="12"/>
        <v>450</v>
      </c>
      <c r="AE15" s="546">
        <f t="shared" si="12"/>
        <v>1119</v>
      </c>
      <c r="AF15" s="546">
        <f t="shared" si="12"/>
        <v>930</v>
      </c>
      <c r="AG15" s="546">
        <f t="shared" si="12"/>
        <v>753</v>
      </c>
      <c r="AH15" s="546">
        <f t="shared" si="12"/>
        <v>558</v>
      </c>
      <c r="AI15" s="546">
        <f t="shared" si="12"/>
        <v>279</v>
      </c>
      <c r="AJ15" s="546">
        <f t="shared" si="12"/>
        <v>195</v>
      </c>
      <c r="AK15" s="546">
        <f t="shared" si="12"/>
        <v>111</v>
      </c>
      <c r="AL15" s="546">
        <f t="shared" si="12"/>
        <v>159</v>
      </c>
      <c r="AM15" s="546">
        <f t="shared" si="12"/>
        <v>150</v>
      </c>
      <c r="AN15" s="546">
        <f t="shared" si="12"/>
        <v>300</v>
      </c>
      <c r="AO15" s="546">
        <f t="shared" si="12"/>
        <v>333</v>
      </c>
      <c r="AP15" s="546">
        <f t="shared" si="12"/>
        <v>450</v>
      </c>
      <c r="AQ15" s="546">
        <f t="shared" si="12"/>
        <v>1119</v>
      </c>
      <c r="AR15" s="546">
        <f t="shared" si="12"/>
        <v>930</v>
      </c>
      <c r="AS15" s="546">
        <f t="shared" si="12"/>
        <v>753</v>
      </c>
      <c r="AT15" s="546">
        <f t="shared" si="12"/>
        <v>558</v>
      </c>
      <c r="AU15" s="546">
        <f t="shared" si="12"/>
        <v>279</v>
      </c>
      <c r="AV15" s="546">
        <f t="shared" si="12"/>
        <v>195</v>
      </c>
      <c r="AW15" s="546">
        <f t="shared" si="12"/>
        <v>111</v>
      </c>
      <c r="AX15" s="546">
        <f t="shared" si="12"/>
        <v>159</v>
      </c>
      <c r="AY15" s="546">
        <f t="shared" si="12"/>
        <v>150</v>
      </c>
      <c r="AZ15" s="546">
        <f t="shared" si="12"/>
        <v>300</v>
      </c>
      <c r="BA15" s="546">
        <f t="shared" si="12"/>
        <v>333</v>
      </c>
      <c r="BB15" s="546">
        <f t="shared" si="12"/>
        <v>450</v>
      </c>
      <c r="BC15" s="546">
        <f t="shared" si="12"/>
        <v>1119</v>
      </c>
      <c r="BD15" s="546">
        <f t="shared" si="12"/>
        <v>930</v>
      </c>
      <c r="BE15" s="546">
        <f t="shared" si="12"/>
        <v>753</v>
      </c>
      <c r="BF15" s="546">
        <f t="shared" si="12"/>
        <v>558</v>
      </c>
      <c r="BG15" s="546">
        <f t="shared" si="12"/>
        <v>279</v>
      </c>
      <c r="BH15" s="546">
        <f t="shared" si="12"/>
        <v>195</v>
      </c>
      <c r="BI15" s="546">
        <f t="shared" si="12"/>
        <v>111</v>
      </c>
      <c r="BJ15" s="546">
        <f t="shared" si="12"/>
        <v>159</v>
      </c>
      <c r="BK15" s="546">
        <f t="shared" si="12"/>
        <v>150</v>
      </c>
      <c r="BL15" s="546">
        <f t="shared" ref="BL15:BW15" si="13">$C$12*BL12+$C$13*BL13</f>
        <v>300</v>
      </c>
      <c r="BM15" s="546">
        <f t="shared" si="13"/>
        <v>333</v>
      </c>
      <c r="BN15" s="546">
        <f t="shared" si="13"/>
        <v>450</v>
      </c>
      <c r="BO15" s="546">
        <f t="shared" si="13"/>
        <v>1119</v>
      </c>
      <c r="BP15" s="546">
        <f t="shared" si="13"/>
        <v>930</v>
      </c>
      <c r="BQ15" s="546">
        <f t="shared" si="13"/>
        <v>753</v>
      </c>
      <c r="BR15" s="546">
        <f t="shared" si="13"/>
        <v>558</v>
      </c>
      <c r="BS15" s="546">
        <f t="shared" si="13"/>
        <v>279</v>
      </c>
      <c r="BT15" s="546">
        <f t="shared" si="13"/>
        <v>195</v>
      </c>
      <c r="BU15" s="546">
        <f t="shared" si="13"/>
        <v>111</v>
      </c>
      <c r="BV15" s="546">
        <f t="shared" si="13"/>
        <v>159</v>
      </c>
      <c r="BW15" s="546">
        <f t="shared" si="13"/>
        <v>150</v>
      </c>
      <c r="BX15" s="546">
        <f t="shared" ref="BX15:CI15" si="14">$C$12*BX12+$C$13*BX13</f>
        <v>300</v>
      </c>
      <c r="BY15" s="546">
        <f t="shared" si="14"/>
        <v>333</v>
      </c>
      <c r="BZ15" s="546">
        <f t="shared" si="14"/>
        <v>450</v>
      </c>
      <c r="CA15" s="546">
        <f t="shared" si="14"/>
        <v>1119</v>
      </c>
      <c r="CB15" s="546">
        <f t="shared" si="14"/>
        <v>930</v>
      </c>
      <c r="CC15" s="546">
        <f t="shared" si="14"/>
        <v>753</v>
      </c>
      <c r="CD15" s="546">
        <f t="shared" si="14"/>
        <v>558</v>
      </c>
      <c r="CE15" s="546">
        <f t="shared" si="14"/>
        <v>279</v>
      </c>
      <c r="CF15" s="546">
        <f t="shared" si="14"/>
        <v>195</v>
      </c>
      <c r="CG15" s="546">
        <f t="shared" si="14"/>
        <v>111</v>
      </c>
      <c r="CH15" s="546">
        <f t="shared" si="14"/>
        <v>159</v>
      </c>
      <c r="CI15" s="546">
        <f t="shared" si="14"/>
        <v>150</v>
      </c>
    </row>
    <row r="16" spans="1:87">
      <c r="A16" s="2">
        <v>8</v>
      </c>
    </row>
    <row r="17" spans="1:87">
      <c r="A17" s="2">
        <v>9</v>
      </c>
      <c r="B17" s="88" t="s">
        <v>255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</row>
    <row r="18" spans="1:87">
      <c r="A18" s="2">
        <v>10</v>
      </c>
      <c r="B18" s="2" t="s">
        <v>253</v>
      </c>
      <c r="C18" s="11">
        <f>'Rate Design'!N13</f>
        <v>3</v>
      </c>
      <c r="D18" s="6">
        <v>303</v>
      </c>
      <c r="E18" s="6">
        <v>378</v>
      </c>
      <c r="F18" s="6">
        <v>526</v>
      </c>
      <c r="G18" s="6">
        <v>1825</v>
      </c>
      <c r="H18" s="6">
        <v>1626</v>
      </c>
      <c r="I18" s="6">
        <v>696</v>
      </c>
      <c r="J18" s="6">
        <v>683</v>
      </c>
      <c r="K18" s="6">
        <v>241</v>
      </c>
      <c r="L18" s="6">
        <v>227</v>
      </c>
      <c r="M18" s="6">
        <v>126</v>
      </c>
      <c r="N18" s="6">
        <v>213</v>
      </c>
      <c r="O18" s="6">
        <v>236</v>
      </c>
      <c r="P18" s="6">
        <f>D18</f>
        <v>303</v>
      </c>
      <c r="Q18" s="6">
        <f t="shared" ref="Q18:BK19" si="15">E18</f>
        <v>378</v>
      </c>
      <c r="R18" s="6">
        <f t="shared" si="15"/>
        <v>526</v>
      </c>
      <c r="S18" s="6">
        <f t="shared" si="15"/>
        <v>1825</v>
      </c>
      <c r="T18" s="6">
        <f t="shared" si="15"/>
        <v>1626</v>
      </c>
      <c r="U18" s="6">
        <f t="shared" si="15"/>
        <v>696</v>
      </c>
      <c r="V18" s="6">
        <f t="shared" si="15"/>
        <v>683</v>
      </c>
      <c r="W18" s="6">
        <f t="shared" si="15"/>
        <v>241</v>
      </c>
      <c r="X18" s="6">
        <f t="shared" si="15"/>
        <v>227</v>
      </c>
      <c r="Y18" s="6">
        <f t="shared" si="15"/>
        <v>126</v>
      </c>
      <c r="Z18" s="6">
        <f t="shared" si="15"/>
        <v>213</v>
      </c>
      <c r="AA18" s="6">
        <f t="shared" si="15"/>
        <v>236</v>
      </c>
      <c r="AB18" s="6">
        <f t="shared" si="15"/>
        <v>303</v>
      </c>
      <c r="AC18" s="6">
        <f t="shared" si="15"/>
        <v>378</v>
      </c>
      <c r="AD18" s="6">
        <f t="shared" si="15"/>
        <v>526</v>
      </c>
      <c r="AE18" s="6">
        <f t="shared" si="15"/>
        <v>1825</v>
      </c>
      <c r="AF18" s="6">
        <f t="shared" si="15"/>
        <v>1626</v>
      </c>
      <c r="AG18" s="6">
        <f t="shared" si="15"/>
        <v>696</v>
      </c>
      <c r="AH18" s="6">
        <f t="shared" si="15"/>
        <v>683</v>
      </c>
      <c r="AI18" s="6">
        <f t="shared" si="15"/>
        <v>241</v>
      </c>
      <c r="AJ18" s="6">
        <f t="shared" si="15"/>
        <v>227</v>
      </c>
      <c r="AK18" s="6">
        <f t="shared" si="15"/>
        <v>126</v>
      </c>
      <c r="AL18" s="6">
        <f t="shared" si="15"/>
        <v>213</v>
      </c>
      <c r="AM18" s="6">
        <f t="shared" si="15"/>
        <v>236</v>
      </c>
      <c r="AN18" s="6">
        <f t="shared" si="15"/>
        <v>303</v>
      </c>
      <c r="AO18" s="6">
        <f t="shared" si="15"/>
        <v>378</v>
      </c>
      <c r="AP18" s="6">
        <f t="shared" si="15"/>
        <v>526</v>
      </c>
      <c r="AQ18" s="6">
        <f t="shared" si="15"/>
        <v>1825</v>
      </c>
      <c r="AR18" s="6">
        <f t="shared" si="15"/>
        <v>1626</v>
      </c>
      <c r="AS18" s="6">
        <f t="shared" si="15"/>
        <v>696</v>
      </c>
      <c r="AT18" s="6">
        <f t="shared" si="15"/>
        <v>683</v>
      </c>
      <c r="AU18" s="6">
        <f t="shared" si="15"/>
        <v>241</v>
      </c>
      <c r="AV18" s="6">
        <f t="shared" si="15"/>
        <v>227</v>
      </c>
      <c r="AW18" s="6">
        <f t="shared" si="15"/>
        <v>126</v>
      </c>
      <c r="AX18" s="6">
        <f t="shared" si="15"/>
        <v>213</v>
      </c>
      <c r="AY18" s="6">
        <f t="shared" si="15"/>
        <v>236</v>
      </c>
      <c r="AZ18" s="6">
        <f t="shared" si="15"/>
        <v>303</v>
      </c>
      <c r="BA18" s="6">
        <f t="shared" si="15"/>
        <v>378</v>
      </c>
      <c r="BB18" s="6">
        <f t="shared" si="15"/>
        <v>526</v>
      </c>
      <c r="BC18" s="6">
        <f t="shared" si="15"/>
        <v>1825</v>
      </c>
      <c r="BD18" s="6">
        <f t="shared" si="15"/>
        <v>1626</v>
      </c>
      <c r="BE18" s="6">
        <f t="shared" si="15"/>
        <v>696</v>
      </c>
      <c r="BF18" s="6">
        <f t="shared" si="15"/>
        <v>683</v>
      </c>
      <c r="BG18" s="6">
        <f t="shared" si="15"/>
        <v>241</v>
      </c>
      <c r="BH18" s="6">
        <f t="shared" si="15"/>
        <v>227</v>
      </c>
      <c r="BI18" s="6">
        <f t="shared" si="15"/>
        <v>126</v>
      </c>
      <c r="BJ18" s="6">
        <f t="shared" si="15"/>
        <v>213</v>
      </c>
      <c r="BK18" s="6">
        <f t="shared" si="15"/>
        <v>236</v>
      </c>
      <c r="BL18" s="6">
        <f t="shared" ref="BL18:BW19" si="16">AZ18</f>
        <v>303</v>
      </c>
      <c r="BM18" s="6">
        <f t="shared" si="16"/>
        <v>378</v>
      </c>
      <c r="BN18" s="6">
        <f t="shared" si="16"/>
        <v>526</v>
      </c>
      <c r="BO18" s="6">
        <f t="shared" si="16"/>
        <v>1825</v>
      </c>
      <c r="BP18" s="6">
        <f t="shared" si="16"/>
        <v>1626</v>
      </c>
      <c r="BQ18" s="6">
        <f t="shared" si="16"/>
        <v>696</v>
      </c>
      <c r="BR18" s="6">
        <f t="shared" si="16"/>
        <v>683</v>
      </c>
      <c r="BS18" s="6">
        <f t="shared" si="16"/>
        <v>241</v>
      </c>
      <c r="BT18" s="6">
        <f t="shared" si="16"/>
        <v>227</v>
      </c>
      <c r="BU18" s="6">
        <f t="shared" si="16"/>
        <v>126</v>
      </c>
      <c r="BV18" s="6">
        <f t="shared" si="16"/>
        <v>213</v>
      </c>
      <c r="BW18" s="6">
        <f t="shared" si="16"/>
        <v>236</v>
      </c>
      <c r="BX18" s="6">
        <f t="shared" ref="BX18:CI19" si="17">BL18</f>
        <v>303</v>
      </c>
      <c r="BY18" s="6">
        <f t="shared" si="17"/>
        <v>378</v>
      </c>
      <c r="BZ18" s="6">
        <f t="shared" si="17"/>
        <v>526</v>
      </c>
      <c r="CA18" s="6">
        <f t="shared" si="17"/>
        <v>1825</v>
      </c>
      <c r="CB18" s="6">
        <f t="shared" si="17"/>
        <v>1626</v>
      </c>
      <c r="CC18" s="6">
        <f t="shared" si="17"/>
        <v>696</v>
      </c>
      <c r="CD18" s="6">
        <f t="shared" si="17"/>
        <v>683</v>
      </c>
      <c r="CE18" s="6">
        <f t="shared" si="17"/>
        <v>241</v>
      </c>
      <c r="CF18" s="6">
        <f t="shared" si="17"/>
        <v>227</v>
      </c>
      <c r="CG18" s="6">
        <f t="shared" si="17"/>
        <v>126</v>
      </c>
      <c r="CH18" s="6">
        <f t="shared" si="17"/>
        <v>213</v>
      </c>
      <c r="CI18" s="6">
        <f t="shared" si="17"/>
        <v>236</v>
      </c>
    </row>
    <row r="19" spans="1:87">
      <c r="A19" s="2">
        <v>11</v>
      </c>
      <c r="B19" s="2" t="s">
        <v>254</v>
      </c>
      <c r="C19" s="11">
        <f>'Rate Design'!O13</f>
        <v>28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f>D19</f>
        <v>0</v>
      </c>
      <c r="Q19" s="6">
        <f t="shared" si="15"/>
        <v>0</v>
      </c>
      <c r="R19" s="6">
        <f t="shared" si="15"/>
        <v>0</v>
      </c>
      <c r="S19" s="6">
        <f t="shared" si="15"/>
        <v>0</v>
      </c>
      <c r="T19" s="6">
        <f t="shared" si="15"/>
        <v>0</v>
      </c>
      <c r="U19" s="6">
        <f t="shared" si="15"/>
        <v>0</v>
      </c>
      <c r="V19" s="6">
        <f t="shared" si="15"/>
        <v>0</v>
      </c>
      <c r="W19" s="6">
        <f t="shared" si="15"/>
        <v>0</v>
      </c>
      <c r="X19" s="6">
        <f t="shared" si="15"/>
        <v>0</v>
      </c>
      <c r="Y19" s="6">
        <f t="shared" si="15"/>
        <v>0</v>
      </c>
      <c r="Z19" s="6">
        <f t="shared" si="15"/>
        <v>0</v>
      </c>
      <c r="AA19" s="6">
        <f t="shared" si="15"/>
        <v>0</v>
      </c>
      <c r="AB19" s="6">
        <f t="shared" si="15"/>
        <v>0</v>
      </c>
      <c r="AC19" s="6">
        <f t="shared" si="15"/>
        <v>0</v>
      </c>
      <c r="AD19" s="6">
        <f t="shared" si="15"/>
        <v>0</v>
      </c>
      <c r="AE19" s="6">
        <f t="shared" si="15"/>
        <v>0</v>
      </c>
      <c r="AF19" s="6">
        <f t="shared" si="15"/>
        <v>0</v>
      </c>
      <c r="AG19" s="6">
        <f t="shared" si="15"/>
        <v>0</v>
      </c>
      <c r="AH19" s="6">
        <f t="shared" si="15"/>
        <v>0</v>
      </c>
      <c r="AI19" s="6">
        <f t="shared" si="15"/>
        <v>0</v>
      </c>
      <c r="AJ19" s="6">
        <f t="shared" si="15"/>
        <v>0</v>
      </c>
      <c r="AK19" s="6">
        <f t="shared" si="15"/>
        <v>0</v>
      </c>
      <c r="AL19" s="6">
        <f t="shared" si="15"/>
        <v>0</v>
      </c>
      <c r="AM19" s="6">
        <f t="shared" si="15"/>
        <v>0</v>
      </c>
      <c r="AN19" s="6">
        <f t="shared" si="15"/>
        <v>0</v>
      </c>
      <c r="AO19" s="6">
        <f t="shared" si="15"/>
        <v>0</v>
      </c>
      <c r="AP19" s="6">
        <f t="shared" si="15"/>
        <v>0</v>
      </c>
      <c r="AQ19" s="6">
        <f t="shared" si="15"/>
        <v>0</v>
      </c>
      <c r="AR19" s="6">
        <f t="shared" si="15"/>
        <v>0</v>
      </c>
      <c r="AS19" s="6">
        <f t="shared" si="15"/>
        <v>0</v>
      </c>
      <c r="AT19" s="6">
        <f t="shared" si="15"/>
        <v>0</v>
      </c>
      <c r="AU19" s="6">
        <f t="shared" si="15"/>
        <v>0</v>
      </c>
      <c r="AV19" s="6">
        <f t="shared" si="15"/>
        <v>0</v>
      </c>
      <c r="AW19" s="6">
        <f t="shared" si="15"/>
        <v>0</v>
      </c>
      <c r="AX19" s="6">
        <f t="shared" si="15"/>
        <v>0</v>
      </c>
      <c r="AY19" s="6">
        <f t="shared" si="15"/>
        <v>0</v>
      </c>
      <c r="AZ19" s="6">
        <f t="shared" si="15"/>
        <v>0</v>
      </c>
      <c r="BA19" s="6">
        <f t="shared" si="15"/>
        <v>0</v>
      </c>
      <c r="BB19" s="6">
        <f t="shared" si="15"/>
        <v>0</v>
      </c>
      <c r="BC19" s="6">
        <f t="shared" si="15"/>
        <v>0</v>
      </c>
      <c r="BD19" s="6">
        <f t="shared" si="15"/>
        <v>0</v>
      </c>
      <c r="BE19" s="6">
        <f t="shared" si="15"/>
        <v>0</v>
      </c>
      <c r="BF19" s="6">
        <f t="shared" si="15"/>
        <v>0</v>
      </c>
      <c r="BG19" s="6">
        <f t="shared" si="15"/>
        <v>0</v>
      </c>
      <c r="BH19" s="6">
        <f t="shared" si="15"/>
        <v>0</v>
      </c>
      <c r="BI19" s="6">
        <f t="shared" si="15"/>
        <v>0</v>
      </c>
      <c r="BJ19" s="6">
        <f t="shared" si="15"/>
        <v>0</v>
      </c>
      <c r="BK19" s="6">
        <f t="shared" si="15"/>
        <v>0</v>
      </c>
      <c r="BL19" s="6">
        <f t="shared" si="16"/>
        <v>0</v>
      </c>
      <c r="BM19" s="6">
        <f t="shared" si="16"/>
        <v>0</v>
      </c>
      <c r="BN19" s="6">
        <f t="shared" si="16"/>
        <v>0</v>
      </c>
      <c r="BO19" s="6">
        <f t="shared" si="16"/>
        <v>0</v>
      </c>
      <c r="BP19" s="6">
        <f t="shared" si="16"/>
        <v>0</v>
      </c>
      <c r="BQ19" s="6">
        <f t="shared" si="16"/>
        <v>0</v>
      </c>
      <c r="BR19" s="6">
        <f t="shared" si="16"/>
        <v>0</v>
      </c>
      <c r="BS19" s="6">
        <f t="shared" si="16"/>
        <v>0</v>
      </c>
      <c r="BT19" s="6">
        <f t="shared" si="16"/>
        <v>0</v>
      </c>
      <c r="BU19" s="6">
        <f t="shared" si="16"/>
        <v>0</v>
      </c>
      <c r="BV19" s="6">
        <f t="shared" si="16"/>
        <v>0</v>
      </c>
      <c r="BW19" s="6">
        <f t="shared" si="16"/>
        <v>0</v>
      </c>
      <c r="BX19" s="6">
        <f t="shared" si="17"/>
        <v>0</v>
      </c>
      <c r="BY19" s="6">
        <f t="shared" si="17"/>
        <v>0</v>
      </c>
      <c r="BZ19" s="6">
        <f t="shared" si="17"/>
        <v>0</v>
      </c>
      <c r="CA19" s="6">
        <f t="shared" si="17"/>
        <v>0</v>
      </c>
      <c r="CB19" s="6">
        <f t="shared" si="17"/>
        <v>0</v>
      </c>
      <c r="CC19" s="6">
        <f t="shared" si="17"/>
        <v>0</v>
      </c>
      <c r="CD19" s="6">
        <f t="shared" si="17"/>
        <v>0</v>
      </c>
      <c r="CE19" s="6">
        <f t="shared" si="17"/>
        <v>0</v>
      </c>
      <c r="CF19" s="6">
        <f t="shared" si="17"/>
        <v>0</v>
      </c>
      <c r="CG19" s="6">
        <f t="shared" si="17"/>
        <v>0</v>
      </c>
      <c r="CH19" s="6">
        <f t="shared" si="17"/>
        <v>0</v>
      </c>
      <c r="CI19" s="6">
        <f t="shared" si="17"/>
        <v>0</v>
      </c>
    </row>
    <row r="20" spans="1:87">
      <c r="A20" s="2">
        <v>12</v>
      </c>
      <c r="B20" s="21" t="s">
        <v>258</v>
      </c>
      <c r="C20" s="21"/>
      <c r="D20" s="20">
        <f t="shared" ref="D20:P20" si="18">D18+D19</f>
        <v>303</v>
      </c>
      <c r="E20" s="20">
        <f t="shared" si="18"/>
        <v>378</v>
      </c>
      <c r="F20" s="20">
        <f t="shared" si="18"/>
        <v>526</v>
      </c>
      <c r="G20" s="20">
        <f t="shared" si="18"/>
        <v>1825</v>
      </c>
      <c r="H20" s="20">
        <f t="shared" si="18"/>
        <v>1626</v>
      </c>
      <c r="I20" s="20">
        <f t="shared" si="18"/>
        <v>696</v>
      </c>
      <c r="J20" s="20">
        <f t="shared" si="18"/>
        <v>683</v>
      </c>
      <c r="K20" s="20">
        <f t="shared" si="18"/>
        <v>241</v>
      </c>
      <c r="L20" s="20">
        <f t="shared" si="18"/>
        <v>227</v>
      </c>
      <c r="M20" s="20">
        <f t="shared" si="18"/>
        <v>126</v>
      </c>
      <c r="N20" s="20">
        <f t="shared" si="18"/>
        <v>213</v>
      </c>
      <c r="O20" s="20">
        <f t="shared" si="18"/>
        <v>236</v>
      </c>
      <c r="P20" s="20">
        <f t="shared" si="18"/>
        <v>303</v>
      </c>
      <c r="Q20" s="20">
        <f t="shared" ref="Q20:BK20" si="19">Q18+Q19</f>
        <v>378</v>
      </c>
      <c r="R20" s="20">
        <f t="shared" si="19"/>
        <v>526</v>
      </c>
      <c r="S20" s="20">
        <f t="shared" si="19"/>
        <v>1825</v>
      </c>
      <c r="T20" s="20">
        <f t="shared" si="19"/>
        <v>1626</v>
      </c>
      <c r="U20" s="20">
        <f t="shared" si="19"/>
        <v>696</v>
      </c>
      <c r="V20" s="20">
        <f t="shared" si="19"/>
        <v>683</v>
      </c>
      <c r="W20" s="20">
        <f t="shared" si="19"/>
        <v>241</v>
      </c>
      <c r="X20" s="20">
        <f t="shared" si="19"/>
        <v>227</v>
      </c>
      <c r="Y20" s="20">
        <f t="shared" si="19"/>
        <v>126</v>
      </c>
      <c r="Z20" s="20">
        <f t="shared" si="19"/>
        <v>213</v>
      </c>
      <c r="AA20" s="20">
        <f t="shared" si="19"/>
        <v>236</v>
      </c>
      <c r="AB20" s="20">
        <f t="shared" si="19"/>
        <v>303</v>
      </c>
      <c r="AC20" s="20">
        <f t="shared" si="19"/>
        <v>378</v>
      </c>
      <c r="AD20" s="20">
        <f t="shared" si="19"/>
        <v>526</v>
      </c>
      <c r="AE20" s="20">
        <f t="shared" si="19"/>
        <v>1825</v>
      </c>
      <c r="AF20" s="20">
        <f t="shared" si="19"/>
        <v>1626</v>
      </c>
      <c r="AG20" s="20">
        <f t="shared" si="19"/>
        <v>696</v>
      </c>
      <c r="AH20" s="20">
        <f t="shared" si="19"/>
        <v>683</v>
      </c>
      <c r="AI20" s="20">
        <f t="shared" si="19"/>
        <v>241</v>
      </c>
      <c r="AJ20" s="20">
        <f t="shared" si="19"/>
        <v>227</v>
      </c>
      <c r="AK20" s="20">
        <f t="shared" si="19"/>
        <v>126</v>
      </c>
      <c r="AL20" s="20">
        <f t="shared" si="19"/>
        <v>213</v>
      </c>
      <c r="AM20" s="20">
        <f t="shared" si="19"/>
        <v>236</v>
      </c>
      <c r="AN20" s="20">
        <f t="shared" si="19"/>
        <v>303</v>
      </c>
      <c r="AO20" s="20">
        <f t="shared" si="19"/>
        <v>378</v>
      </c>
      <c r="AP20" s="20">
        <f t="shared" si="19"/>
        <v>526</v>
      </c>
      <c r="AQ20" s="20">
        <f t="shared" si="19"/>
        <v>1825</v>
      </c>
      <c r="AR20" s="20">
        <f t="shared" si="19"/>
        <v>1626</v>
      </c>
      <c r="AS20" s="20">
        <f t="shared" si="19"/>
        <v>696</v>
      </c>
      <c r="AT20" s="20">
        <f t="shared" si="19"/>
        <v>683</v>
      </c>
      <c r="AU20" s="20">
        <f t="shared" si="19"/>
        <v>241</v>
      </c>
      <c r="AV20" s="20">
        <f t="shared" si="19"/>
        <v>227</v>
      </c>
      <c r="AW20" s="20">
        <f t="shared" si="19"/>
        <v>126</v>
      </c>
      <c r="AX20" s="20">
        <f t="shared" si="19"/>
        <v>213</v>
      </c>
      <c r="AY20" s="20">
        <f t="shared" si="19"/>
        <v>236</v>
      </c>
      <c r="AZ20" s="20">
        <f t="shared" si="19"/>
        <v>303</v>
      </c>
      <c r="BA20" s="20">
        <f t="shared" si="19"/>
        <v>378</v>
      </c>
      <c r="BB20" s="20">
        <f t="shared" si="19"/>
        <v>526</v>
      </c>
      <c r="BC20" s="20">
        <f t="shared" si="19"/>
        <v>1825</v>
      </c>
      <c r="BD20" s="20">
        <f t="shared" si="19"/>
        <v>1626</v>
      </c>
      <c r="BE20" s="20">
        <f t="shared" si="19"/>
        <v>696</v>
      </c>
      <c r="BF20" s="20">
        <f t="shared" si="19"/>
        <v>683</v>
      </c>
      <c r="BG20" s="20">
        <f t="shared" si="19"/>
        <v>241</v>
      </c>
      <c r="BH20" s="20">
        <f t="shared" si="19"/>
        <v>227</v>
      </c>
      <c r="BI20" s="20">
        <f t="shared" si="19"/>
        <v>126</v>
      </c>
      <c r="BJ20" s="20">
        <f t="shared" si="19"/>
        <v>213</v>
      </c>
      <c r="BK20" s="20">
        <f t="shared" si="19"/>
        <v>236</v>
      </c>
      <c r="BL20" s="20">
        <f t="shared" ref="BL20:BW20" si="20">BL18+BL19</f>
        <v>303</v>
      </c>
      <c r="BM20" s="20">
        <f t="shared" si="20"/>
        <v>378</v>
      </c>
      <c r="BN20" s="20">
        <f t="shared" si="20"/>
        <v>526</v>
      </c>
      <c r="BO20" s="20">
        <f t="shared" si="20"/>
        <v>1825</v>
      </c>
      <c r="BP20" s="20">
        <f t="shared" si="20"/>
        <v>1626</v>
      </c>
      <c r="BQ20" s="20">
        <f t="shared" si="20"/>
        <v>696</v>
      </c>
      <c r="BR20" s="20">
        <f t="shared" si="20"/>
        <v>683</v>
      </c>
      <c r="BS20" s="20">
        <f t="shared" si="20"/>
        <v>241</v>
      </c>
      <c r="BT20" s="20">
        <f t="shared" si="20"/>
        <v>227</v>
      </c>
      <c r="BU20" s="20">
        <f t="shared" si="20"/>
        <v>126</v>
      </c>
      <c r="BV20" s="20">
        <f t="shared" si="20"/>
        <v>213</v>
      </c>
      <c r="BW20" s="20">
        <f t="shared" si="20"/>
        <v>236</v>
      </c>
      <c r="BX20" s="20">
        <f t="shared" ref="BX20:CI20" si="21">BX18+BX19</f>
        <v>303</v>
      </c>
      <c r="BY20" s="20">
        <f t="shared" si="21"/>
        <v>378</v>
      </c>
      <c r="BZ20" s="20">
        <f t="shared" si="21"/>
        <v>526</v>
      </c>
      <c r="CA20" s="20">
        <f t="shared" si="21"/>
        <v>1825</v>
      </c>
      <c r="CB20" s="20">
        <f t="shared" si="21"/>
        <v>1626</v>
      </c>
      <c r="CC20" s="20">
        <f t="shared" si="21"/>
        <v>696</v>
      </c>
      <c r="CD20" s="20">
        <f t="shared" si="21"/>
        <v>683</v>
      </c>
      <c r="CE20" s="20">
        <f t="shared" si="21"/>
        <v>241</v>
      </c>
      <c r="CF20" s="20">
        <f t="shared" si="21"/>
        <v>227</v>
      </c>
      <c r="CG20" s="20">
        <f t="shared" si="21"/>
        <v>126</v>
      </c>
      <c r="CH20" s="20">
        <f t="shared" si="21"/>
        <v>213</v>
      </c>
      <c r="CI20" s="20">
        <f t="shared" si="21"/>
        <v>236</v>
      </c>
    </row>
    <row r="21" spans="1:87">
      <c r="A21" s="2">
        <v>13</v>
      </c>
      <c r="B21" s="21" t="s">
        <v>259</v>
      </c>
      <c r="C21" s="21"/>
      <c r="D21" s="546">
        <f t="shared" ref="D21:O21" si="22">$C$18*D18+$C$19*D19</f>
        <v>909</v>
      </c>
      <c r="E21" s="546">
        <f t="shared" si="22"/>
        <v>1134</v>
      </c>
      <c r="F21" s="546">
        <f t="shared" si="22"/>
        <v>1578</v>
      </c>
      <c r="G21" s="546">
        <f t="shared" si="22"/>
        <v>5475</v>
      </c>
      <c r="H21" s="546">
        <f t="shared" si="22"/>
        <v>4878</v>
      </c>
      <c r="I21" s="546">
        <f t="shared" si="22"/>
        <v>2088</v>
      </c>
      <c r="J21" s="546">
        <f t="shared" si="22"/>
        <v>2049</v>
      </c>
      <c r="K21" s="546">
        <f t="shared" si="22"/>
        <v>723</v>
      </c>
      <c r="L21" s="546">
        <f t="shared" si="22"/>
        <v>681</v>
      </c>
      <c r="M21" s="546">
        <f t="shared" si="22"/>
        <v>378</v>
      </c>
      <c r="N21" s="546">
        <f t="shared" si="22"/>
        <v>639</v>
      </c>
      <c r="O21" s="546">
        <f t="shared" si="22"/>
        <v>708</v>
      </c>
      <c r="P21" s="546">
        <f t="shared" ref="P21:BK21" si="23">$C$18*P18+$C$19*P19</f>
        <v>909</v>
      </c>
      <c r="Q21" s="546">
        <f t="shared" si="23"/>
        <v>1134</v>
      </c>
      <c r="R21" s="546">
        <f t="shared" si="23"/>
        <v>1578</v>
      </c>
      <c r="S21" s="546">
        <f t="shared" si="23"/>
        <v>5475</v>
      </c>
      <c r="T21" s="546">
        <f t="shared" si="23"/>
        <v>4878</v>
      </c>
      <c r="U21" s="546">
        <f t="shared" si="23"/>
        <v>2088</v>
      </c>
      <c r="V21" s="546">
        <f t="shared" si="23"/>
        <v>2049</v>
      </c>
      <c r="W21" s="546">
        <f t="shared" si="23"/>
        <v>723</v>
      </c>
      <c r="X21" s="546">
        <f t="shared" si="23"/>
        <v>681</v>
      </c>
      <c r="Y21" s="546">
        <f t="shared" si="23"/>
        <v>378</v>
      </c>
      <c r="Z21" s="546">
        <f t="shared" si="23"/>
        <v>639</v>
      </c>
      <c r="AA21" s="546">
        <f t="shared" si="23"/>
        <v>708</v>
      </c>
      <c r="AB21" s="546">
        <f t="shared" si="23"/>
        <v>909</v>
      </c>
      <c r="AC21" s="546">
        <f t="shared" si="23"/>
        <v>1134</v>
      </c>
      <c r="AD21" s="546">
        <f t="shared" si="23"/>
        <v>1578</v>
      </c>
      <c r="AE21" s="546">
        <f t="shared" si="23"/>
        <v>5475</v>
      </c>
      <c r="AF21" s="546">
        <f t="shared" si="23"/>
        <v>4878</v>
      </c>
      <c r="AG21" s="546">
        <f t="shared" si="23"/>
        <v>2088</v>
      </c>
      <c r="AH21" s="546">
        <f t="shared" si="23"/>
        <v>2049</v>
      </c>
      <c r="AI21" s="546">
        <f t="shared" si="23"/>
        <v>723</v>
      </c>
      <c r="AJ21" s="546">
        <f t="shared" si="23"/>
        <v>681</v>
      </c>
      <c r="AK21" s="546">
        <f t="shared" si="23"/>
        <v>378</v>
      </c>
      <c r="AL21" s="546">
        <f t="shared" si="23"/>
        <v>639</v>
      </c>
      <c r="AM21" s="546">
        <f t="shared" si="23"/>
        <v>708</v>
      </c>
      <c r="AN21" s="546">
        <f t="shared" si="23"/>
        <v>909</v>
      </c>
      <c r="AO21" s="546">
        <f t="shared" si="23"/>
        <v>1134</v>
      </c>
      <c r="AP21" s="546">
        <f t="shared" si="23"/>
        <v>1578</v>
      </c>
      <c r="AQ21" s="546">
        <f t="shared" si="23"/>
        <v>5475</v>
      </c>
      <c r="AR21" s="546">
        <f t="shared" si="23"/>
        <v>4878</v>
      </c>
      <c r="AS21" s="546">
        <f t="shared" si="23"/>
        <v>2088</v>
      </c>
      <c r="AT21" s="546">
        <f t="shared" si="23"/>
        <v>2049</v>
      </c>
      <c r="AU21" s="546">
        <f t="shared" si="23"/>
        <v>723</v>
      </c>
      <c r="AV21" s="546">
        <f t="shared" si="23"/>
        <v>681</v>
      </c>
      <c r="AW21" s="546">
        <f t="shared" si="23"/>
        <v>378</v>
      </c>
      <c r="AX21" s="546">
        <f t="shared" si="23"/>
        <v>639</v>
      </c>
      <c r="AY21" s="546">
        <f t="shared" si="23"/>
        <v>708</v>
      </c>
      <c r="AZ21" s="546">
        <f t="shared" si="23"/>
        <v>909</v>
      </c>
      <c r="BA21" s="546">
        <f t="shared" si="23"/>
        <v>1134</v>
      </c>
      <c r="BB21" s="546">
        <f t="shared" si="23"/>
        <v>1578</v>
      </c>
      <c r="BC21" s="546">
        <f t="shared" si="23"/>
        <v>5475</v>
      </c>
      <c r="BD21" s="546">
        <f t="shared" si="23"/>
        <v>4878</v>
      </c>
      <c r="BE21" s="546">
        <f t="shared" si="23"/>
        <v>2088</v>
      </c>
      <c r="BF21" s="546">
        <f t="shared" si="23"/>
        <v>2049</v>
      </c>
      <c r="BG21" s="546">
        <f t="shared" si="23"/>
        <v>723</v>
      </c>
      <c r="BH21" s="546">
        <f t="shared" si="23"/>
        <v>681</v>
      </c>
      <c r="BI21" s="546">
        <f t="shared" si="23"/>
        <v>378</v>
      </c>
      <c r="BJ21" s="546">
        <f t="shared" si="23"/>
        <v>639</v>
      </c>
      <c r="BK21" s="546">
        <f t="shared" si="23"/>
        <v>708</v>
      </c>
      <c r="BL21" s="546">
        <f t="shared" ref="BL21:BW21" si="24">$C$18*BL18+$C$19*BL19</f>
        <v>909</v>
      </c>
      <c r="BM21" s="546">
        <f t="shared" si="24"/>
        <v>1134</v>
      </c>
      <c r="BN21" s="546">
        <f t="shared" si="24"/>
        <v>1578</v>
      </c>
      <c r="BO21" s="546">
        <f t="shared" si="24"/>
        <v>5475</v>
      </c>
      <c r="BP21" s="546">
        <f t="shared" si="24"/>
        <v>4878</v>
      </c>
      <c r="BQ21" s="546">
        <f t="shared" si="24"/>
        <v>2088</v>
      </c>
      <c r="BR21" s="546">
        <f t="shared" si="24"/>
        <v>2049</v>
      </c>
      <c r="BS21" s="546">
        <f t="shared" si="24"/>
        <v>723</v>
      </c>
      <c r="BT21" s="546">
        <f t="shared" si="24"/>
        <v>681</v>
      </c>
      <c r="BU21" s="546">
        <f t="shared" si="24"/>
        <v>378</v>
      </c>
      <c r="BV21" s="546">
        <f t="shared" si="24"/>
        <v>639</v>
      </c>
      <c r="BW21" s="546">
        <f t="shared" si="24"/>
        <v>708</v>
      </c>
      <c r="BX21" s="546">
        <f t="shared" ref="BX21:CI21" si="25">$C$18*BX18+$C$19*BX19</f>
        <v>909</v>
      </c>
      <c r="BY21" s="546">
        <f t="shared" si="25"/>
        <v>1134</v>
      </c>
      <c r="BZ21" s="546">
        <f t="shared" si="25"/>
        <v>1578</v>
      </c>
      <c r="CA21" s="546">
        <f t="shared" si="25"/>
        <v>5475</v>
      </c>
      <c r="CB21" s="546">
        <f t="shared" si="25"/>
        <v>4878</v>
      </c>
      <c r="CC21" s="546">
        <f t="shared" si="25"/>
        <v>2088</v>
      </c>
      <c r="CD21" s="546">
        <f t="shared" si="25"/>
        <v>2049</v>
      </c>
      <c r="CE21" s="546">
        <f t="shared" si="25"/>
        <v>723</v>
      </c>
      <c r="CF21" s="546">
        <f t="shared" si="25"/>
        <v>681</v>
      </c>
      <c r="CG21" s="546">
        <f t="shared" si="25"/>
        <v>378</v>
      </c>
      <c r="CH21" s="546">
        <f t="shared" si="25"/>
        <v>639</v>
      </c>
      <c r="CI21" s="546">
        <f t="shared" si="25"/>
        <v>708</v>
      </c>
    </row>
    <row r="22" spans="1:87">
      <c r="A22" s="2">
        <v>14</v>
      </c>
    </row>
    <row r="23" spans="1:87">
      <c r="A23" s="2">
        <v>15</v>
      </c>
      <c r="B23" s="88" t="s">
        <v>191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</row>
    <row r="24" spans="1:87">
      <c r="A24" s="2">
        <v>16</v>
      </c>
      <c r="B24" s="2" t="s">
        <v>253</v>
      </c>
      <c r="C24" s="11">
        <f>'Rate Design'!N14</f>
        <v>3</v>
      </c>
      <c r="D24" s="6">
        <v>204</v>
      </c>
      <c r="E24" s="6">
        <v>226</v>
      </c>
      <c r="F24" s="6">
        <v>224</v>
      </c>
      <c r="G24" s="6">
        <v>221</v>
      </c>
      <c r="H24" s="6">
        <v>257</v>
      </c>
      <c r="I24" s="6">
        <v>239</v>
      </c>
      <c r="J24" s="6">
        <v>250</v>
      </c>
      <c r="K24" s="6">
        <v>239</v>
      </c>
      <c r="L24" s="6">
        <v>242</v>
      </c>
      <c r="M24" s="6">
        <v>182</v>
      </c>
      <c r="N24" s="6">
        <v>216</v>
      </c>
      <c r="O24" s="6">
        <v>208</v>
      </c>
      <c r="P24" s="6">
        <f>D24</f>
        <v>204</v>
      </c>
      <c r="Q24" s="6">
        <f t="shared" ref="Q24:BK25" si="26">E24</f>
        <v>226</v>
      </c>
      <c r="R24" s="6">
        <f t="shared" si="26"/>
        <v>224</v>
      </c>
      <c r="S24" s="6">
        <f t="shared" si="26"/>
        <v>221</v>
      </c>
      <c r="T24" s="6">
        <f t="shared" si="26"/>
        <v>257</v>
      </c>
      <c r="U24" s="6">
        <f t="shared" si="26"/>
        <v>239</v>
      </c>
      <c r="V24" s="6">
        <f t="shared" si="26"/>
        <v>250</v>
      </c>
      <c r="W24" s="6">
        <f t="shared" si="26"/>
        <v>239</v>
      </c>
      <c r="X24" s="6">
        <f t="shared" si="26"/>
        <v>242</v>
      </c>
      <c r="Y24" s="6">
        <f t="shared" si="26"/>
        <v>182</v>
      </c>
      <c r="Z24" s="6">
        <f t="shared" si="26"/>
        <v>216</v>
      </c>
      <c r="AA24" s="6">
        <f t="shared" si="26"/>
        <v>208</v>
      </c>
      <c r="AB24" s="6">
        <f t="shared" si="26"/>
        <v>204</v>
      </c>
      <c r="AC24" s="6">
        <f t="shared" si="26"/>
        <v>226</v>
      </c>
      <c r="AD24" s="6">
        <f t="shared" si="26"/>
        <v>224</v>
      </c>
      <c r="AE24" s="6">
        <f t="shared" si="26"/>
        <v>221</v>
      </c>
      <c r="AF24" s="6">
        <f t="shared" si="26"/>
        <v>257</v>
      </c>
      <c r="AG24" s="6">
        <f t="shared" si="26"/>
        <v>239</v>
      </c>
      <c r="AH24" s="6">
        <f t="shared" si="26"/>
        <v>250</v>
      </c>
      <c r="AI24" s="6">
        <f t="shared" si="26"/>
        <v>239</v>
      </c>
      <c r="AJ24" s="6">
        <f t="shared" si="26"/>
        <v>242</v>
      </c>
      <c r="AK24" s="6">
        <f t="shared" si="26"/>
        <v>182</v>
      </c>
      <c r="AL24" s="6">
        <f t="shared" si="26"/>
        <v>216</v>
      </c>
      <c r="AM24" s="6">
        <f t="shared" si="26"/>
        <v>208</v>
      </c>
      <c r="AN24" s="6">
        <f t="shared" si="26"/>
        <v>204</v>
      </c>
      <c r="AO24" s="6">
        <f t="shared" si="26"/>
        <v>226</v>
      </c>
      <c r="AP24" s="6">
        <f t="shared" si="26"/>
        <v>224</v>
      </c>
      <c r="AQ24" s="6">
        <f t="shared" si="26"/>
        <v>221</v>
      </c>
      <c r="AR24" s="6">
        <f t="shared" si="26"/>
        <v>257</v>
      </c>
      <c r="AS24" s="6">
        <f t="shared" si="26"/>
        <v>239</v>
      </c>
      <c r="AT24" s="6">
        <f t="shared" si="26"/>
        <v>250</v>
      </c>
      <c r="AU24" s="6">
        <f t="shared" si="26"/>
        <v>239</v>
      </c>
      <c r="AV24" s="6">
        <f t="shared" si="26"/>
        <v>242</v>
      </c>
      <c r="AW24" s="6">
        <f t="shared" si="26"/>
        <v>182</v>
      </c>
      <c r="AX24" s="6">
        <f t="shared" si="26"/>
        <v>216</v>
      </c>
      <c r="AY24" s="6">
        <f t="shared" si="26"/>
        <v>208</v>
      </c>
      <c r="AZ24" s="6">
        <f t="shared" si="26"/>
        <v>204</v>
      </c>
      <c r="BA24" s="6">
        <f t="shared" si="26"/>
        <v>226</v>
      </c>
      <c r="BB24" s="6">
        <f t="shared" si="26"/>
        <v>224</v>
      </c>
      <c r="BC24" s="6">
        <f t="shared" si="26"/>
        <v>221</v>
      </c>
      <c r="BD24" s="6">
        <f t="shared" si="26"/>
        <v>257</v>
      </c>
      <c r="BE24" s="6">
        <f t="shared" si="26"/>
        <v>239</v>
      </c>
      <c r="BF24" s="6">
        <f t="shared" si="26"/>
        <v>250</v>
      </c>
      <c r="BG24" s="6">
        <f t="shared" si="26"/>
        <v>239</v>
      </c>
      <c r="BH24" s="6">
        <f t="shared" si="26"/>
        <v>242</v>
      </c>
      <c r="BI24" s="6">
        <f t="shared" si="26"/>
        <v>182</v>
      </c>
      <c r="BJ24" s="6">
        <f t="shared" si="26"/>
        <v>216</v>
      </c>
      <c r="BK24" s="6">
        <f t="shared" si="26"/>
        <v>208</v>
      </c>
      <c r="BL24" s="6">
        <f t="shared" ref="BL24:BW25" si="27">AZ24</f>
        <v>204</v>
      </c>
      <c r="BM24" s="6">
        <f t="shared" si="27"/>
        <v>226</v>
      </c>
      <c r="BN24" s="6">
        <f t="shared" si="27"/>
        <v>224</v>
      </c>
      <c r="BO24" s="6">
        <f t="shared" si="27"/>
        <v>221</v>
      </c>
      <c r="BP24" s="6">
        <f t="shared" si="27"/>
        <v>257</v>
      </c>
      <c r="BQ24" s="6">
        <f t="shared" si="27"/>
        <v>239</v>
      </c>
      <c r="BR24" s="6">
        <f t="shared" si="27"/>
        <v>250</v>
      </c>
      <c r="BS24" s="6">
        <f t="shared" si="27"/>
        <v>239</v>
      </c>
      <c r="BT24" s="6">
        <f t="shared" si="27"/>
        <v>242</v>
      </c>
      <c r="BU24" s="6">
        <f t="shared" si="27"/>
        <v>182</v>
      </c>
      <c r="BV24" s="6">
        <f t="shared" si="27"/>
        <v>216</v>
      </c>
      <c r="BW24" s="6">
        <f t="shared" si="27"/>
        <v>208</v>
      </c>
      <c r="BX24" s="6">
        <f t="shared" ref="BX24:CI25" si="28">BL24</f>
        <v>204</v>
      </c>
      <c r="BY24" s="6">
        <f t="shared" si="28"/>
        <v>226</v>
      </c>
      <c r="BZ24" s="6">
        <f t="shared" si="28"/>
        <v>224</v>
      </c>
      <c r="CA24" s="6">
        <f t="shared" si="28"/>
        <v>221</v>
      </c>
      <c r="CB24" s="6">
        <f t="shared" si="28"/>
        <v>257</v>
      </c>
      <c r="CC24" s="6">
        <f t="shared" si="28"/>
        <v>239</v>
      </c>
      <c r="CD24" s="6">
        <f t="shared" si="28"/>
        <v>250</v>
      </c>
      <c r="CE24" s="6">
        <f t="shared" si="28"/>
        <v>239</v>
      </c>
      <c r="CF24" s="6">
        <f t="shared" si="28"/>
        <v>242</v>
      </c>
      <c r="CG24" s="6">
        <f t="shared" si="28"/>
        <v>182</v>
      </c>
      <c r="CH24" s="6">
        <f t="shared" si="28"/>
        <v>216</v>
      </c>
      <c r="CI24" s="6">
        <f t="shared" si="28"/>
        <v>208</v>
      </c>
    </row>
    <row r="25" spans="1:87">
      <c r="A25" s="2">
        <v>17</v>
      </c>
      <c r="B25" s="2" t="s">
        <v>254</v>
      </c>
      <c r="C25" s="11">
        <f>'Rate Design'!O14</f>
        <v>14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f>D25</f>
        <v>0</v>
      </c>
      <c r="Q25" s="6">
        <f t="shared" si="26"/>
        <v>0</v>
      </c>
      <c r="R25" s="6">
        <f t="shared" si="26"/>
        <v>0</v>
      </c>
      <c r="S25" s="6">
        <f t="shared" si="26"/>
        <v>0</v>
      </c>
      <c r="T25" s="6">
        <f t="shared" si="26"/>
        <v>0</v>
      </c>
      <c r="U25" s="6">
        <f t="shared" si="26"/>
        <v>0</v>
      </c>
      <c r="V25" s="6">
        <f t="shared" si="26"/>
        <v>0</v>
      </c>
      <c r="W25" s="6">
        <f t="shared" si="26"/>
        <v>0</v>
      </c>
      <c r="X25" s="6">
        <f t="shared" si="26"/>
        <v>0</v>
      </c>
      <c r="Y25" s="6">
        <f t="shared" si="26"/>
        <v>0</v>
      </c>
      <c r="Z25" s="6">
        <f t="shared" si="26"/>
        <v>0</v>
      </c>
      <c r="AA25" s="6">
        <f t="shared" si="26"/>
        <v>0</v>
      </c>
      <c r="AB25" s="6">
        <f t="shared" si="26"/>
        <v>0</v>
      </c>
      <c r="AC25" s="6">
        <f t="shared" si="26"/>
        <v>0</v>
      </c>
      <c r="AD25" s="6">
        <f t="shared" si="26"/>
        <v>0</v>
      </c>
      <c r="AE25" s="6">
        <f t="shared" si="26"/>
        <v>0</v>
      </c>
      <c r="AF25" s="6">
        <f t="shared" si="26"/>
        <v>0</v>
      </c>
      <c r="AG25" s="6">
        <f t="shared" si="26"/>
        <v>0</v>
      </c>
      <c r="AH25" s="6">
        <f t="shared" si="26"/>
        <v>0</v>
      </c>
      <c r="AI25" s="6">
        <f t="shared" si="26"/>
        <v>0</v>
      </c>
      <c r="AJ25" s="6">
        <f t="shared" si="26"/>
        <v>0</v>
      </c>
      <c r="AK25" s="6">
        <f t="shared" si="26"/>
        <v>0</v>
      </c>
      <c r="AL25" s="6">
        <f t="shared" si="26"/>
        <v>0</v>
      </c>
      <c r="AM25" s="6">
        <f t="shared" si="26"/>
        <v>0</v>
      </c>
      <c r="AN25" s="6">
        <f t="shared" si="26"/>
        <v>0</v>
      </c>
      <c r="AO25" s="6">
        <f t="shared" si="26"/>
        <v>0</v>
      </c>
      <c r="AP25" s="6">
        <f t="shared" si="26"/>
        <v>0</v>
      </c>
      <c r="AQ25" s="6">
        <f t="shared" si="26"/>
        <v>0</v>
      </c>
      <c r="AR25" s="6">
        <f t="shared" si="26"/>
        <v>0</v>
      </c>
      <c r="AS25" s="6">
        <f t="shared" si="26"/>
        <v>0</v>
      </c>
      <c r="AT25" s="6">
        <f t="shared" si="26"/>
        <v>0</v>
      </c>
      <c r="AU25" s="6">
        <f t="shared" si="26"/>
        <v>0</v>
      </c>
      <c r="AV25" s="6">
        <f t="shared" si="26"/>
        <v>0</v>
      </c>
      <c r="AW25" s="6">
        <f t="shared" si="26"/>
        <v>0</v>
      </c>
      <c r="AX25" s="6">
        <f t="shared" si="26"/>
        <v>0</v>
      </c>
      <c r="AY25" s="6">
        <f t="shared" si="26"/>
        <v>0</v>
      </c>
      <c r="AZ25" s="6">
        <f t="shared" si="26"/>
        <v>0</v>
      </c>
      <c r="BA25" s="6">
        <f t="shared" si="26"/>
        <v>0</v>
      </c>
      <c r="BB25" s="6">
        <f t="shared" si="26"/>
        <v>0</v>
      </c>
      <c r="BC25" s="6">
        <f t="shared" si="26"/>
        <v>0</v>
      </c>
      <c r="BD25" s="6">
        <f t="shared" si="26"/>
        <v>0</v>
      </c>
      <c r="BE25" s="6">
        <f t="shared" si="26"/>
        <v>0</v>
      </c>
      <c r="BF25" s="6">
        <f t="shared" si="26"/>
        <v>0</v>
      </c>
      <c r="BG25" s="6">
        <f t="shared" si="26"/>
        <v>0</v>
      </c>
      <c r="BH25" s="6">
        <f t="shared" si="26"/>
        <v>0</v>
      </c>
      <c r="BI25" s="6">
        <f t="shared" si="26"/>
        <v>0</v>
      </c>
      <c r="BJ25" s="6">
        <f t="shared" si="26"/>
        <v>0</v>
      </c>
      <c r="BK25" s="6">
        <f t="shared" si="26"/>
        <v>0</v>
      </c>
      <c r="BL25" s="6">
        <f t="shared" si="27"/>
        <v>0</v>
      </c>
      <c r="BM25" s="6">
        <f t="shared" si="27"/>
        <v>0</v>
      </c>
      <c r="BN25" s="6">
        <f t="shared" si="27"/>
        <v>0</v>
      </c>
      <c r="BO25" s="6">
        <f t="shared" si="27"/>
        <v>0</v>
      </c>
      <c r="BP25" s="6">
        <f t="shared" si="27"/>
        <v>0</v>
      </c>
      <c r="BQ25" s="6">
        <f t="shared" si="27"/>
        <v>0</v>
      </c>
      <c r="BR25" s="6">
        <f t="shared" si="27"/>
        <v>0</v>
      </c>
      <c r="BS25" s="6">
        <f t="shared" si="27"/>
        <v>0</v>
      </c>
      <c r="BT25" s="6">
        <f t="shared" si="27"/>
        <v>0</v>
      </c>
      <c r="BU25" s="6">
        <f t="shared" si="27"/>
        <v>0</v>
      </c>
      <c r="BV25" s="6">
        <f t="shared" si="27"/>
        <v>0</v>
      </c>
      <c r="BW25" s="6">
        <f t="shared" si="27"/>
        <v>0</v>
      </c>
      <c r="BX25" s="6">
        <f t="shared" si="28"/>
        <v>0</v>
      </c>
      <c r="BY25" s="6">
        <f t="shared" si="28"/>
        <v>0</v>
      </c>
      <c r="BZ25" s="6">
        <f t="shared" si="28"/>
        <v>0</v>
      </c>
      <c r="CA25" s="6">
        <f t="shared" si="28"/>
        <v>0</v>
      </c>
      <c r="CB25" s="6">
        <f t="shared" si="28"/>
        <v>0</v>
      </c>
      <c r="CC25" s="6">
        <f t="shared" si="28"/>
        <v>0</v>
      </c>
      <c r="CD25" s="6">
        <f t="shared" si="28"/>
        <v>0</v>
      </c>
      <c r="CE25" s="6">
        <f t="shared" si="28"/>
        <v>0</v>
      </c>
      <c r="CF25" s="6">
        <f t="shared" si="28"/>
        <v>0</v>
      </c>
      <c r="CG25" s="6">
        <f t="shared" si="28"/>
        <v>0</v>
      </c>
      <c r="CH25" s="6">
        <f t="shared" si="28"/>
        <v>0</v>
      </c>
      <c r="CI25" s="6">
        <f t="shared" si="28"/>
        <v>0</v>
      </c>
    </row>
    <row r="26" spans="1:87">
      <c r="A26" s="2">
        <v>18</v>
      </c>
      <c r="B26" s="21" t="s">
        <v>258</v>
      </c>
      <c r="C26" s="21"/>
      <c r="D26" s="20">
        <f t="shared" ref="D26:P26" si="29">D24+D25</f>
        <v>204</v>
      </c>
      <c r="E26" s="20">
        <f t="shared" si="29"/>
        <v>226</v>
      </c>
      <c r="F26" s="20">
        <f t="shared" si="29"/>
        <v>224</v>
      </c>
      <c r="G26" s="20">
        <f t="shared" si="29"/>
        <v>221</v>
      </c>
      <c r="H26" s="20">
        <f t="shared" si="29"/>
        <v>257</v>
      </c>
      <c r="I26" s="20">
        <f t="shared" si="29"/>
        <v>239</v>
      </c>
      <c r="J26" s="20">
        <f t="shared" si="29"/>
        <v>250</v>
      </c>
      <c r="K26" s="20">
        <f t="shared" si="29"/>
        <v>239</v>
      </c>
      <c r="L26" s="20">
        <f t="shared" si="29"/>
        <v>242</v>
      </c>
      <c r="M26" s="20">
        <f t="shared" si="29"/>
        <v>182</v>
      </c>
      <c r="N26" s="20">
        <f t="shared" si="29"/>
        <v>216</v>
      </c>
      <c r="O26" s="20">
        <f t="shared" si="29"/>
        <v>208</v>
      </c>
      <c r="P26" s="20">
        <f t="shared" si="29"/>
        <v>204</v>
      </c>
      <c r="Q26" s="20">
        <f t="shared" ref="Q26:BK26" si="30">Q24+Q25</f>
        <v>226</v>
      </c>
      <c r="R26" s="20">
        <f t="shared" si="30"/>
        <v>224</v>
      </c>
      <c r="S26" s="20">
        <f t="shared" si="30"/>
        <v>221</v>
      </c>
      <c r="T26" s="20">
        <f t="shared" si="30"/>
        <v>257</v>
      </c>
      <c r="U26" s="20">
        <f t="shared" si="30"/>
        <v>239</v>
      </c>
      <c r="V26" s="20">
        <f t="shared" si="30"/>
        <v>250</v>
      </c>
      <c r="W26" s="20">
        <f t="shared" si="30"/>
        <v>239</v>
      </c>
      <c r="X26" s="20">
        <f t="shared" si="30"/>
        <v>242</v>
      </c>
      <c r="Y26" s="20">
        <f t="shared" si="30"/>
        <v>182</v>
      </c>
      <c r="Z26" s="20">
        <f t="shared" si="30"/>
        <v>216</v>
      </c>
      <c r="AA26" s="20">
        <f t="shared" si="30"/>
        <v>208</v>
      </c>
      <c r="AB26" s="20">
        <f t="shared" si="30"/>
        <v>204</v>
      </c>
      <c r="AC26" s="20">
        <f t="shared" si="30"/>
        <v>226</v>
      </c>
      <c r="AD26" s="20">
        <f t="shared" si="30"/>
        <v>224</v>
      </c>
      <c r="AE26" s="20">
        <f t="shared" si="30"/>
        <v>221</v>
      </c>
      <c r="AF26" s="20">
        <f t="shared" si="30"/>
        <v>257</v>
      </c>
      <c r="AG26" s="20">
        <f t="shared" si="30"/>
        <v>239</v>
      </c>
      <c r="AH26" s="20">
        <f t="shared" si="30"/>
        <v>250</v>
      </c>
      <c r="AI26" s="20">
        <f t="shared" si="30"/>
        <v>239</v>
      </c>
      <c r="AJ26" s="20">
        <f t="shared" si="30"/>
        <v>242</v>
      </c>
      <c r="AK26" s="20">
        <f t="shared" si="30"/>
        <v>182</v>
      </c>
      <c r="AL26" s="20">
        <f t="shared" si="30"/>
        <v>216</v>
      </c>
      <c r="AM26" s="20">
        <f t="shared" si="30"/>
        <v>208</v>
      </c>
      <c r="AN26" s="20">
        <f t="shared" si="30"/>
        <v>204</v>
      </c>
      <c r="AO26" s="20">
        <f t="shared" si="30"/>
        <v>226</v>
      </c>
      <c r="AP26" s="20">
        <f t="shared" si="30"/>
        <v>224</v>
      </c>
      <c r="AQ26" s="20">
        <f t="shared" si="30"/>
        <v>221</v>
      </c>
      <c r="AR26" s="20">
        <f t="shared" si="30"/>
        <v>257</v>
      </c>
      <c r="AS26" s="20">
        <f t="shared" si="30"/>
        <v>239</v>
      </c>
      <c r="AT26" s="20">
        <f t="shared" si="30"/>
        <v>250</v>
      </c>
      <c r="AU26" s="20">
        <f t="shared" si="30"/>
        <v>239</v>
      </c>
      <c r="AV26" s="20">
        <f t="shared" si="30"/>
        <v>242</v>
      </c>
      <c r="AW26" s="20">
        <f t="shared" si="30"/>
        <v>182</v>
      </c>
      <c r="AX26" s="20">
        <f t="shared" si="30"/>
        <v>216</v>
      </c>
      <c r="AY26" s="20">
        <f t="shared" si="30"/>
        <v>208</v>
      </c>
      <c r="AZ26" s="20">
        <f t="shared" si="30"/>
        <v>204</v>
      </c>
      <c r="BA26" s="20">
        <f t="shared" si="30"/>
        <v>226</v>
      </c>
      <c r="BB26" s="20">
        <f t="shared" si="30"/>
        <v>224</v>
      </c>
      <c r="BC26" s="20">
        <f t="shared" si="30"/>
        <v>221</v>
      </c>
      <c r="BD26" s="20">
        <f t="shared" si="30"/>
        <v>257</v>
      </c>
      <c r="BE26" s="20">
        <f t="shared" si="30"/>
        <v>239</v>
      </c>
      <c r="BF26" s="20">
        <f t="shared" si="30"/>
        <v>250</v>
      </c>
      <c r="BG26" s="20">
        <f t="shared" si="30"/>
        <v>239</v>
      </c>
      <c r="BH26" s="20">
        <f t="shared" si="30"/>
        <v>242</v>
      </c>
      <c r="BI26" s="20">
        <f t="shared" si="30"/>
        <v>182</v>
      </c>
      <c r="BJ26" s="20">
        <f t="shared" si="30"/>
        <v>216</v>
      </c>
      <c r="BK26" s="20">
        <f t="shared" si="30"/>
        <v>208</v>
      </c>
      <c r="BL26" s="20">
        <f t="shared" ref="BL26:BW26" si="31">BL24+BL25</f>
        <v>204</v>
      </c>
      <c r="BM26" s="20">
        <f t="shared" si="31"/>
        <v>226</v>
      </c>
      <c r="BN26" s="20">
        <f t="shared" si="31"/>
        <v>224</v>
      </c>
      <c r="BO26" s="20">
        <f t="shared" si="31"/>
        <v>221</v>
      </c>
      <c r="BP26" s="20">
        <f t="shared" si="31"/>
        <v>257</v>
      </c>
      <c r="BQ26" s="20">
        <f t="shared" si="31"/>
        <v>239</v>
      </c>
      <c r="BR26" s="20">
        <f t="shared" si="31"/>
        <v>250</v>
      </c>
      <c r="BS26" s="20">
        <f t="shared" si="31"/>
        <v>239</v>
      </c>
      <c r="BT26" s="20">
        <f t="shared" si="31"/>
        <v>242</v>
      </c>
      <c r="BU26" s="20">
        <f t="shared" si="31"/>
        <v>182</v>
      </c>
      <c r="BV26" s="20">
        <f t="shared" si="31"/>
        <v>216</v>
      </c>
      <c r="BW26" s="20">
        <f t="shared" si="31"/>
        <v>208</v>
      </c>
      <c r="BX26" s="20">
        <f t="shared" ref="BX26:CI26" si="32">BX24+BX25</f>
        <v>204</v>
      </c>
      <c r="BY26" s="20">
        <f t="shared" si="32"/>
        <v>226</v>
      </c>
      <c r="BZ26" s="20">
        <f t="shared" si="32"/>
        <v>224</v>
      </c>
      <c r="CA26" s="20">
        <f t="shared" si="32"/>
        <v>221</v>
      </c>
      <c r="CB26" s="20">
        <f t="shared" si="32"/>
        <v>257</v>
      </c>
      <c r="CC26" s="20">
        <f t="shared" si="32"/>
        <v>239</v>
      </c>
      <c r="CD26" s="20">
        <f t="shared" si="32"/>
        <v>250</v>
      </c>
      <c r="CE26" s="20">
        <f t="shared" si="32"/>
        <v>239</v>
      </c>
      <c r="CF26" s="20">
        <f t="shared" si="32"/>
        <v>242</v>
      </c>
      <c r="CG26" s="20">
        <f t="shared" si="32"/>
        <v>182</v>
      </c>
      <c r="CH26" s="20">
        <f t="shared" si="32"/>
        <v>216</v>
      </c>
      <c r="CI26" s="20">
        <f t="shared" si="32"/>
        <v>208</v>
      </c>
    </row>
    <row r="27" spans="1:87">
      <c r="A27" s="2">
        <v>19</v>
      </c>
      <c r="B27" s="21" t="s">
        <v>259</v>
      </c>
      <c r="C27" s="21"/>
      <c r="D27" s="546">
        <f t="shared" ref="D27:O27" si="33">$C$24*D24+$C$25*D25</f>
        <v>612</v>
      </c>
      <c r="E27" s="546">
        <f t="shared" si="33"/>
        <v>678</v>
      </c>
      <c r="F27" s="546">
        <f t="shared" si="33"/>
        <v>672</v>
      </c>
      <c r="G27" s="546">
        <f t="shared" si="33"/>
        <v>663</v>
      </c>
      <c r="H27" s="546">
        <f t="shared" si="33"/>
        <v>771</v>
      </c>
      <c r="I27" s="546">
        <f t="shared" si="33"/>
        <v>717</v>
      </c>
      <c r="J27" s="546">
        <f t="shared" si="33"/>
        <v>750</v>
      </c>
      <c r="K27" s="546">
        <f t="shared" si="33"/>
        <v>717</v>
      </c>
      <c r="L27" s="546">
        <f t="shared" si="33"/>
        <v>726</v>
      </c>
      <c r="M27" s="546">
        <f t="shared" si="33"/>
        <v>546</v>
      </c>
      <c r="N27" s="546">
        <f t="shared" si="33"/>
        <v>648</v>
      </c>
      <c r="O27" s="546">
        <f t="shared" si="33"/>
        <v>624</v>
      </c>
      <c r="P27" s="546">
        <f t="shared" ref="P27:BK27" si="34">$C$24*P24+$C$25*P25</f>
        <v>612</v>
      </c>
      <c r="Q27" s="546">
        <f t="shared" si="34"/>
        <v>678</v>
      </c>
      <c r="R27" s="546">
        <f t="shared" si="34"/>
        <v>672</v>
      </c>
      <c r="S27" s="546">
        <f t="shared" si="34"/>
        <v>663</v>
      </c>
      <c r="T27" s="546">
        <f t="shared" si="34"/>
        <v>771</v>
      </c>
      <c r="U27" s="546">
        <f t="shared" si="34"/>
        <v>717</v>
      </c>
      <c r="V27" s="546">
        <f t="shared" si="34"/>
        <v>750</v>
      </c>
      <c r="W27" s="546">
        <f t="shared" si="34"/>
        <v>717</v>
      </c>
      <c r="X27" s="546">
        <f t="shared" si="34"/>
        <v>726</v>
      </c>
      <c r="Y27" s="546">
        <f t="shared" si="34"/>
        <v>546</v>
      </c>
      <c r="Z27" s="546">
        <f t="shared" si="34"/>
        <v>648</v>
      </c>
      <c r="AA27" s="546">
        <f t="shared" si="34"/>
        <v>624</v>
      </c>
      <c r="AB27" s="546">
        <f t="shared" si="34"/>
        <v>612</v>
      </c>
      <c r="AC27" s="546">
        <f t="shared" si="34"/>
        <v>678</v>
      </c>
      <c r="AD27" s="546">
        <f t="shared" si="34"/>
        <v>672</v>
      </c>
      <c r="AE27" s="546">
        <f t="shared" si="34"/>
        <v>663</v>
      </c>
      <c r="AF27" s="546">
        <f t="shared" si="34"/>
        <v>771</v>
      </c>
      <c r="AG27" s="546">
        <f t="shared" si="34"/>
        <v>717</v>
      </c>
      <c r="AH27" s="546">
        <f t="shared" si="34"/>
        <v>750</v>
      </c>
      <c r="AI27" s="546">
        <f t="shared" si="34"/>
        <v>717</v>
      </c>
      <c r="AJ27" s="546">
        <f t="shared" si="34"/>
        <v>726</v>
      </c>
      <c r="AK27" s="546">
        <f t="shared" si="34"/>
        <v>546</v>
      </c>
      <c r="AL27" s="546">
        <f t="shared" si="34"/>
        <v>648</v>
      </c>
      <c r="AM27" s="546">
        <f t="shared" si="34"/>
        <v>624</v>
      </c>
      <c r="AN27" s="546">
        <f t="shared" si="34"/>
        <v>612</v>
      </c>
      <c r="AO27" s="546">
        <f t="shared" si="34"/>
        <v>678</v>
      </c>
      <c r="AP27" s="546">
        <f t="shared" si="34"/>
        <v>672</v>
      </c>
      <c r="AQ27" s="546">
        <f t="shared" si="34"/>
        <v>663</v>
      </c>
      <c r="AR27" s="546">
        <f t="shared" si="34"/>
        <v>771</v>
      </c>
      <c r="AS27" s="546">
        <f t="shared" si="34"/>
        <v>717</v>
      </c>
      <c r="AT27" s="546">
        <f t="shared" si="34"/>
        <v>750</v>
      </c>
      <c r="AU27" s="546">
        <f t="shared" si="34"/>
        <v>717</v>
      </c>
      <c r="AV27" s="546">
        <f t="shared" si="34"/>
        <v>726</v>
      </c>
      <c r="AW27" s="546">
        <f t="shared" si="34"/>
        <v>546</v>
      </c>
      <c r="AX27" s="546">
        <f t="shared" si="34"/>
        <v>648</v>
      </c>
      <c r="AY27" s="546">
        <f t="shared" si="34"/>
        <v>624</v>
      </c>
      <c r="AZ27" s="546">
        <f t="shared" si="34"/>
        <v>612</v>
      </c>
      <c r="BA27" s="546">
        <f t="shared" si="34"/>
        <v>678</v>
      </c>
      <c r="BB27" s="546">
        <f t="shared" si="34"/>
        <v>672</v>
      </c>
      <c r="BC27" s="546">
        <f t="shared" si="34"/>
        <v>663</v>
      </c>
      <c r="BD27" s="546">
        <f t="shared" si="34"/>
        <v>771</v>
      </c>
      <c r="BE27" s="546">
        <f t="shared" si="34"/>
        <v>717</v>
      </c>
      <c r="BF27" s="546">
        <f t="shared" si="34"/>
        <v>750</v>
      </c>
      <c r="BG27" s="546">
        <f t="shared" si="34"/>
        <v>717</v>
      </c>
      <c r="BH27" s="546">
        <f t="shared" si="34"/>
        <v>726</v>
      </c>
      <c r="BI27" s="546">
        <f t="shared" si="34"/>
        <v>546</v>
      </c>
      <c r="BJ27" s="546">
        <f t="shared" si="34"/>
        <v>648</v>
      </c>
      <c r="BK27" s="546">
        <f t="shared" si="34"/>
        <v>624</v>
      </c>
      <c r="BL27" s="546">
        <f t="shared" ref="BL27:BW27" si="35">$C$24*BL24+$C$25*BL25</f>
        <v>612</v>
      </c>
      <c r="BM27" s="546">
        <f t="shared" si="35"/>
        <v>678</v>
      </c>
      <c r="BN27" s="546">
        <f t="shared" si="35"/>
        <v>672</v>
      </c>
      <c r="BO27" s="546">
        <f t="shared" si="35"/>
        <v>663</v>
      </c>
      <c r="BP27" s="546">
        <f t="shared" si="35"/>
        <v>771</v>
      </c>
      <c r="BQ27" s="546">
        <f t="shared" si="35"/>
        <v>717</v>
      </c>
      <c r="BR27" s="546">
        <f t="shared" si="35"/>
        <v>750</v>
      </c>
      <c r="BS27" s="546">
        <f t="shared" si="35"/>
        <v>717</v>
      </c>
      <c r="BT27" s="546">
        <f t="shared" si="35"/>
        <v>726</v>
      </c>
      <c r="BU27" s="546">
        <f t="shared" si="35"/>
        <v>546</v>
      </c>
      <c r="BV27" s="546">
        <f t="shared" si="35"/>
        <v>648</v>
      </c>
      <c r="BW27" s="546">
        <f t="shared" si="35"/>
        <v>624</v>
      </c>
      <c r="BX27" s="546">
        <f t="shared" ref="BX27:CI27" si="36">$C$24*BX24+$C$25*BX25</f>
        <v>612</v>
      </c>
      <c r="BY27" s="546">
        <f t="shared" si="36"/>
        <v>678</v>
      </c>
      <c r="BZ27" s="546">
        <f t="shared" si="36"/>
        <v>672</v>
      </c>
      <c r="CA27" s="546">
        <f t="shared" si="36"/>
        <v>663</v>
      </c>
      <c r="CB27" s="546">
        <f t="shared" si="36"/>
        <v>771</v>
      </c>
      <c r="CC27" s="546">
        <f t="shared" si="36"/>
        <v>717</v>
      </c>
      <c r="CD27" s="546">
        <f t="shared" si="36"/>
        <v>750</v>
      </c>
      <c r="CE27" s="546">
        <f t="shared" si="36"/>
        <v>717</v>
      </c>
      <c r="CF27" s="546">
        <f t="shared" si="36"/>
        <v>726</v>
      </c>
      <c r="CG27" s="546">
        <f t="shared" si="36"/>
        <v>546</v>
      </c>
      <c r="CH27" s="546">
        <f t="shared" si="36"/>
        <v>648</v>
      </c>
      <c r="CI27" s="546">
        <f t="shared" si="36"/>
        <v>624</v>
      </c>
    </row>
    <row r="28" spans="1:87">
      <c r="A28" s="2">
        <v>20</v>
      </c>
    </row>
    <row r="29" spans="1:87">
      <c r="A29" s="2">
        <v>21</v>
      </c>
      <c r="B29" s="88" t="s">
        <v>192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</row>
    <row r="30" spans="1:87">
      <c r="A30" s="2">
        <v>22</v>
      </c>
      <c r="B30" s="2" t="s">
        <v>253</v>
      </c>
      <c r="C30" s="11">
        <f>'Rate Design'!N15</f>
        <v>3</v>
      </c>
      <c r="D30" s="6">
        <v>198</v>
      </c>
      <c r="E30" s="6">
        <v>150</v>
      </c>
      <c r="F30" s="6">
        <v>144</v>
      </c>
      <c r="G30" s="6">
        <v>501</v>
      </c>
      <c r="H30" s="6">
        <v>221</v>
      </c>
      <c r="I30" s="6">
        <v>72</v>
      </c>
      <c r="J30" s="6">
        <v>146</v>
      </c>
      <c r="K30" s="6">
        <v>197</v>
      </c>
      <c r="L30" s="6">
        <v>354</v>
      </c>
      <c r="M30" s="6">
        <v>245</v>
      </c>
      <c r="N30" s="6">
        <v>234</v>
      </c>
      <c r="O30" s="6">
        <v>118</v>
      </c>
      <c r="P30" s="6">
        <f>D30</f>
        <v>198</v>
      </c>
      <c r="Q30" s="6">
        <f t="shared" ref="Q30:BK31" si="37">E30</f>
        <v>150</v>
      </c>
      <c r="R30" s="6">
        <f t="shared" si="37"/>
        <v>144</v>
      </c>
      <c r="S30" s="6">
        <f t="shared" si="37"/>
        <v>501</v>
      </c>
      <c r="T30" s="6">
        <f t="shared" si="37"/>
        <v>221</v>
      </c>
      <c r="U30" s="6">
        <f t="shared" si="37"/>
        <v>72</v>
      </c>
      <c r="V30" s="6">
        <f t="shared" si="37"/>
        <v>146</v>
      </c>
      <c r="W30" s="6">
        <f t="shared" si="37"/>
        <v>197</v>
      </c>
      <c r="X30" s="6">
        <f t="shared" si="37"/>
        <v>354</v>
      </c>
      <c r="Y30" s="6">
        <f t="shared" si="37"/>
        <v>245</v>
      </c>
      <c r="Z30" s="6">
        <f t="shared" si="37"/>
        <v>234</v>
      </c>
      <c r="AA30" s="6">
        <f t="shared" si="37"/>
        <v>118</v>
      </c>
      <c r="AB30" s="6">
        <f t="shared" si="37"/>
        <v>198</v>
      </c>
      <c r="AC30" s="6">
        <f t="shared" si="37"/>
        <v>150</v>
      </c>
      <c r="AD30" s="6">
        <f t="shared" si="37"/>
        <v>144</v>
      </c>
      <c r="AE30" s="6">
        <f t="shared" si="37"/>
        <v>501</v>
      </c>
      <c r="AF30" s="6">
        <f t="shared" si="37"/>
        <v>221</v>
      </c>
      <c r="AG30" s="6">
        <f t="shared" si="37"/>
        <v>72</v>
      </c>
      <c r="AH30" s="6">
        <f t="shared" si="37"/>
        <v>146</v>
      </c>
      <c r="AI30" s="6">
        <f t="shared" si="37"/>
        <v>197</v>
      </c>
      <c r="AJ30" s="6">
        <f t="shared" si="37"/>
        <v>354</v>
      </c>
      <c r="AK30" s="6">
        <f t="shared" si="37"/>
        <v>245</v>
      </c>
      <c r="AL30" s="6">
        <f t="shared" si="37"/>
        <v>234</v>
      </c>
      <c r="AM30" s="6">
        <f t="shared" si="37"/>
        <v>118</v>
      </c>
      <c r="AN30" s="6">
        <f t="shared" si="37"/>
        <v>198</v>
      </c>
      <c r="AO30" s="6">
        <f t="shared" si="37"/>
        <v>150</v>
      </c>
      <c r="AP30" s="6">
        <f t="shared" si="37"/>
        <v>144</v>
      </c>
      <c r="AQ30" s="6">
        <f t="shared" si="37"/>
        <v>501</v>
      </c>
      <c r="AR30" s="6">
        <f t="shared" si="37"/>
        <v>221</v>
      </c>
      <c r="AS30" s="6">
        <f t="shared" si="37"/>
        <v>72</v>
      </c>
      <c r="AT30" s="6">
        <f t="shared" si="37"/>
        <v>146</v>
      </c>
      <c r="AU30" s="6">
        <f t="shared" si="37"/>
        <v>197</v>
      </c>
      <c r="AV30" s="6">
        <f t="shared" si="37"/>
        <v>354</v>
      </c>
      <c r="AW30" s="6">
        <f t="shared" si="37"/>
        <v>245</v>
      </c>
      <c r="AX30" s="6">
        <f t="shared" si="37"/>
        <v>234</v>
      </c>
      <c r="AY30" s="6">
        <f t="shared" si="37"/>
        <v>118</v>
      </c>
      <c r="AZ30" s="6">
        <f t="shared" si="37"/>
        <v>198</v>
      </c>
      <c r="BA30" s="6">
        <f t="shared" si="37"/>
        <v>150</v>
      </c>
      <c r="BB30" s="6">
        <f t="shared" si="37"/>
        <v>144</v>
      </c>
      <c r="BC30" s="6">
        <f t="shared" si="37"/>
        <v>501</v>
      </c>
      <c r="BD30" s="6">
        <f t="shared" si="37"/>
        <v>221</v>
      </c>
      <c r="BE30" s="6">
        <f t="shared" si="37"/>
        <v>72</v>
      </c>
      <c r="BF30" s="6">
        <f t="shared" si="37"/>
        <v>146</v>
      </c>
      <c r="BG30" s="6">
        <f t="shared" si="37"/>
        <v>197</v>
      </c>
      <c r="BH30" s="6">
        <f t="shared" si="37"/>
        <v>354</v>
      </c>
      <c r="BI30" s="6">
        <f t="shared" si="37"/>
        <v>245</v>
      </c>
      <c r="BJ30" s="6">
        <f t="shared" si="37"/>
        <v>234</v>
      </c>
      <c r="BK30" s="6">
        <f t="shared" si="37"/>
        <v>118</v>
      </c>
      <c r="BL30" s="6">
        <f t="shared" ref="BL30:BW31" si="38">AZ30</f>
        <v>198</v>
      </c>
      <c r="BM30" s="6">
        <f t="shared" si="38"/>
        <v>150</v>
      </c>
      <c r="BN30" s="6">
        <f t="shared" si="38"/>
        <v>144</v>
      </c>
      <c r="BO30" s="6">
        <f t="shared" si="38"/>
        <v>501</v>
      </c>
      <c r="BP30" s="6">
        <f t="shared" si="38"/>
        <v>221</v>
      </c>
      <c r="BQ30" s="6">
        <f t="shared" si="38"/>
        <v>72</v>
      </c>
      <c r="BR30" s="6">
        <f t="shared" si="38"/>
        <v>146</v>
      </c>
      <c r="BS30" s="6">
        <f t="shared" si="38"/>
        <v>197</v>
      </c>
      <c r="BT30" s="6">
        <f t="shared" si="38"/>
        <v>354</v>
      </c>
      <c r="BU30" s="6">
        <f t="shared" si="38"/>
        <v>245</v>
      </c>
      <c r="BV30" s="6">
        <f t="shared" si="38"/>
        <v>234</v>
      </c>
      <c r="BW30" s="6">
        <f t="shared" si="38"/>
        <v>118</v>
      </c>
      <c r="BX30" s="6">
        <f t="shared" ref="BX30:CI31" si="39">BL30</f>
        <v>198</v>
      </c>
      <c r="BY30" s="6">
        <f t="shared" si="39"/>
        <v>150</v>
      </c>
      <c r="BZ30" s="6">
        <f t="shared" si="39"/>
        <v>144</v>
      </c>
      <c r="CA30" s="6">
        <f t="shared" si="39"/>
        <v>501</v>
      </c>
      <c r="CB30" s="6">
        <f t="shared" si="39"/>
        <v>221</v>
      </c>
      <c r="CC30" s="6">
        <f t="shared" si="39"/>
        <v>72</v>
      </c>
      <c r="CD30" s="6">
        <f t="shared" si="39"/>
        <v>146</v>
      </c>
      <c r="CE30" s="6">
        <f t="shared" si="39"/>
        <v>197</v>
      </c>
      <c r="CF30" s="6">
        <f t="shared" si="39"/>
        <v>354</v>
      </c>
      <c r="CG30" s="6">
        <f t="shared" si="39"/>
        <v>245</v>
      </c>
      <c r="CH30" s="6">
        <f t="shared" si="39"/>
        <v>234</v>
      </c>
      <c r="CI30" s="6">
        <f t="shared" si="39"/>
        <v>118</v>
      </c>
    </row>
    <row r="31" spans="1:87">
      <c r="A31" s="2">
        <v>23</v>
      </c>
      <c r="B31" s="2" t="s">
        <v>254</v>
      </c>
      <c r="C31" s="11">
        <f>'Rate Design'!O15</f>
        <v>47</v>
      </c>
      <c r="D31" s="6">
        <v>0</v>
      </c>
      <c r="E31" s="6">
        <v>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f>D31</f>
        <v>0</v>
      </c>
      <c r="Q31" s="6">
        <f t="shared" si="37"/>
        <v>1</v>
      </c>
      <c r="R31" s="6">
        <f t="shared" si="37"/>
        <v>0</v>
      </c>
      <c r="S31" s="6">
        <f t="shared" si="37"/>
        <v>0</v>
      </c>
      <c r="T31" s="6">
        <f t="shared" si="37"/>
        <v>0</v>
      </c>
      <c r="U31" s="6">
        <f t="shared" si="37"/>
        <v>0</v>
      </c>
      <c r="V31" s="6">
        <f t="shared" si="37"/>
        <v>0</v>
      </c>
      <c r="W31" s="6">
        <f t="shared" si="37"/>
        <v>0</v>
      </c>
      <c r="X31" s="6">
        <f t="shared" si="37"/>
        <v>0</v>
      </c>
      <c r="Y31" s="6">
        <f t="shared" si="37"/>
        <v>0</v>
      </c>
      <c r="Z31" s="6">
        <f t="shared" si="37"/>
        <v>0</v>
      </c>
      <c r="AA31" s="6">
        <f t="shared" si="37"/>
        <v>0</v>
      </c>
      <c r="AB31" s="6">
        <f t="shared" si="37"/>
        <v>0</v>
      </c>
      <c r="AC31" s="6">
        <f t="shared" si="37"/>
        <v>1</v>
      </c>
      <c r="AD31" s="6">
        <f t="shared" si="37"/>
        <v>0</v>
      </c>
      <c r="AE31" s="6">
        <f t="shared" si="37"/>
        <v>0</v>
      </c>
      <c r="AF31" s="6">
        <f t="shared" si="37"/>
        <v>0</v>
      </c>
      <c r="AG31" s="6">
        <f t="shared" si="37"/>
        <v>0</v>
      </c>
      <c r="AH31" s="6">
        <f t="shared" si="37"/>
        <v>0</v>
      </c>
      <c r="AI31" s="6">
        <f t="shared" si="37"/>
        <v>0</v>
      </c>
      <c r="AJ31" s="6">
        <f t="shared" si="37"/>
        <v>0</v>
      </c>
      <c r="AK31" s="6">
        <f t="shared" si="37"/>
        <v>0</v>
      </c>
      <c r="AL31" s="6">
        <f t="shared" si="37"/>
        <v>0</v>
      </c>
      <c r="AM31" s="6">
        <f t="shared" si="37"/>
        <v>0</v>
      </c>
      <c r="AN31" s="6">
        <f t="shared" si="37"/>
        <v>0</v>
      </c>
      <c r="AO31" s="6">
        <f t="shared" si="37"/>
        <v>1</v>
      </c>
      <c r="AP31" s="6">
        <f t="shared" si="37"/>
        <v>0</v>
      </c>
      <c r="AQ31" s="6">
        <f t="shared" si="37"/>
        <v>0</v>
      </c>
      <c r="AR31" s="6">
        <f t="shared" si="37"/>
        <v>0</v>
      </c>
      <c r="AS31" s="6">
        <f t="shared" si="37"/>
        <v>0</v>
      </c>
      <c r="AT31" s="6">
        <f t="shared" si="37"/>
        <v>0</v>
      </c>
      <c r="AU31" s="6">
        <f t="shared" si="37"/>
        <v>0</v>
      </c>
      <c r="AV31" s="6">
        <f t="shared" si="37"/>
        <v>0</v>
      </c>
      <c r="AW31" s="6">
        <f t="shared" si="37"/>
        <v>0</v>
      </c>
      <c r="AX31" s="6">
        <f t="shared" si="37"/>
        <v>0</v>
      </c>
      <c r="AY31" s="6">
        <f t="shared" si="37"/>
        <v>0</v>
      </c>
      <c r="AZ31" s="6">
        <f t="shared" si="37"/>
        <v>0</v>
      </c>
      <c r="BA31" s="6">
        <f t="shared" si="37"/>
        <v>1</v>
      </c>
      <c r="BB31" s="6">
        <f t="shared" si="37"/>
        <v>0</v>
      </c>
      <c r="BC31" s="6">
        <f t="shared" si="37"/>
        <v>0</v>
      </c>
      <c r="BD31" s="6">
        <f t="shared" si="37"/>
        <v>0</v>
      </c>
      <c r="BE31" s="6">
        <f t="shared" si="37"/>
        <v>0</v>
      </c>
      <c r="BF31" s="6">
        <f t="shared" si="37"/>
        <v>0</v>
      </c>
      <c r="BG31" s="6">
        <f t="shared" si="37"/>
        <v>0</v>
      </c>
      <c r="BH31" s="6">
        <f t="shared" si="37"/>
        <v>0</v>
      </c>
      <c r="BI31" s="6">
        <f t="shared" si="37"/>
        <v>0</v>
      </c>
      <c r="BJ31" s="6">
        <f t="shared" si="37"/>
        <v>0</v>
      </c>
      <c r="BK31" s="6">
        <f t="shared" si="37"/>
        <v>0</v>
      </c>
      <c r="BL31" s="6">
        <f t="shared" si="38"/>
        <v>0</v>
      </c>
      <c r="BM31" s="6">
        <f t="shared" si="38"/>
        <v>1</v>
      </c>
      <c r="BN31" s="6">
        <f t="shared" si="38"/>
        <v>0</v>
      </c>
      <c r="BO31" s="6">
        <f t="shared" si="38"/>
        <v>0</v>
      </c>
      <c r="BP31" s="6">
        <f t="shared" si="38"/>
        <v>0</v>
      </c>
      <c r="BQ31" s="6">
        <f t="shared" si="38"/>
        <v>0</v>
      </c>
      <c r="BR31" s="6">
        <f t="shared" si="38"/>
        <v>0</v>
      </c>
      <c r="BS31" s="6">
        <f t="shared" si="38"/>
        <v>0</v>
      </c>
      <c r="BT31" s="6">
        <f t="shared" si="38"/>
        <v>0</v>
      </c>
      <c r="BU31" s="6">
        <f t="shared" si="38"/>
        <v>0</v>
      </c>
      <c r="BV31" s="6">
        <f t="shared" si="38"/>
        <v>0</v>
      </c>
      <c r="BW31" s="6">
        <f t="shared" si="38"/>
        <v>0</v>
      </c>
      <c r="BX31" s="6">
        <f t="shared" si="39"/>
        <v>0</v>
      </c>
      <c r="BY31" s="6">
        <f t="shared" si="39"/>
        <v>1</v>
      </c>
      <c r="BZ31" s="6">
        <f t="shared" si="39"/>
        <v>0</v>
      </c>
      <c r="CA31" s="6">
        <f t="shared" si="39"/>
        <v>0</v>
      </c>
      <c r="CB31" s="6">
        <f t="shared" si="39"/>
        <v>0</v>
      </c>
      <c r="CC31" s="6">
        <f t="shared" si="39"/>
        <v>0</v>
      </c>
      <c r="CD31" s="6">
        <f t="shared" si="39"/>
        <v>0</v>
      </c>
      <c r="CE31" s="6">
        <f t="shared" si="39"/>
        <v>0</v>
      </c>
      <c r="CF31" s="6">
        <f t="shared" si="39"/>
        <v>0</v>
      </c>
      <c r="CG31" s="6">
        <f t="shared" si="39"/>
        <v>0</v>
      </c>
      <c r="CH31" s="6">
        <f t="shared" si="39"/>
        <v>0</v>
      </c>
      <c r="CI31" s="6">
        <f t="shared" si="39"/>
        <v>0</v>
      </c>
    </row>
    <row r="32" spans="1:87">
      <c r="A32" s="2">
        <v>24</v>
      </c>
      <c r="B32" s="21" t="s">
        <v>258</v>
      </c>
      <c r="C32" s="21"/>
      <c r="D32" s="20">
        <f t="shared" ref="D32:P32" si="40">D30+D31</f>
        <v>198</v>
      </c>
      <c r="E32" s="20">
        <f t="shared" si="40"/>
        <v>151</v>
      </c>
      <c r="F32" s="20">
        <f t="shared" si="40"/>
        <v>144</v>
      </c>
      <c r="G32" s="20">
        <f t="shared" si="40"/>
        <v>501</v>
      </c>
      <c r="H32" s="20">
        <f t="shared" si="40"/>
        <v>221</v>
      </c>
      <c r="I32" s="20">
        <f t="shared" si="40"/>
        <v>72</v>
      </c>
      <c r="J32" s="20">
        <f t="shared" si="40"/>
        <v>146</v>
      </c>
      <c r="K32" s="20">
        <f t="shared" si="40"/>
        <v>197</v>
      </c>
      <c r="L32" s="20">
        <f t="shared" si="40"/>
        <v>354</v>
      </c>
      <c r="M32" s="20">
        <f t="shared" si="40"/>
        <v>245</v>
      </c>
      <c r="N32" s="20">
        <f t="shared" si="40"/>
        <v>234</v>
      </c>
      <c r="O32" s="20">
        <f t="shared" si="40"/>
        <v>118</v>
      </c>
      <c r="P32" s="20">
        <f t="shared" si="40"/>
        <v>198</v>
      </c>
      <c r="Q32" s="20">
        <f t="shared" ref="Q32:BK32" si="41">Q30+Q31</f>
        <v>151</v>
      </c>
      <c r="R32" s="20">
        <f t="shared" si="41"/>
        <v>144</v>
      </c>
      <c r="S32" s="20">
        <f t="shared" si="41"/>
        <v>501</v>
      </c>
      <c r="T32" s="20">
        <f t="shared" si="41"/>
        <v>221</v>
      </c>
      <c r="U32" s="20">
        <f t="shared" si="41"/>
        <v>72</v>
      </c>
      <c r="V32" s="20">
        <f t="shared" si="41"/>
        <v>146</v>
      </c>
      <c r="W32" s="20">
        <f t="shared" si="41"/>
        <v>197</v>
      </c>
      <c r="X32" s="20">
        <f t="shared" si="41"/>
        <v>354</v>
      </c>
      <c r="Y32" s="20">
        <f t="shared" si="41"/>
        <v>245</v>
      </c>
      <c r="Z32" s="20">
        <f t="shared" si="41"/>
        <v>234</v>
      </c>
      <c r="AA32" s="20">
        <f t="shared" si="41"/>
        <v>118</v>
      </c>
      <c r="AB32" s="20">
        <f t="shared" si="41"/>
        <v>198</v>
      </c>
      <c r="AC32" s="20">
        <f t="shared" si="41"/>
        <v>151</v>
      </c>
      <c r="AD32" s="20">
        <f t="shared" si="41"/>
        <v>144</v>
      </c>
      <c r="AE32" s="20">
        <f t="shared" si="41"/>
        <v>501</v>
      </c>
      <c r="AF32" s="20">
        <f t="shared" si="41"/>
        <v>221</v>
      </c>
      <c r="AG32" s="20">
        <f t="shared" si="41"/>
        <v>72</v>
      </c>
      <c r="AH32" s="20">
        <f t="shared" si="41"/>
        <v>146</v>
      </c>
      <c r="AI32" s="20">
        <f t="shared" si="41"/>
        <v>197</v>
      </c>
      <c r="AJ32" s="20">
        <f t="shared" si="41"/>
        <v>354</v>
      </c>
      <c r="AK32" s="20">
        <f t="shared" si="41"/>
        <v>245</v>
      </c>
      <c r="AL32" s="20">
        <f t="shared" si="41"/>
        <v>234</v>
      </c>
      <c r="AM32" s="20">
        <f t="shared" si="41"/>
        <v>118</v>
      </c>
      <c r="AN32" s="20">
        <f t="shared" si="41"/>
        <v>198</v>
      </c>
      <c r="AO32" s="20">
        <f t="shared" si="41"/>
        <v>151</v>
      </c>
      <c r="AP32" s="20">
        <f t="shared" si="41"/>
        <v>144</v>
      </c>
      <c r="AQ32" s="20">
        <f t="shared" si="41"/>
        <v>501</v>
      </c>
      <c r="AR32" s="20">
        <f t="shared" si="41"/>
        <v>221</v>
      </c>
      <c r="AS32" s="20">
        <f t="shared" si="41"/>
        <v>72</v>
      </c>
      <c r="AT32" s="20">
        <f t="shared" si="41"/>
        <v>146</v>
      </c>
      <c r="AU32" s="20">
        <f t="shared" si="41"/>
        <v>197</v>
      </c>
      <c r="AV32" s="20">
        <f t="shared" si="41"/>
        <v>354</v>
      </c>
      <c r="AW32" s="20">
        <f t="shared" si="41"/>
        <v>245</v>
      </c>
      <c r="AX32" s="20">
        <f t="shared" si="41"/>
        <v>234</v>
      </c>
      <c r="AY32" s="20">
        <f t="shared" si="41"/>
        <v>118</v>
      </c>
      <c r="AZ32" s="20">
        <f t="shared" si="41"/>
        <v>198</v>
      </c>
      <c r="BA32" s="20">
        <f t="shared" si="41"/>
        <v>151</v>
      </c>
      <c r="BB32" s="20">
        <f t="shared" si="41"/>
        <v>144</v>
      </c>
      <c r="BC32" s="20">
        <f t="shared" si="41"/>
        <v>501</v>
      </c>
      <c r="BD32" s="20">
        <f t="shared" si="41"/>
        <v>221</v>
      </c>
      <c r="BE32" s="20">
        <f t="shared" si="41"/>
        <v>72</v>
      </c>
      <c r="BF32" s="20">
        <f t="shared" si="41"/>
        <v>146</v>
      </c>
      <c r="BG32" s="20">
        <f t="shared" si="41"/>
        <v>197</v>
      </c>
      <c r="BH32" s="20">
        <f t="shared" si="41"/>
        <v>354</v>
      </c>
      <c r="BI32" s="20">
        <f t="shared" si="41"/>
        <v>245</v>
      </c>
      <c r="BJ32" s="20">
        <f t="shared" si="41"/>
        <v>234</v>
      </c>
      <c r="BK32" s="20">
        <f t="shared" si="41"/>
        <v>118</v>
      </c>
      <c r="BL32" s="20">
        <f t="shared" ref="BL32:BW32" si="42">BL30+BL31</f>
        <v>198</v>
      </c>
      <c r="BM32" s="20">
        <f t="shared" si="42"/>
        <v>151</v>
      </c>
      <c r="BN32" s="20">
        <f t="shared" si="42"/>
        <v>144</v>
      </c>
      <c r="BO32" s="20">
        <f t="shared" si="42"/>
        <v>501</v>
      </c>
      <c r="BP32" s="20">
        <f t="shared" si="42"/>
        <v>221</v>
      </c>
      <c r="BQ32" s="20">
        <f t="shared" si="42"/>
        <v>72</v>
      </c>
      <c r="BR32" s="20">
        <f t="shared" si="42"/>
        <v>146</v>
      </c>
      <c r="BS32" s="20">
        <f t="shared" si="42"/>
        <v>197</v>
      </c>
      <c r="BT32" s="20">
        <f t="shared" si="42"/>
        <v>354</v>
      </c>
      <c r="BU32" s="20">
        <f t="shared" si="42"/>
        <v>245</v>
      </c>
      <c r="BV32" s="20">
        <f t="shared" si="42"/>
        <v>234</v>
      </c>
      <c r="BW32" s="20">
        <f t="shared" si="42"/>
        <v>118</v>
      </c>
      <c r="BX32" s="20">
        <f t="shared" ref="BX32:CI32" si="43">BX30+BX31</f>
        <v>198</v>
      </c>
      <c r="BY32" s="20">
        <f t="shared" si="43"/>
        <v>151</v>
      </c>
      <c r="BZ32" s="20">
        <f t="shared" si="43"/>
        <v>144</v>
      </c>
      <c r="CA32" s="20">
        <f t="shared" si="43"/>
        <v>501</v>
      </c>
      <c r="CB32" s="20">
        <f t="shared" si="43"/>
        <v>221</v>
      </c>
      <c r="CC32" s="20">
        <f t="shared" si="43"/>
        <v>72</v>
      </c>
      <c r="CD32" s="20">
        <f t="shared" si="43"/>
        <v>146</v>
      </c>
      <c r="CE32" s="20">
        <f t="shared" si="43"/>
        <v>197</v>
      </c>
      <c r="CF32" s="20">
        <f t="shared" si="43"/>
        <v>354</v>
      </c>
      <c r="CG32" s="20">
        <f t="shared" si="43"/>
        <v>245</v>
      </c>
      <c r="CH32" s="20">
        <f t="shared" si="43"/>
        <v>234</v>
      </c>
      <c r="CI32" s="20">
        <f t="shared" si="43"/>
        <v>118</v>
      </c>
    </row>
    <row r="33" spans="1:87">
      <c r="A33" s="2">
        <v>25</v>
      </c>
      <c r="B33" s="21" t="s">
        <v>259</v>
      </c>
      <c r="C33" s="21"/>
      <c r="D33" s="546">
        <f t="shared" ref="D33:O33" si="44">$C$30*D30+$C$31*D31</f>
        <v>594</v>
      </c>
      <c r="E33" s="546">
        <f t="shared" si="44"/>
        <v>497</v>
      </c>
      <c r="F33" s="546">
        <f t="shared" si="44"/>
        <v>432</v>
      </c>
      <c r="G33" s="546">
        <f t="shared" si="44"/>
        <v>1503</v>
      </c>
      <c r="H33" s="546">
        <f t="shared" si="44"/>
        <v>663</v>
      </c>
      <c r="I33" s="546">
        <f t="shared" si="44"/>
        <v>216</v>
      </c>
      <c r="J33" s="546">
        <f t="shared" si="44"/>
        <v>438</v>
      </c>
      <c r="K33" s="546">
        <f t="shared" si="44"/>
        <v>591</v>
      </c>
      <c r="L33" s="546">
        <f t="shared" si="44"/>
        <v>1062</v>
      </c>
      <c r="M33" s="546">
        <f t="shared" si="44"/>
        <v>735</v>
      </c>
      <c r="N33" s="546">
        <f t="shared" si="44"/>
        <v>702</v>
      </c>
      <c r="O33" s="546">
        <f t="shared" si="44"/>
        <v>354</v>
      </c>
      <c r="P33" s="546">
        <f t="shared" ref="P33:BK33" si="45">$C$30*P30+$C$31*P31</f>
        <v>594</v>
      </c>
      <c r="Q33" s="546">
        <f t="shared" si="45"/>
        <v>497</v>
      </c>
      <c r="R33" s="546">
        <f t="shared" si="45"/>
        <v>432</v>
      </c>
      <c r="S33" s="546">
        <f t="shared" si="45"/>
        <v>1503</v>
      </c>
      <c r="T33" s="546">
        <f t="shared" si="45"/>
        <v>663</v>
      </c>
      <c r="U33" s="546">
        <f t="shared" si="45"/>
        <v>216</v>
      </c>
      <c r="V33" s="546">
        <f t="shared" si="45"/>
        <v>438</v>
      </c>
      <c r="W33" s="546">
        <f t="shared" si="45"/>
        <v>591</v>
      </c>
      <c r="X33" s="546">
        <f t="shared" si="45"/>
        <v>1062</v>
      </c>
      <c r="Y33" s="546">
        <f t="shared" si="45"/>
        <v>735</v>
      </c>
      <c r="Z33" s="546">
        <f t="shared" si="45"/>
        <v>702</v>
      </c>
      <c r="AA33" s="546">
        <f t="shared" si="45"/>
        <v>354</v>
      </c>
      <c r="AB33" s="546">
        <f t="shared" si="45"/>
        <v>594</v>
      </c>
      <c r="AC33" s="546">
        <f t="shared" si="45"/>
        <v>497</v>
      </c>
      <c r="AD33" s="546">
        <f t="shared" si="45"/>
        <v>432</v>
      </c>
      <c r="AE33" s="546">
        <f t="shared" si="45"/>
        <v>1503</v>
      </c>
      <c r="AF33" s="546">
        <f t="shared" si="45"/>
        <v>663</v>
      </c>
      <c r="AG33" s="546">
        <f t="shared" si="45"/>
        <v>216</v>
      </c>
      <c r="AH33" s="546">
        <f t="shared" si="45"/>
        <v>438</v>
      </c>
      <c r="AI33" s="546">
        <f t="shared" si="45"/>
        <v>591</v>
      </c>
      <c r="AJ33" s="546">
        <f t="shared" si="45"/>
        <v>1062</v>
      </c>
      <c r="AK33" s="546">
        <f t="shared" si="45"/>
        <v>735</v>
      </c>
      <c r="AL33" s="546">
        <f t="shared" si="45"/>
        <v>702</v>
      </c>
      <c r="AM33" s="546">
        <f t="shared" si="45"/>
        <v>354</v>
      </c>
      <c r="AN33" s="546">
        <f t="shared" si="45"/>
        <v>594</v>
      </c>
      <c r="AO33" s="546">
        <f t="shared" si="45"/>
        <v>497</v>
      </c>
      <c r="AP33" s="546">
        <f t="shared" si="45"/>
        <v>432</v>
      </c>
      <c r="AQ33" s="546">
        <f t="shared" si="45"/>
        <v>1503</v>
      </c>
      <c r="AR33" s="546">
        <f t="shared" si="45"/>
        <v>663</v>
      </c>
      <c r="AS33" s="546">
        <f t="shared" si="45"/>
        <v>216</v>
      </c>
      <c r="AT33" s="546">
        <f t="shared" si="45"/>
        <v>438</v>
      </c>
      <c r="AU33" s="546">
        <f t="shared" si="45"/>
        <v>591</v>
      </c>
      <c r="AV33" s="546">
        <f t="shared" si="45"/>
        <v>1062</v>
      </c>
      <c r="AW33" s="546">
        <f t="shared" si="45"/>
        <v>735</v>
      </c>
      <c r="AX33" s="546">
        <f t="shared" si="45"/>
        <v>702</v>
      </c>
      <c r="AY33" s="546">
        <f t="shared" si="45"/>
        <v>354</v>
      </c>
      <c r="AZ33" s="546">
        <f t="shared" si="45"/>
        <v>594</v>
      </c>
      <c r="BA33" s="546">
        <f t="shared" si="45"/>
        <v>497</v>
      </c>
      <c r="BB33" s="546">
        <f t="shared" si="45"/>
        <v>432</v>
      </c>
      <c r="BC33" s="546">
        <f t="shared" si="45"/>
        <v>1503</v>
      </c>
      <c r="BD33" s="546">
        <f t="shared" si="45"/>
        <v>663</v>
      </c>
      <c r="BE33" s="546">
        <f t="shared" si="45"/>
        <v>216</v>
      </c>
      <c r="BF33" s="546">
        <f t="shared" si="45"/>
        <v>438</v>
      </c>
      <c r="BG33" s="546">
        <f t="shared" si="45"/>
        <v>591</v>
      </c>
      <c r="BH33" s="546">
        <f t="shared" si="45"/>
        <v>1062</v>
      </c>
      <c r="BI33" s="546">
        <f t="shared" si="45"/>
        <v>735</v>
      </c>
      <c r="BJ33" s="546">
        <f t="shared" si="45"/>
        <v>702</v>
      </c>
      <c r="BK33" s="546">
        <f t="shared" si="45"/>
        <v>354</v>
      </c>
      <c r="BL33" s="546">
        <f t="shared" ref="BL33:BW33" si="46">$C$30*BL30+$C$31*BL31</f>
        <v>594</v>
      </c>
      <c r="BM33" s="546">
        <f t="shared" si="46"/>
        <v>497</v>
      </c>
      <c r="BN33" s="546">
        <f t="shared" si="46"/>
        <v>432</v>
      </c>
      <c r="BO33" s="546">
        <f t="shared" si="46"/>
        <v>1503</v>
      </c>
      <c r="BP33" s="546">
        <f t="shared" si="46"/>
        <v>663</v>
      </c>
      <c r="BQ33" s="546">
        <f t="shared" si="46"/>
        <v>216</v>
      </c>
      <c r="BR33" s="546">
        <f t="shared" si="46"/>
        <v>438</v>
      </c>
      <c r="BS33" s="546">
        <f t="shared" si="46"/>
        <v>591</v>
      </c>
      <c r="BT33" s="546">
        <f t="shared" si="46"/>
        <v>1062</v>
      </c>
      <c r="BU33" s="546">
        <f t="shared" si="46"/>
        <v>735</v>
      </c>
      <c r="BV33" s="546">
        <f t="shared" si="46"/>
        <v>702</v>
      </c>
      <c r="BW33" s="546">
        <f t="shared" si="46"/>
        <v>354</v>
      </c>
      <c r="BX33" s="546">
        <f t="shared" ref="BX33:CI33" si="47">$C$30*BX30+$C$31*BX31</f>
        <v>594</v>
      </c>
      <c r="BY33" s="546">
        <f t="shared" si="47"/>
        <v>497</v>
      </c>
      <c r="BZ33" s="546">
        <f t="shared" si="47"/>
        <v>432</v>
      </c>
      <c r="CA33" s="546">
        <f t="shared" si="47"/>
        <v>1503</v>
      </c>
      <c r="CB33" s="546">
        <f t="shared" si="47"/>
        <v>663</v>
      </c>
      <c r="CC33" s="546">
        <f t="shared" si="47"/>
        <v>216</v>
      </c>
      <c r="CD33" s="546">
        <f t="shared" si="47"/>
        <v>438</v>
      </c>
      <c r="CE33" s="546">
        <f t="shared" si="47"/>
        <v>591</v>
      </c>
      <c r="CF33" s="546">
        <f t="shared" si="47"/>
        <v>1062</v>
      </c>
      <c r="CG33" s="546">
        <f t="shared" si="47"/>
        <v>735</v>
      </c>
      <c r="CH33" s="546">
        <f t="shared" si="47"/>
        <v>702</v>
      </c>
      <c r="CI33" s="546">
        <f t="shared" si="47"/>
        <v>354</v>
      </c>
    </row>
    <row r="34" spans="1:87">
      <c r="A34" s="2">
        <v>26</v>
      </c>
    </row>
    <row r="35" spans="1:87">
      <c r="A35" s="2">
        <v>27</v>
      </c>
      <c r="B35" s="88" t="s">
        <v>193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</row>
    <row r="36" spans="1:87">
      <c r="A36" s="2">
        <v>28</v>
      </c>
      <c r="B36" s="2" t="s">
        <v>253</v>
      </c>
      <c r="C36" s="11">
        <f>'Rate Design'!N16</f>
        <v>3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f>D36</f>
        <v>0</v>
      </c>
      <c r="Q36" s="6">
        <f t="shared" ref="Q36:BK37" si="48">E36</f>
        <v>0</v>
      </c>
      <c r="R36" s="6">
        <f t="shared" si="48"/>
        <v>0</v>
      </c>
      <c r="S36" s="6">
        <f t="shared" si="48"/>
        <v>0</v>
      </c>
      <c r="T36" s="6">
        <f t="shared" si="48"/>
        <v>0</v>
      </c>
      <c r="U36" s="6">
        <f t="shared" si="48"/>
        <v>0</v>
      </c>
      <c r="V36" s="6">
        <f t="shared" si="48"/>
        <v>0</v>
      </c>
      <c r="W36" s="6">
        <f t="shared" si="48"/>
        <v>0</v>
      </c>
      <c r="X36" s="6">
        <f t="shared" si="48"/>
        <v>0</v>
      </c>
      <c r="Y36" s="6">
        <f t="shared" si="48"/>
        <v>0</v>
      </c>
      <c r="Z36" s="6">
        <f t="shared" si="48"/>
        <v>0</v>
      </c>
      <c r="AA36" s="6">
        <f t="shared" si="48"/>
        <v>0</v>
      </c>
      <c r="AB36" s="6">
        <f t="shared" si="48"/>
        <v>0</v>
      </c>
      <c r="AC36" s="6">
        <f t="shared" si="48"/>
        <v>0</v>
      </c>
      <c r="AD36" s="6">
        <f t="shared" si="48"/>
        <v>0</v>
      </c>
      <c r="AE36" s="6">
        <f t="shared" si="48"/>
        <v>0</v>
      </c>
      <c r="AF36" s="6">
        <f t="shared" si="48"/>
        <v>0</v>
      </c>
      <c r="AG36" s="6">
        <f t="shared" si="48"/>
        <v>0</v>
      </c>
      <c r="AH36" s="6">
        <f t="shared" si="48"/>
        <v>0</v>
      </c>
      <c r="AI36" s="6">
        <f t="shared" si="48"/>
        <v>0</v>
      </c>
      <c r="AJ36" s="6">
        <f t="shared" si="48"/>
        <v>0</v>
      </c>
      <c r="AK36" s="6">
        <f t="shared" si="48"/>
        <v>0</v>
      </c>
      <c r="AL36" s="6">
        <f t="shared" si="48"/>
        <v>0</v>
      </c>
      <c r="AM36" s="6">
        <f t="shared" si="48"/>
        <v>0</v>
      </c>
      <c r="AN36" s="6">
        <f t="shared" si="48"/>
        <v>0</v>
      </c>
      <c r="AO36" s="6">
        <f t="shared" si="48"/>
        <v>0</v>
      </c>
      <c r="AP36" s="6">
        <f t="shared" si="48"/>
        <v>0</v>
      </c>
      <c r="AQ36" s="6">
        <f t="shared" si="48"/>
        <v>0</v>
      </c>
      <c r="AR36" s="6">
        <f t="shared" si="48"/>
        <v>0</v>
      </c>
      <c r="AS36" s="6">
        <f t="shared" si="48"/>
        <v>0</v>
      </c>
      <c r="AT36" s="6">
        <f t="shared" si="48"/>
        <v>0</v>
      </c>
      <c r="AU36" s="6">
        <f t="shared" si="48"/>
        <v>0</v>
      </c>
      <c r="AV36" s="6">
        <f t="shared" si="48"/>
        <v>0</v>
      </c>
      <c r="AW36" s="6">
        <f t="shared" si="48"/>
        <v>0</v>
      </c>
      <c r="AX36" s="6">
        <f t="shared" si="48"/>
        <v>0</v>
      </c>
      <c r="AY36" s="6">
        <f t="shared" si="48"/>
        <v>0</v>
      </c>
      <c r="AZ36" s="6">
        <f t="shared" si="48"/>
        <v>0</v>
      </c>
      <c r="BA36" s="6">
        <f t="shared" si="48"/>
        <v>0</v>
      </c>
      <c r="BB36" s="6">
        <f t="shared" si="48"/>
        <v>0</v>
      </c>
      <c r="BC36" s="6">
        <f t="shared" si="48"/>
        <v>0</v>
      </c>
      <c r="BD36" s="6">
        <f t="shared" si="48"/>
        <v>0</v>
      </c>
      <c r="BE36" s="6">
        <f t="shared" si="48"/>
        <v>0</v>
      </c>
      <c r="BF36" s="6">
        <f t="shared" si="48"/>
        <v>0</v>
      </c>
      <c r="BG36" s="6">
        <f t="shared" si="48"/>
        <v>0</v>
      </c>
      <c r="BH36" s="6">
        <f t="shared" si="48"/>
        <v>0</v>
      </c>
      <c r="BI36" s="6">
        <f t="shared" si="48"/>
        <v>0</v>
      </c>
      <c r="BJ36" s="6">
        <f t="shared" si="48"/>
        <v>0</v>
      </c>
      <c r="BK36" s="6">
        <f t="shared" si="48"/>
        <v>0</v>
      </c>
      <c r="BL36" s="6">
        <f t="shared" ref="BL36:BW37" si="49">AZ36</f>
        <v>0</v>
      </c>
      <c r="BM36" s="6">
        <f t="shared" si="49"/>
        <v>0</v>
      </c>
      <c r="BN36" s="6">
        <f t="shared" si="49"/>
        <v>0</v>
      </c>
      <c r="BO36" s="6">
        <f t="shared" si="49"/>
        <v>0</v>
      </c>
      <c r="BP36" s="6">
        <f t="shared" si="49"/>
        <v>0</v>
      </c>
      <c r="BQ36" s="6">
        <f t="shared" si="49"/>
        <v>0</v>
      </c>
      <c r="BR36" s="6">
        <f t="shared" si="49"/>
        <v>0</v>
      </c>
      <c r="BS36" s="6">
        <f t="shared" si="49"/>
        <v>0</v>
      </c>
      <c r="BT36" s="6">
        <f t="shared" si="49"/>
        <v>0</v>
      </c>
      <c r="BU36" s="6">
        <f t="shared" si="49"/>
        <v>0</v>
      </c>
      <c r="BV36" s="6">
        <f t="shared" si="49"/>
        <v>0</v>
      </c>
      <c r="BW36" s="6">
        <f t="shared" si="49"/>
        <v>0</v>
      </c>
      <c r="BX36" s="6">
        <f t="shared" ref="BX36:CI37" si="50">BL36</f>
        <v>0</v>
      </c>
      <c r="BY36" s="6">
        <f t="shared" si="50"/>
        <v>0</v>
      </c>
      <c r="BZ36" s="6">
        <f t="shared" si="50"/>
        <v>0</v>
      </c>
      <c r="CA36" s="6">
        <f t="shared" si="50"/>
        <v>0</v>
      </c>
      <c r="CB36" s="6">
        <f t="shared" si="50"/>
        <v>0</v>
      </c>
      <c r="CC36" s="6">
        <f t="shared" si="50"/>
        <v>0</v>
      </c>
      <c r="CD36" s="6">
        <f t="shared" si="50"/>
        <v>0</v>
      </c>
      <c r="CE36" s="6">
        <f t="shared" si="50"/>
        <v>0</v>
      </c>
      <c r="CF36" s="6">
        <f t="shared" si="50"/>
        <v>0</v>
      </c>
      <c r="CG36" s="6">
        <f t="shared" si="50"/>
        <v>0</v>
      </c>
      <c r="CH36" s="6">
        <f t="shared" si="50"/>
        <v>0</v>
      </c>
      <c r="CI36" s="6">
        <f t="shared" si="50"/>
        <v>0</v>
      </c>
    </row>
    <row r="37" spans="1:87">
      <c r="A37" s="2">
        <v>25</v>
      </c>
      <c r="B37" s="2" t="s">
        <v>254</v>
      </c>
      <c r="C37" s="11">
        <f>'Rate Design'!O16</f>
        <v>60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f>D37</f>
        <v>0</v>
      </c>
      <c r="Q37" s="6">
        <f t="shared" si="48"/>
        <v>0</v>
      </c>
      <c r="R37" s="6">
        <f t="shared" si="48"/>
        <v>0</v>
      </c>
      <c r="S37" s="6">
        <f t="shared" si="48"/>
        <v>0</v>
      </c>
      <c r="T37" s="6">
        <f t="shared" si="48"/>
        <v>0</v>
      </c>
      <c r="U37" s="6">
        <f t="shared" si="48"/>
        <v>0</v>
      </c>
      <c r="V37" s="6">
        <f t="shared" si="48"/>
        <v>0</v>
      </c>
      <c r="W37" s="6">
        <f t="shared" si="48"/>
        <v>0</v>
      </c>
      <c r="X37" s="6">
        <f t="shared" si="48"/>
        <v>0</v>
      </c>
      <c r="Y37" s="6">
        <f t="shared" si="48"/>
        <v>0</v>
      </c>
      <c r="Z37" s="6">
        <f t="shared" si="48"/>
        <v>0</v>
      </c>
      <c r="AA37" s="6">
        <f t="shared" si="48"/>
        <v>0</v>
      </c>
      <c r="AB37" s="6">
        <f t="shared" si="48"/>
        <v>0</v>
      </c>
      <c r="AC37" s="6">
        <f t="shared" si="48"/>
        <v>0</v>
      </c>
      <c r="AD37" s="6">
        <f t="shared" si="48"/>
        <v>0</v>
      </c>
      <c r="AE37" s="6">
        <f t="shared" si="48"/>
        <v>0</v>
      </c>
      <c r="AF37" s="6">
        <f t="shared" si="48"/>
        <v>0</v>
      </c>
      <c r="AG37" s="6">
        <f t="shared" si="48"/>
        <v>0</v>
      </c>
      <c r="AH37" s="6">
        <f t="shared" si="48"/>
        <v>0</v>
      </c>
      <c r="AI37" s="6">
        <f t="shared" si="48"/>
        <v>0</v>
      </c>
      <c r="AJ37" s="6">
        <f t="shared" si="48"/>
        <v>0</v>
      </c>
      <c r="AK37" s="6">
        <f t="shared" si="48"/>
        <v>0</v>
      </c>
      <c r="AL37" s="6">
        <f t="shared" si="48"/>
        <v>0</v>
      </c>
      <c r="AM37" s="6">
        <f t="shared" si="48"/>
        <v>0</v>
      </c>
      <c r="AN37" s="6">
        <f t="shared" si="48"/>
        <v>0</v>
      </c>
      <c r="AO37" s="6">
        <f t="shared" si="48"/>
        <v>0</v>
      </c>
      <c r="AP37" s="6">
        <f t="shared" si="48"/>
        <v>0</v>
      </c>
      <c r="AQ37" s="6">
        <f t="shared" si="48"/>
        <v>0</v>
      </c>
      <c r="AR37" s="6">
        <f t="shared" si="48"/>
        <v>0</v>
      </c>
      <c r="AS37" s="6">
        <f t="shared" si="48"/>
        <v>0</v>
      </c>
      <c r="AT37" s="6">
        <f t="shared" si="48"/>
        <v>0</v>
      </c>
      <c r="AU37" s="6">
        <f t="shared" si="48"/>
        <v>0</v>
      </c>
      <c r="AV37" s="6">
        <f t="shared" si="48"/>
        <v>0</v>
      </c>
      <c r="AW37" s="6">
        <f t="shared" si="48"/>
        <v>0</v>
      </c>
      <c r="AX37" s="6">
        <f t="shared" si="48"/>
        <v>0</v>
      </c>
      <c r="AY37" s="6">
        <f t="shared" si="48"/>
        <v>0</v>
      </c>
      <c r="AZ37" s="6">
        <f t="shared" si="48"/>
        <v>0</v>
      </c>
      <c r="BA37" s="6">
        <f t="shared" si="48"/>
        <v>0</v>
      </c>
      <c r="BB37" s="6">
        <f t="shared" si="48"/>
        <v>0</v>
      </c>
      <c r="BC37" s="6">
        <f t="shared" si="48"/>
        <v>0</v>
      </c>
      <c r="BD37" s="6">
        <f t="shared" si="48"/>
        <v>0</v>
      </c>
      <c r="BE37" s="6">
        <f t="shared" si="48"/>
        <v>0</v>
      </c>
      <c r="BF37" s="6">
        <f t="shared" si="48"/>
        <v>0</v>
      </c>
      <c r="BG37" s="6">
        <f t="shared" si="48"/>
        <v>0</v>
      </c>
      <c r="BH37" s="6">
        <f t="shared" si="48"/>
        <v>0</v>
      </c>
      <c r="BI37" s="6">
        <f t="shared" si="48"/>
        <v>0</v>
      </c>
      <c r="BJ37" s="6">
        <f t="shared" si="48"/>
        <v>0</v>
      </c>
      <c r="BK37" s="6">
        <f t="shared" si="48"/>
        <v>0</v>
      </c>
      <c r="BL37" s="6">
        <f t="shared" si="49"/>
        <v>0</v>
      </c>
      <c r="BM37" s="6">
        <f t="shared" si="49"/>
        <v>0</v>
      </c>
      <c r="BN37" s="6">
        <f t="shared" si="49"/>
        <v>0</v>
      </c>
      <c r="BO37" s="6">
        <f t="shared" si="49"/>
        <v>0</v>
      </c>
      <c r="BP37" s="6">
        <f t="shared" si="49"/>
        <v>0</v>
      </c>
      <c r="BQ37" s="6">
        <f t="shared" si="49"/>
        <v>0</v>
      </c>
      <c r="BR37" s="6">
        <f t="shared" si="49"/>
        <v>0</v>
      </c>
      <c r="BS37" s="6">
        <f t="shared" si="49"/>
        <v>0</v>
      </c>
      <c r="BT37" s="6">
        <f t="shared" si="49"/>
        <v>0</v>
      </c>
      <c r="BU37" s="6">
        <f t="shared" si="49"/>
        <v>0</v>
      </c>
      <c r="BV37" s="6">
        <f t="shared" si="49"/>
        <v>0</v>
      </c>
      <c r="BW37" s="6">
        <f t="shared" si="49"/>
        <v>0</v>
      </c>
      <c r="BX37" s="6">
        <f t="shared" si="50"/>
        <v>0</v>
      </c>
      <c r="BY37" s="6">
        <f t="shared" si="50"/>
        <v>0</v>
      </c>
      <c r="BZ37" s="6">
        <f t="shared" si="50"/>
        <v>0</v>
      </c>
      <c r="CA37" s="6">
        <f t="shared" si="50"/>
        <v>0</v>
      </c>
      <c r="CB37" s="6">
        <f t="shared" si="50"/>
        <v>0</v>
      </c>
      <c r="CC37" s="6">
        <f t="shared" si="50"/>
        <v>0</v>
      </c>
      <c r="CD37" s="6">
        <f t="shared" si="50"/>
        <v>0</v>
      </c>
      <c r="CE37" s="6">
        <f t="shared" si="50"/>
        <v>0</v>
      </c>
      <c r="CF37" s="6">
        <f t="shared" si="50"/>
        <v>0</v>
      </c>
      <c r="CG37" s="6">
        <f t="shared" si="50"/>
        <v>0</v>
      </c>
      <c r="CH37" s="6">
        <f t="shared" si="50"/>
        <v>0</v>
      </c>
      <c r="CI37" s="6">
        <f t="shared" si="50"/>
        <v>0</v>
      </c>
    </row>
    <row r="38" spans="1:87">
      <c r="A38" s="2">
        <v>26</v>
      </c>
      <c r="B38" s="21" t="s">
        <v>258</v>
      </c>
      <c r="C38" s="21"/>
      <c r="D38" s="20">
        <f t="shared" ref="D38:P38" si="51">D36+D37</f>
        <v>0</v>
      </c>
      <c r="E38" s="20">
        <f t="shared" si="51"/>
        <v>0</v>
      </c>
      <c r="F38" s="20">
        <f t="shared" si="51"/>
        <v>0</v>
      </c>
      <c r="G38" s="20">
        <f t="shared" si="51"/>
        <v>0</v>
      </c>
      <c r="H38" s="20">
        <f t="shared" si="51"/>
        <v>0</v>
      </c>
      <c r="I38" s="20">
        <f t="shared" si="51"/>
        <v>0</v>
      </c>
      <c r="J38" s="20">
        <f t="shared" si="51"/>
        <v>0</v>
      </c>
      <c r="K38" s="20">
        <f t="shared" si="51"/>
        <v>0</v>
      </c>
      <c r="L38" s="20">
        <f t="shared" si="51"/>
        <v>0</v>
      </c>
      <c r="M38" s="20">
        <f t="shared" si="51"/>
        <v>0</v>
      </c>
      <c r="N38" s="20">
        <f t="shared" si="51"/>
        <v>0</v>
      </c>
      <c r="O38" s="20">
        <f t="shared" si="51"/>
        <v>0</v>
      </c>
      <c r="P38" s="20">
        <f t="shared" si="51"/>
        <v>0</v>
      </c>
      <c r="Q38" s="20">
        <f t="shared" ref="Q38:BK38" si="52">Q36+Q37</f>
        <v>0</v>
      </c>
      <c r="R38" s="20">
        <f t="shared" si="52"/>
        <v>0</v>
      </c>
      <c r="S38" s="20">
        <f t="shared" si="52"/>
        <v>0</v>
      </c>
      <c r="T38" s="20">
        <f t="shared" si="52"/>
        <v>0</v>
      </c>
      <c r="U38" s="20">
        <f t="shared" si="52"/>
        <v>0</v>
      </c>
      <c r="V38" s="20">
        <f t="shared" si="52"/>
        <v>0</v>
      </c>
      <c r="W38" s="20">
        <f t="shared" si="52"/>
        <v>0</v>
      </c>
      <c r="X38" s="20">
        <f t="shared" si="52"/>
        <v>0</v>
      </c>
      <c r="Y38" s="20">
        <f t="shared" si="52"/>
        <v>0</v>
      </c>
      <c r="Z38" s="20">
        <f t="shared" si="52"/>
        <v>0</v>
      </c>
      <c r="AA38" s="20">
        <f t="shared" si="52"/>
        <v>0</v>
      </c>
      <c r="AB38" s="20">
        <f t="shared" si="52"/>
        <v>0</v>
      </c>
      <c r="AC38" s="20">
        <f t="shared" si="52"/>
        <v>0</v>
      </c>
      <c r="AD38" s="20">
        <f t="shared" si="52"/>
        <v>0</v>
      </c>
      <c r="AE38" s="20">
        <f t="shared" si="52"/>
        <v>0</v>
      </c>
      <c r="AF38" s="20">
        <f t="shared" si="52"/>
        <v>0</v>
      </c>
      <c r="AG38" s="20">
        <f t="shared" si="52"/>
        <v>0</v>
      </c>
      <c r="AH38" s="20">
        <f t="shared" si="52"/>
        <v>0</v>
      </c>
      <c r="AI38" s="20">
        <f t="shared" si="52"/>
        <v>0</v>
      </c>
      <c r="AJ38" s="20">
        <f t="shared" si="52"/>
        <v>0</v>
      </c>
      <c r="AK38" s="20">
        <f t="shared" si="52"/>
        <v>0</v>
      </c>
      <c r="AL38" s="20">
        <f t="shared" si="52"/>
        <v>0</v>
      </c>
      <c r="AM38" s="20">
        <f t="shared" si="52"/>
        <v>0</v>
      </c>
      <c r="AN38" s="20">
        <f t="shared" si="52"/>
        <v>0</v>
      </c>
      <c r="AO38" s="20">
        <f t="shared" si="52"/>
        <v>0</v>
      </c>
      <c r="AP38" s="20">
        <f t="shared" si="52"/>
        <v>0</v>
      </c>
      <c r="AQ38" s="20">
        <f t="shared" si="52"/>
        <v>0</v>
      </c>
      <c r="AR38" s="20">
        <f t="shared" si="52"/>
        <v>0</v>
      </c>
      <c r="AS38" s="20">
        <f t="shared" si="52"/>
        <v>0</v>
      </c>
      <c r="AT38" s="20">
        <f t="shared" si="52"/>
        <v>0</v>
      </c>
      <c r="AU38" s="20">
        <f t="shared" si="52"/>
        <v>0</v>
      </c>
      <c r="AV38" s="20">
        <f t="shared" si="52"/>
        <v>0</v>
      </c>
      <c r="AW38" s="20">
        <f t="shared" si="52"/>
        <v>0</v>
      </c>
      <c r="AX38" s="20">
        <f t="shared" si="52"/>
        <v>0</v>
      </c>
      <c r="AY38" s="20">
        <f t="shared" si="52"/>
        <v>0</v>
      </c>
      <c r="AZ38" s="20">
        <f t="shared" si="52"/>
        <v>0</v>
      </c>
      <c r="BA38" s="20">
        <f t="shared" si="52"/>
        <v>0</v>
      </c>
      <c r="BB38" s="20">
        <f t="shared" si="52"/>
        <v>0</v>
      </c>
      <c r="BC38" s="20">
        <f t="shared" si="52"/>
        <v>0</v>
      </c>
      <c r="BD38" s="20">
        <f t="shared" si="52"/>
        <v>0</v>
      </c>
      <c r="BE38" s="20">
        <f t="shared" si="52"/>
        <v>0</v>
      </c>
      <c r="BF38" s="20">
        <f t="shared" si="52"/>
        <v>0</v>
      </c>
      <c r="BG38" s="20">
        <f t="shared" si="52"/>
        <v>0</v>
      </c>
      <c r="BH38" s="20">
        <f t="shared" si="52"/>
        <v>0</v>
      </c>
      <c r="BI38" s="20">
        <f t="shared" si="52"/>
        <v>0</v>
      </c>
      <c r="BJ38" s="20">
        <f t="shared" si="52"/>
        <v>0</v>
      </c>
      <c r="BK38" s="20">
        <f t="shared" si="52"/>
        <v>0</v>
      </c>
      <c r="BL38" s="20">
        <f t="shared" ref="BL38:BW38" si="53">BL36+BL37</f>
        <v>0</v>
      </c>
      <c r="BM38" s="20">
        <f t="shared" si="53"/>
        <v>0</v>
      </c>
      <c r="BN38" s="20">
        <f t="shared" si="53"/>
        <v>0</v>
      </c>
      <c r="BO38" s="20">
        <f t="shared" si="53"/>
        <v>0</v>
      </c>
      <c r="BP38" s="20">
        <f t="shared" si="53"/>
        <v>0</v>
      </c>
      <c r="BQ38" s="20">
        <f t="shared" si="53"/>
        <v>0</v>
      </c>
      <c r="BR38" s="20">
        <f t="shared" si="53"/>
        <v>0</v>
      </c>
      <c r="BS38" s="20">
        <f t="shared" si="53"/>
        <v>0</v>
      </c>
      <c r="BT38" s="20">
        <f t="shared" si="53"/>
        <v>0</v>
      </c>
      <c r="BU38" s="20">
        <f t="shared" si="53"/>
        <v>0</v>
      </c>
      <c r="BV38" s="20">
        <f t="shared" si="53"/>
        <v>0</v>
      </c>
      <c r="BW38" s="20">
        <f t="shared" si="53"/>
        <v>0</v>
      </c>
      <c r="BX38" s="20">
        <f t="shared" ref="BX38:CI38" si="54">BX36+BX37</f>
        <v>0</v>
      </c>
      <c r="BY38" s="20">
        <f t="shared" si="54"/>
        <v>0</v>
      </c>
      <c r="BZ38" s="20">
        <f t="shared" si="54"/>
        <v>0</v>
      </c>
      <c r="CA38" s="20">
        <f t="shared" si="54"/>
        <v>0</v>
      </c>
      <c r="CB38" s="20">
        <f t="shared" si="54"/>
        <v>0</v>
      </c>
      <c r="CC38" s="20">
        <f t="shared" si="54"/>
        <v>0</v>
      </c>
      <c r="CD38" s="20">
        <f t="shared" si="54"/>
        <v>0</v>
      </c>
      <c r="CE38" s="20">
        <f t="shared" si="54"/>
        <v>0</v>
      </c>
      <c r="CF38" s="20">
        <f t="shared" si="54"/>
        <v>0</v>
      </c>
      <c r="CG38" s="20">
        <f t="shared" si="54"/>
        <v>0</v>
      </c>
      <c r="CH38" s="20">
        <f t="shared" si="54"/>
        <v>0</v>
      </c>
      <c r="CI38" s="20">
        <f t="shared" si="54"/>
        <v>0</v>
      </c>
    </row>
    <row r="39" spans="1:87">
      <c r="A39" s="2">
        <v>27</v>
      </c>
      <c r="B39" s="21" t="s">
        <v>259</v>
      </c>
      <c r="C39" s="21"/>
      <c r="D39" s="546">
        <f t="shared" ref="D39:O39" si="55">$C$36*D36+$C$37*D37</f>
        <v>0</v>
      </c>
      <c r="E39" s="546">
        <f t="shared" si="55"/>
        <v>0</v>
      </c>
      <c r="F39" s="546">
        <f t="shared" si="55"/>
        <v>0</v>
      </c>
      <c r="G39" s="546">
        <f t="shared" si="55"/>
        <v>0</v>
      </c>
      <c r="H39" s="546">
        <f t="shared" si="55"/>
        <v>0</v>
      </c>
      <c r="I39" s="546">
        <f t="shared" si="55"/>
        <v>0</v>
      </c>
      <c r="J39" s="546">
        <f t="shared" si="55"/>
        <v>0</v>
      </c>
      <c r="K39" s="546">
        <f t="shared" si="55"/>
        <v>0</v>
      </c>
      <c r="L39" s="546">
        <f t="shared" si="55"/>
        <v>0</v>
      </c>
      <c r="M39" s="546">
        <f t="shared" si="55"/>
        <v>0</v>
      </c>
      <c r="N39" s="546">
        <f t="shared" si="55"/>
        <v>0</v>
      </c>
      <c r="O39" s="546">
        <f t="shared" si="55"/>
        <v>0</v>
      </c>
      <c r="P39" s="546">
        <f t="shared" ref="P39:BK39" si="56">$C$36*P36+$C$37*P37</f>
        <v>0</v>
      </c>
      <c r="Q39" s="546">
        <f t="shared" si="56"/>
        <v>0</v>
      </c>
      <c r="R39" s="546">
        <f t="shared" si="56"/>
        <v>0</v>
      </c>
      <c r="S39" s="546">
        <f t="shared" si="56"/>
        <v>0</v>
      </c>
      <c r="T39" s="546">
        <f t="shared" si="56"/>
        <v>0</v>
      </c>
      <c r="U39" s="546">
        <f t="shared" si="56"/>
        <v>0</v>
      </c>
      <c r="V39" s="546">
        <f t="shared" si="56"/>
        <v>0</v>
      </c>
      <c r="W39" s="546">
        <f t="shared" si="56"/>
        <v>0</v>
      </c>
      <c r="X39" s="546">
        <f t="shared" si="56"/>
        <v>0</v>
      </c>
      <c r="Y39" s="546">
        <f t="shared" si="56"/>
        <v>0</v>
      </c>
      <c r="Z39" s="546">
        <f t="shared" si="56"/>
        <v>0</v>
      </c>
      <c r="AA39" s="546">
        <f t="shared" si="56"/>
        <v>0</v>
      </c>
      <c r="AB39" s="546">
        <f t="shared" si="56"/>
        <v>0</v>
      </c>
      <c r="AC39" s="546">
        <f t="shared" si="56"/>
        <v>0</v>
      </c>
      <c r="AD39" s="546">
        <f t="shared" si="56"/>
        <v>0</v>
      </c>
      <c r="AE39" s="546">
        <f t="shared" si="56"/>
        <v>0</v>
      </c>
      <c r="AF39" s="546">
        <f t="shared" si="56"/>
        <v>0</v>
      </c>
      <c r="AG39" s="546">
        <f t="shared" si="56"/>
        <v>0</v>
      </c>
      <c r="AH39" s="546">
        <f t="shared" si="56"/>
        <v>0</v>
      </c>
      <c r="AI39" s="546">
        <f t="shared" si="56"/>
        <v>0</v>
      </c>
      <c r="AJ39" s="546">
        <f t="shared" si="56"/>
        <v>0</v>
      </c>
      <c r="AK39" s="546">
        <f t="shared" si="56"/>
        <v>0</v>
      </c>
      <c r="AL39" s="546">
        <f t="shared" si="56"/>
        <v>0</v>
      </c>
      <c r="AM39" s="546">
        <f t="shared" si="56"/>
        <v>0</v>
      </c>
      <c r="AN39" s="546">
        <f t="shared" si="56"/>
        <v>0</v>
      </c>
      <c r="AO39" s="546">
        <f t="shared" si="56"/>
        <v>0</v>
      </c>
      <c r="AP39" s="546">
        <f t="shared" si="56"/>
        <v>0</v>
      </c>
      <c r="AQ39" s="546">
        <f t="shared" si="56"/>
        <v>0</v>
      </c>
      <c r="AR39" s="546">
        <f t="shared" si="56"/>
        <v>0</v>
      </c>
      <c r="AS39" s="546">
        <f t="shared" si="56"/>
        <v>0</v>
      </c>
      <c r="AT39" s="546">
        <f t="shared" si="56"/>
        <v>0</v>
      </c>
      <c r="AU39" s="546">
        <f t="shared" si="56"/>
        <v>0</v>
      </c>
      <c r="AV39" s="546">
        <f t="shared" si="56"/>
        <v>0</v>
      </c>
      <c r="AW39" s="546">
        <f t="shared" si="56"/>
        <v>0</v>
      </c>
      <c r="AX39" s="546">
        <f t="shared" si="56"/>
        <v>0</v>
      </c>
      <c r="AY39" s="546">
        <f t="shared" si="56"/>
        <v>0</v>
      </c>
      <c r="AZ39" s="546">
        <f t="shared" si="56"/>
        <v>0</v>
      </c>
      <c r="BA39" s="546">
        <f t="shared" si="56"/>
        <v>0</v>
      </c>
      <c r="BB39" s="546">
        <f t="shared" si="56"/>
        <v>0</v>
      </c>
      <c r="BC39" s="546">
        <f t="shared" si="56"/>
        <v>0</v>
      </c>
      <c r="BD39" s="546">
        <f t="shared" si="56"/>
        <v>0</v>
      </c>
      <c r="BE39" s="546">
        <f t="shared" si="56"/>
        <v>0</v>
      </c>
      <c r="BF39" s="546">
        <f t="shared" si="56"/>
        <v>0</v>
      </c>
      <c r="BG39" s="546">
        <f t="shared" si="56"/>
        <v>0</v>
      </c>
      <c r="BH39" s="546">
        <f t="shared" si="56"/>
        <v>0</v>
      </c>
      <c r="BI39" s="546">
        <f t="shared" si="56"/>
        <v>0</v>
      </c>
      <c r="BJ39" s="546">
        <f t="shared" si="56"/>
        <v>0</v>
      </c>
      <c r="BK39" s="546">
        <f t="shared" si="56"/>
        <v>0</v>
      </c>
      <c r="BL39" s="546">
        <f t="shared" ref="BL39:BW39" si="57">$C$36*BL36+$C$37*BL37</f>
        <v>0</v>
      </c>
      <c r="BM39" s="546">
        <f t="shared" si="57"/>
        <v>0</v>
      </c>
      <c r="BN39" s="546">
        <f t="shared" si="57"/>
        <v>0</v>
      </c>
      <c r="BO39" s="546">
        <f t="shared" si="57"/>
        <v>0</v>
      </c>
      <c r="BP39" s="546">
        <f t="shared" si="57"/>
        <v>0</v>
      </c>
      <c r="BQ39" s="546">
        <f t="shared" si="57"/>
        <v>0</v>
      </c>
      <c r="BR39" s="546">
        <f t="shared" si="57"/>
        <v>0</v>
      </c>
      <c r="BS39" s="546">
        <f t="shared" si="57"/>
        <v>0</v>
      </c>
      <c r="BT39" s="546">
        <f t="shared" si="57"/>
        <v>0</v>
      </c>
      <c r="BU39" s="546">
        <f t="shared" si="57"/>
        <v>0</v>
      </c>
      <c r="BV39" s="546">
        <f t="shared" si="57"/>
        <v>0</v>
      </c>
      <c r="BW39" s="546">
        <f t="shared" si="57"/>
        <v>0</v>
      </c>
      <c r="BX39" s="546">
        <f t="shared" ref="BX39:CI39" si="58">$C$36*BX36+$C$37*BX37</f>
        <v>0</v>
      </c>
      <c r="BY39" s="546">
        <f t="shared" si="58"/>
        <v>0</v>
      </c>
      <c r="BZ39" s="546">
        <f t="shared" si="58"/>
        <v>0</v>
      </c>
      <c r="CA39" s="546">
        <f t="shared" si="58"/>
        <v>0</v>
      </c>
      <c r="CB39" s="546">
        <f t="shared" si="58"/>
        <v>0</v>
      </c>
      <c r="CC39" s="546">
        <f t="shared" si="58"/>
        <v>0</v>
      </c>
      <c r="CD39" s="546">
        <f t="shared" si="58"/>
        <v>0</v>
      </c>
      <c r="CE39" s="546">
        <f t="shared" si="58"/>
        <v>0</v>
      </c>
      <c r="CF39" s="546">
        <f t="shared" si="58"/>
        <v>0</v>
      </c>
      <c r="CG39" s="546">
        <f t="shared" si="58"/>
        <v>0</v>
      </c>
      <c r="CH39" s="546">
        <f t="shared" si="58"/>
        <v>0</v>
      </c>
      <c r="CI39" s="546">
        <f t="shared" si="58"/>
        <v>0</v>
      </c>
    </row>
    <row r="40" spans="1:87">
      <c r="A40" s="2">
        <v>28</v>
      </c>
    </row>
    <row r="41" spans="1:87">
      <c r="A41" s="2">
        <v>29</v>
      </c>
      <c r="B41" s="88" t="s">
        <v>194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</row>
    <row r="42" spans="1:87">
      <c r="A42" s="2">
        <v>30</v>
      </c>
      <c r="B42" s="2" t="s">
        <v>253</v>
      </c>
      <c r="C42" s="11">
        <f>'Rate Design'!N18</f>
        <v>20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f>D42</f>
        <v>0</v>
      </c>
      <c r="Q42" s="6">
        <f t="shared" ref="Q42:BK43" si="59">E42</f>
        <v>0</v>
      </c>
      <c r="R42" s="6">
        <f t="shared" si="59"/>
        <v>0</v>
      </c>
      <c r="S42" s="6">
        <f t="shared" si="59"/>
        <v>0</v>
      </c>
      <c r="T42" s="6">
        <f t="shared" si="59"/>
        <v>0</v>
      </c>
      <c r="U42" s="6">
        <f t="shared" si="59"/>
        <v>0</v>
      </c>
      <c r="V42" s="6">
        <f t="shared" si="59"/>
        <v>0</v>
      </c>
      <c r="W42" s="6">
        <f t="shared" si="59"/>
        <v>0</v>
      </c>
      <c r="X42" s="6">
        <f t="shared" si="59"/>
        <v>0</v>
      </c>
      <c r="Y42" s="6">
        <f t="shared" si="59"/>
        <v>0</v>
      </c>
      <c r="Z42" s="6">
        <f t="shared" si="59"/>
        <v>0</v>
      </c>
      <c r="AA42" s="6">
        <f t="shared" si="59"/>
        <v>0</v>
      </c>
      <c r="AB42" s="6">
        <f t="shared" si="59"/>
        <v>0</v>
      </c>
      <c r="AC42" s="6">
        <f t="shared" si="59"/>
        <v>0</v>
      </c>
      <c r="AD42" s="6">
        <f t="shared" si="59"/>
        <v>0</v>
      </c>
      <c r="AE42" s="6">
        <f t="shared" si="59"/>
        <v>0</v>
      </c>
      <c r="AF42" s="6">
        <f t="shared" si="59"/>
        <v>0</v>
      </c>
      <c r="AG42" s="6">
        <f t="shared" si="59"/>
        <v>0</v>
      </c>
      <c r="AH42" s="6">
        <f t="shared" si="59"/>
        <v>0</v>
      </c>
      <c r="AI42" s="6">
        <f t="shared" si="59"/>
        <v>0</v>
      </c>
      <c r="AJ42" s="6">
        <f t="shared" si="59"/>
        <v>0</v>
      </c>
      <c r="AK42" s="6">
        <f t="shared" si="59"/>
        <v>0</v>
      </c>
      <c r="AL42" s="6">
        <f t="shared" si="59"/>
        <v>0</v>
      </c>
      <c r="AM42" s="6">
        <f t="shared" si="59"/>
        <v>0</v>
      </c>
      <c r="AN42" s="6">
        <f t="shared" si="59"/>
        <v>0</v>
      </c>
      <c r="AO42" s="6">
        <f t="shared" si="59"/>
        <v>0</v>
      </c>
      <c r="AP42" s="6">
        <f t="shared" si="59"/>
        <v>0</v>
      </c>
      <c r="AQ42" s="6">
        <f t="shared" si="59"/>
        <v>0</v>
      </c>
      <c r="AR42" s="6">
        <f t="shared" si="59"/>
        <v>0</v>
      </c>
      <c r="AS42" s="6">
        <f t="shared" si="59"/>
        <v>0</v>
      </c>
      <c r="AT42" s="6">
        <f t="shared" si="59"/>
        <v>0</v>
      </c>
      <c r="AU42" s="6">
        <f t="shared" si="59"/>
        <v>0</v>
      </c>
      <c r="AV42" s="6">
        <f t="shared" si="59"/>
        <v>0</v>
      </c>
      <c r="AW42" s="6">
        <f t="shared" si="59"/>
        <v>0</v>
      </c>
      <c r="AX42" s="6">
        <f t="shared" si="59"/>
        <v>0</v>
      </c>
      <c r="AY42" s="6">
        <f t="shared" si="59"/>
        <v>0</v>
      </c>
      <c r="AZ42" s="6">
        <f t="shared" si="59"/>
        <v>0</v>
      </c>
      <c r="BA42" s="6">
        <f t="shared" si="59"/>
        <v>0</v>
      </c>
      <c r="BB42" s="6">
        <f t="shared" si="59"/>
        <v>0</v>
      </c>
      <c r="BC42" s="6">
        <f t="shared" si="59"/>
        <v>0</v>
      </c>
      <c r="BD42" s="6">
        <f t="shared" si="59"/>
        <v>0</v>
      </c>
      <c r="BE42" s="6">
        <f t="shared" si="59"/>
        <v>0</v>
      </c>
      <c r="BF42" s="6">
        <f t="shared" si="59"/>
        <v>0</v>
      </c>
      <c r="BG42" s="6">
        <f t="shared" si="59"/>
        <v>0</v>
      </c>
      <c r="BH42" s="6">
        <f t="shared" si="59"/>
        <v>0</v>
      </c>
      <c r="BI42" s="6">
        <f t="shared" si="59"/>
        <v>0</v>
      </c>
      <c r="BJ42" s="6">
        <f t="shared" si="59"/>
        <v>0</v>
      </c>
      <c r="BK42" s="6">
        <f t="shared" si="59"/>
        <v>0</v>
      </c>
      <c r="BL42" s="6">
        <f t="shared" ref="BL42:BW43" si="60">AZ42</f>
        <v>0</v>
      </c>
      <c r="BM42" s="6">
        <f t="shared" si="60"/>
        <v>0</v>
      </c>
      <c r="BN42" s="6">
        <f t="shared" si="60"/>
        <v>0</v>
      </c>
      <c r="BO42" s="6">
        <f t="shared" si="60"/>
        <v>0</v>
      </c>
      <c r="BP42" s="6">
        <f t="shared" si="60"/>
        <v>0</v>
      </c>
      <c r="BQ42" s="6">
        <f t="shared" si="60"/>
        <v>0</v>
      </c>
      <c r="BR42" s="6">
        <f t="shared" si="60"/>
        <v>0</v>
      </c>
      <c r="BS42" s="6">
        <f t="shared" si="60"/>
        <v>0</v>
      </c>
      <c r="BT42" s="6">
        <f t="shared" si="60"/>
        <v>0</v>
      </c>
      <c r="BU42" s="6">
        <f t="shared" si="60"/>
        <v>0</v>
      </c>
      <c r="BV42" s="6">
        <f t="shared" si="60"/>
        <v>0</v>
      </c>
      <c r="BW42" s="6">
        <f t="shared" si="60"/>
        <v>0</v>
      </c>
      <c r="BX42" s="6">
        <f t="shared" ref="BX42:CI43" si="61">BL42</f>
        <v>0</v>
      </c>
      <c r="BY42" s="6">
        <f t="shared" si="61"/>
        <v>0</v>
      </c>
      <c r="BZ42" s="6">
        <f t="shared" si="61"/>
        <v>0</v>
      </c>
      <c r="CA42" s="6">
        <f t="shared" si="61"/>
        <v>0</v>
      </c>
      <c r="CB42" s="6">
        <f t="shared" si="61"/>
        <v>0</v>
      </c>
      <c r="CC42" s="6">
        <f t="shared" si="61"/>
        <v>0</v>
      </c>
      <c r="CD42" s="6">
        <f t="shared" si="61"/>
        <v>0</v>
      </c>
      <c r="CE42" s="6">
        <f t="shared" si="61"/>
        <v>0</v>
      </c>
      <c r="CF42" s="6">
        <f t="shared" si="61"/>
        <v>0</v>
      </c>
      <c r="CG42" s="6">
        <f t="shared" si="61"/>
        <v>0</v>
      </c>
      <c r="CH42" s="6">
        <f t="shared" si="61"/>
        <v>0</v>
      </c>
      <c r="CI42" s="6">
        <f t="shared" si="61"/>
        <v>0</v>
      </c>
    </row>
    <row r="43" spans="1:87">
      <c r="A43" s="2">
        <v>31</v>
      </c>
      <c r="B43" s="2" t="s">
        <v>254</v>
      </c>
      <c r="C43" s="91" t="s">
        <v>260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f>D43</f>
        <v>0</v>
      </c>
      <c r="Q43" s="6">
        <f t="shared" si="59"/>
        <v>0</v>
      </c>
      <c r="R43" s="6">
        <f t="shared" si="59"/>
        <v>0</v>
      </c>
      <c r="S43" s="6">
        <f t="shared" si="59"/>
        <v>0</v>
      </c>
      <c r="T43" s="6">
        <f t="shared" si="59"/>
        <v>0</v>
      </c>
      <c r="U43" s="6">
        <f t="shared" si="59"/>
        <v>0</v>
      </c>
      <c r="V43" s="6">
        <f t="shared" si="59"/>
        <v>0</v>
      </c>
      <c r="W43" s="6">
        <f t="shared" si="59"/>
        <v>0</v>
      </c>
      <c r="X43" s="6">
        <f t="shared" si="59"/>
        <v>0</v>
      </c>
      <c r="Y43" s="6">
        <f t="shared" si="59"/>
        <v>0</v>
      </c>
      <c r="Z43" s="6">
        <f t="shared" si="59"/>
        <v>0</v>
      </c>
      <c r="AA43" s="6">
        <f t="shared" si="59"/>
        <v>0</v>
      </c>
      <c r="AB43" s="6">
        <f t="shared" si="59"/>
        <v>0</v>
      </c>
      <c r="AC43" s="6">
        <f t="shared" si="59"/>
        <v>0</v>
      </c>
      <c r="AD43" s="6">
        <f t="shared" si="59"/>
        <v>0</v>
      </c>
      <c r="AE43" s="6">
        <f t="shared" si="59"/>
        <v>0</v>
      </c>
      <c r="AF43" s="6">
        <f t="shared" si="59"/>
        <v>0</v>
      </c>
      <c r="AG43" s="6">
        <f t="shared" si="59"/>
        <v>0</v>
      </c>
      <c r="AH43" s="6">
        <f t="shared" si="59"/>
        <v>0</v>
      </c>
      <c r="AI43" s="6">
        <f t="shared" si="59"/>
        <v>0</v>
      </c>
      <c r="AJ43" s="6">
        <f t="shared" si="59"/>
        <v>0</v>
      </c>
      <c r="AK43" s="6">
        <f t="shared" si="59"/>
        <v>0</v>
      </c>
      <c r="AL43" s="6">
        <f t="shared" si="59"/>
        <v>0</v>
      </c>
      <c r="AM43" s="6">
        <f t="shared" si="59"/>
        <v>0</v>
      </c>
      <c r="AN43" s="6">
        <f t="shared" si="59"/>
        <v>0</v>
      </c>
      <c r="AO43" s="6">
        <f t="shared" si="59"/>
        <v>0</v>
      </c>
      <c r="AP43" s="6">
        <f t="shared" si="59"/>
        <v>0</v>
      </c>
      <c r="AQ43" s="6">
        <f t="shared" si="59"/>
        <v>0</v>
      </c>
      <c r="AR43" s="6">
        <f t="shared" si="59"/>
        <v>0</v>
      </c>
      <c r="AS43" s="6">
        <f t="shared" si="59"/>
        <v>0</v>
      </c>
      <c r="AT43" s="6">
        <f t="shared" si="59"/>
        <v>0</v>
      </c>
      <c r="AU43" s="6">
        <f t="shared" si="59"/>
        <v>0</v>
      </c>
      <c r="AV43" s="6">
        <f t="shared" si="59"/>
        <v>0</v>
      </c>
      <c r="AW43" s="6">
        <f t="shared" si="59"/>
        <v>0</v>
      </c>
      <c r="AX43" s="6">
        <f t="shared" si="59"/>
        <v>0</v>
      </c>
      <c r="AY43" s="6">
        <f t="shared" si="59"/>
        <v>0</v>
      </c>
      <c r="AZ43" s="6">
        <f t="shared" si="59"/>
        <v>0</v>
      </c>
      <c r="BA43" s="6">
        <f t="shared" si="59"/>
        <v>0</v>
      </c>
      <c r="BB43" s="6">
        <f t="shared" si="59"/>
        <v>0</v>
      </c>
      <c r="BC43" s="6">
        <f t="shared" si="59"/>
        <v>0</v>
      </c>
      <c r="BD43" s="6">
        <f t="shared" si="59"/>
        <v>0</v>
      </c>
      <c r="BE43" s="6">
        <f t="shared" si="59"/>
        <v>0</v>
      </c>
      <c r="BF43" s="6">
        <f t="shared" si="59"/>
        <v>0</v>
      </c>
      <c r="BG43" s="6">
        <f t="shared" si="59"/>
        <v>0</v>
      </c>
      <c r="BH43" s="6">
        <f t="shared" si="59"/>
        <v>0</v>
      </c>
      <c r="BI43" s="6">
        <f t="shared" si="59"/>
        <v>0</v>
      </c>
      <c r="BJ43" s="6">
        <f t="shared" si="59"/>
        <v>0</v>
      </c>
      <c r="BK43" s="6">
        <f t="shared" si="59"/>
        <v>0</v>
      </c>
      <c r="BL43" s="6">
        <f t="shared" si="60"/>
        <v>0</v>
      </c>
      <c r="BM43" s="6">
        <f t="shared" si="60"/>
        <v>0</v>
      </c>
      <c r="BN43" s="6">
        <f t="shared" si="60"/>
        <v>0</v>
      </c>
      <c r="BO43" s="6">
        <f t="shared" si="60"/>
        <v>0</v>
      </c>
      <c r="BP43" s="6">
        <f t="shared" si="60"/>
        <v>0</v>
      </c>
      <c r="BQ43" s="6">
        <f t="shared" si="60"/>
        <v>0</v>
      </c>
      <c r="BR43" s="6">
        <f t="shared" si="60"/>
        <v>0</v>
      </c>
      <c r="BS43" s="6">
        <f t="shared" si="60"/>
        <v>0</v>
      </c>
      <c r="BT43" s="6">
        <f t="shared" si="60"/>
        <v>0</v>
      </c>
      <c r="BU43" s="6">
        <f t="shared" si="60"/>
        <v>0</v>
      </c>
      <c r="BV43" s="6">
        <f t="shared" si="60"/>
        <v>0</v>
      </c>
      <c r="BW43" s="6">
        <f t="shared" si="60"/>
        <v>0</v>
      </c>
      <c r="BX43" s="6">
        <f t="shared" si="61"/>
        <v>0</v>
      </c>
      <c r="BY43" s="6">
        <f t="shared" si="61"/>
        <v>0</v>
      </c>
      <c r="BZ43" s="6">
        <f t="shared" si="61"/>
        <v>0</v>
      </c>
      <c r="CA43" s="6">
        <f t="shared" si="61"/>
        <v>0</v>
      </c>
      <c r="CB43" s="6">
        <f t="shared" si="61"/>
        <v>0</v>
      </c>
      <c r="CC43" s="6">
        <f t="shared" si="61"/>
        <v>0</v>
      </c>
      <c r="CD43" s="6">
        <f t="shared" si="61"/>
        <v>0</v>
      </c>
      <c r="CE43" s="6">
        <f t="shared" si="61"/>
        <v>0</v>
      </c>
      <c r="CF43" s="6">
        <f t="shared" si="61"/>
        <v>0</v>
      </c>
      <c r="CG43" s="6">
        <f t="shared" si="61"/>
        <v>0</v>
      </c>
      <c r="CH43" s="6">
        <f t="shared" si="61"/>
        <v>0</v>
      </c>
      <c r="CI43" s="6">
        <f t="shared" si="61"/>
        <v>0</v>
      </c>
    </row>
    <row r="44" spans="1:87">
      <c r="A44" s="2">
        <v>32</v>
      </c>
      <c r="B44" s="21" t="s">
        <v>258</v>
      </c>
      <c r="C44" s="21"/>
      <c r="D44" s="20">
        <f t="shared" ref="D44:P44" si="62">D42+D43</f>
        <v>0</v>
      </c>
      <c r="E44" s="20">
        <f t="shared" si="62"/>
        <v>0</v>
      </c>
      <c r="F44" s="20">
        <f t="shared" si="62"/>
        <v>0</v>
      </c>
      <c r="G44" s="20">
        <f t="shared" si="62"/>
        <v>0</v>
      </c>
      <c r="H44" s="20">
        <f t="shared" si="62"/>
        <v>0</v>
      </c>
      <c r="I44" s="20">
        <f t="shared" si="62"/>
        <v>0</v>
      </c>
      <c r="J44" s="20">
        <f t="shared" si="62"/>
        <v>0</v>
      </c>
      <c r="K44" s="20">
        <f t="shared" si="62"/>
        <v>0</v>
      </c>
      <c r="L44" s="20">
        <f t="shared" si="62"/>
        <v>0</v>
      </c>
      <c r="M44" s="20">
        <f t="shared" si="62"/>
        <v>0</v>
      </c>
      <c r="N44" s="20">
        <f t="shared" si="62"/>
        <v>0</v>
      </c>
      <c r="O44" s="20">
        <f t="shared" si="62"/>
        <v>0</v>
      </c>
      <c r="P44" s="20">
        <f t="shared" si="62"/>
        <v>0</v>
      </c>
      <c r="Q44" s="20">
        <f t="shared" ref="Q44:BK44" si="63">Q42+Q43</f>
        <v>0</v>
      </c>
      <c r="R44" s="20">
        <f t="shared" si="63"/>
        <v>0</v>
      </c>
      <c r="S44" s="20">
        <f t="shared" si="63"/>
        <v>0</v>
      </c>
      <c r="T44" s="20">
        <f t="shared" si="63"/>
        <v>0</v>
      </c>
      <c r="U44" s="20">
        <f t="shared" si="63"/>
        <v>0</v>
      </c>
      <c r="V44" s="20">
        <f t="shared" si="63"/>
        <v>0</v>
      </c>
      <c r="W44" s="20">
        <f t="shared" si="63"/>
        <v>0</v>
      </c>
      <c r="X44" s="20">
        <f t="shared" si="63"/>
        <v>0</v>
      </c>
      <c r="Y44" s="20">
        <f t="shared" si="63"/>
        <v>0</v>
      </c>
      <c r="Z44" s="20">
        <f t="shared" si="63"/>
        <v>0</v>
      </c>
      <c r="AA44" s="20">
        <f t="shared" si="63"/>
        <v>0</v>
      </c>
      <c r="AB44" s="20">
        <f t="shared" si="63"/>
        <v>0</v>
      </c>
      <c r="AC44" s="20">
        <f t="shared" si="63"/>
        <v>0</v>
      </c>
      <c r="AD44" s="20">
        <f t="shared" si="63"/>
        <v>0</v>
      </c>
      <c r="AE44" s="20">
        <f t="shared" si="63"/>
        <v>0</v>
      </c>
      <c r="AF44" s="20">
        <f t="shared" si="63"/>
        <v>0</v>
      </c>
      <c r="AG44" s="20">
        <f t="shared" si="63"/>
        <v>0</v>
      </c>
      <c r="AH44" s="20">
        <f t="shared" si="63"/>
        <v>0</v>
      </c>
      <c r="AI44" s="20">
        <f t="shared" si="63"/>
        <v>0</v>
      </c>
      <c r="AJ44" s="20">
        <f t="shared" si="63"/>
        <v>0</v>
      </c>
      <c r="AK44" s="20">
        <f t="shared" si="63"/>
        <v>0</v>
      </c>
      <c r="AL44" s="20">
        <f t="shared" si="63"/>
        <v>0</v>
      </c>
      <c r="AM44" s="20">
        <f t="shared" si="63"/>
        <v>0</v>
      </c>
      <c r="AN44" s="20">
        <f t="shared" si="63"/>
        <v>0</v>
      </c>
      <c r="AO44" s="20">
        <f t="shared" si="63"/>
        <v>0</v>
      </c>
      <c r="AP44" s="20">
        <f t="shared" si="63"/>
        <v>0</v>
      </c>
      <c r="AQ44" s="20">
        <f t="shared" si="63"/>
        <v>0</v>
      </c>
      <c r="AR44" s="20">
        <f t="shared" si="63"/>
        <v>0</v>
      </c>
      <c r="AS44" s="20">
        <f t="shared" si="63"/>
        <v>0</v>
      </c>
      <c r="AT44" s="20">
        <f t="shared" si="63"/>
        <v>0</v>
      </c>
      <c r="AU44" s="20">
        <f t="shared" si="63"/>
        <v>0</v>
      </c>
      <c r="AV44" s="20">
        <f t="shared" si="63"/>
        <v>0</v>
      </c>
      <c r="AW44" s="20">
        <f t="shared" si="63"/>
        <v>0</v>
      </c>
      <c r="AX44" s="20">
        <f t="shared" si="63"/>
        <v>0</v>
      </c>
      <c r="AY44" s="20">
        <f t="shared" si="63"/>
        <v>0</v>
      </c>
      <c r="AZ44" s="20">
        <f t="shared" si="63"/>
        <v>0</v>
      </c>
      <c r="BA44" s="20">
        <f t="shared" si="63"/>
        <v>0</v>
      </c>
      <c r="BB44" s="20">
        <f t="shared" si="63"/>
        <v>0</v>
      </c>
      <c r="BC44" s="20">
        <f t="shared" si="63"/>
        <v>0</v>
      </c>
      <c r="BD44" s="20">
        <f t="shared" si="63"/>
        <v>0</v>
      </c>
      <c r="BE44" s="20">
        <f t="shared" si="63"/>
        <v>0</v>
      </c>
      <c r="BF44" s="20">
        <f t="shared" si="63"/>
        <v>0</v>
      </c>
      <c r="BG44" s="20">
        <f t="shared" si="63"/>
        <v>0</v>
      </c>
      <c r="BH44" s="20">
        <f t="shared" si="63"/>
        <v>0</v>
      </c>
      <c r="BI44" s="20">
        <f t="shared" si="63"/>
        <v>0</v>
      </c>
      <c r="BJ44" s="20">
        <f t="shared" si="63"/>
        <v>0</v>
      </c>
      <c r="BK44" s="20">
        <f t="shared" si="63"/>
        <v>0</v>
      </c>
      <c r="BL44" s="20">
        <f t="shared" ref="BL44:BW44" si="64">BL42+BL43</f>
        <v>0</v>
      </c>
      <c r="BM44" s="20">
        <f t="shared" si="64"/>
        <v>0</v>
      </c>
      <c r="BN44" s="20">
        <f t="shared" si="64"/>
        <v>0</v>
      </c>
      <c r="BO44" s="20">
        <f t="shared" si="64"/>
        <v>0</v>
      </c>
      <c r="BP44" s="20">
        <f t="shared" si="64"/>
        <v>0</v>
      </c>
      <c r="BQ44" s="20">
        <f t="shared" si="64"/>
        <v>0</v>
      </c>
      <c r="BR44" s="20">
        <f t="shared" si="64"/>
        <v>0</v>
      </c>
      <c r="BS44" s="20">
        <f t="shared" si="64"/>
        <v>0</v>
      </c>
      <c r="BT44" s="20">
        <f t="shared" si="64"/>
        <v>0</v>
      </c>
      <c r="BU44" s="20">
        <f t="shared" si="64"/>
        <v>0</v>
      </c>
      <c r="BV44" s="20">
        <f t="shared" si="64"/>
        <v>0</v>
      </c>
      <c r="BW44" s="20">
        <f t="shared" si="64"/>
        <v>0</v>
      </c>
      <c r="BX44" s="20">
        <f t="shared" ref="BX44:CI44" si="65">BX42+BX43</f>
        <v>0</v>
      </c>
      <c r="BY44" s="20">
        <f t="shared" si="65"/>
        <v>0</v>
      </c>
      <c r="BZ44" s="20">
        <f t="shared" si="65"/>
        <v>0</v>
      </c>
      <c r="CA44" s="20">
        <f t="shared" si="65"/>
        <v>0</v>
      </c>
      <c r="CB44" s="20">
        <f t="shared" si="65"/>
        <v>0</v>
      </c>
      <c r="CC44" s="20">
        <f t="shared" si="65"/>
        <v>0</v>
      </c>
      <c r="CD44" s="20">
        <f t="shared" si="65"/>
        <v>0</v>
      </c>
      <c r="CE44" s="20">
        <f t="shared" si="65"/>
        <v>0</v>
      </c>
      <c r="CF44" s="20">
        <f t="shared" si="65"/>
        <v>0</v>
      </c>
      <c r="CG44" s="20">
        <f t="shared" si="65"/>
        <v>0</v>
      </c>
      <c r="CH44" s="20">
        <f t="shared" si="65"/>
        <v>0</v>
      </c>
      <c r="CI44" s="20">
        <f t="shared" si="65"/>
        <v>0</v>
      </c>
    </row>
    <row r="45" spans="1:87">
      <c r="A45" s="2">
        <v>33</v>
      </c>
      <c r="B45" s="21" t="s">
        <v>259</v>
      </c>
      <c r="C45" s="21"/>
      <c r="D45" s="546">
        <f>$C$42*D42+$C$43*D43</f>
        <v>0</v>
      </c>
      <c r="E45" s="546">
        <f t="shared" ref="E45:O45" si="66">$C$36*E42+$C$37*E43</f>
        <v>0</v>
      </c>
      <c r="F45" s="546">
        <f t="shared" si="66"/>
        <v>0</v>
      </c>
      <c r="G45" s="546">
        <f t="shared" si="66"/>
        <v>0</v>
      </c>
      <c r="H45" s="546">
        <f t="shared" si="66"/>
        <v>0</v>
      </c>
      <c r="I45" s="546">
        <f t="shared" si="66"/>
        <v>0</v>
      </c>
      <c r="J45" s="546">
        <f t="shared" si="66"/>
        <v>0</v>
      </c>
      <c r="K45" s="546">
        <f t="shared" si="66"/>
        <v>0</v>
      </c>
      <c r="L45" s="546">
        <f t="shared" si="66"/>
        <v>0</v>
      </c>
      <c r="M45" s="546">
        <f t="shared" si="66"/>
        <v>0</v>
      </c>
      <c r="N45" s="546">
        <f t="shared" si="66"/>
        <v>0</v>
      </c>
      <c r="O45" s="546">
        <f t="shared" si="66"/>
        <v>0</v>
      </c>
      <c r="P45" s="546">
        <f t="shared" ref="P45:BK45" si="67">$C$36*P42+$C$37*P43</f>
        <v>0</v>
      </c>
      <c r="Q45" s="546">
        <f t="shared" si="67"/>
        <v>0</v>
      </c>
      <c r="R45" s="546">
        <f t="shared" si="67"/>
        <v>0</v>
      </c>
      <c r="S45" s="546">
        <f t="shared" si="67"/>
        <v>0</v>
      </c>
      <c r="T45" s="546">
        <f t="shared" si="67"/>
        <v>0</v>
      </c>
      <c r="U45" s="546">
        <f t="shared" si="67"/>
        <v>0</v>
      </c>
      <c r="V45" s="546">
        <f t="shared" si="67"/>
        <v>0</v>
      </c>
      <c r="W45" s="546">
        <f t="shared" si="67"/>
        <v>0</v>
      </c>
      <c r="X45" s="546">
        <f t="shared" si="67"/>
        <v>0</v>
      </c>
      <c r="Y45" s="546">
        <f t="shared" si="67"/>
        <v>0</v>
      </c>
      <c r="Z45" s="546">
        <f t="shared" si="67"/>
        <v>0</v>
      </c>
      <c r="AA45" s="546">
        <f t="shared" si="67"/>
        <v>0</v>
      </c>
      <c r="AB45" s="546">
        <f t="shared" si="67"/>
        <v>0</v>
      </c>
      <c r="AC45" s="546">
        <f t="shared" si="67"/>
        <v>0</v>
      </c>
      <c r="AD45" s="546">
        <f t="shared" si="67"/>
        <v>0</v>
      </c>
      <c r="AE45" s="546">
        <f t="shared" si="67"/>
        <v>0</v>
      </c>
      <c r="AF45" s="546">
        <f t="shared" si="67"/>
        <v>0</v>
      </c>
      <c r="AG45" s="546">
        <f t="shared" si="67"/>
        <v>0</v>
      </c>
      <c r="AH45" s="546">
        <f t="shared" si="67"/>
        <v>0</v>
      </c>
      <c r="AI45" s="546">
        <f t="shared" si="67"/>
        <v>0</v>
      </c>
      <c r="AJ45" s="546">
        <f t="shared" si="67"/>
        <v>0</v>
      </c>
      <c r="AK45" s="546">
        <f t="shared" si="67"/>
        <v>0</v>
      </c>
      <c r="AL45" s="546">
        <f t="shared" si="67"/>
        <v>0</v>
      </c>
      <c r="AM45" s="546">
        <f t="shared" si="67"/>
        <v>0</v>
      </c>
      <c r="AN45" s="546">
        <f t="shared" si="67"/>
        <v>0</v>
      </c>
      <c r="AO45" s="546">
        <f t="shared" si="67"/>
        <v>0</v>
      </c>
      <c r="AP45" s="546">
        <f t="shared" si="67"/>
        <v>0</v>
      </c>
      <c r="AQ45" s="546">
        <f t="shared" si="67"/>
        <v>0</v>
      </c>
      <c r="AR45" s="546">
        <f t="shared" si="67"/>
        <v>0</v>
      </c>
      <c r="AS45" s="546">
        <f t="shared" si="67"/>
        <v>0</v>
      </c>
      <c r="AT45" s="546">
        <f t="shared" si="67"/>
        <v>0</v>
      </c>
      <c r="AU45" s="546">
        <f t="shared" si="67"/>
        <v>0</v>
      </c>
      <c r="AV45" s="546">
        <f t="shared" si="67"/>
        <v>0</v>
      </c>
      <c r="AW45" s="546">
        <f t="shared" si="67"/>
        <v>0</v>
      </c>
      <c r="AX45" s="546">
        <f t="shared" si="67"/>
        <v>0</v>
      </c>
      <c r="AY45" s="546">
        <f t="shared" si="67"/>
        <v>0</v>
      </c>
      <c r="AZ45" s="546">
        <f t="shared" si="67"/>
        <v>0</v>
      </c>
      <c r="BA45" s="546">
        <f t="shared" si="67"/>
        <v>0</v>
      </c>
      <c r="BB45" s="546">
        <f t="shared" si="67"/>
        <v>0</v>
      </c>
      <c r="BC45" s="546">
        <f t="shared" si="67"/>
        <v>0</v>
      </c>
      <c r="BD45" s="546">
        <f t="shared" si="67"/>
        <v>0</v>
      </c>
      <c r="BE45" s="546">
        <f t="shared" si="67"/>
        <v>0</v>
      </c>
      <c r="BF45" s="546">
        <f t="shared" si="67"/>
        <v>0</v>
      </c>
      <c r="BG45" s="546">
        <f t="shared" si="67"/>
        <v>0</v>
      </c>
      <c r="BH45" s="546">
        <f t="shared" si="67"/>
        <v>0</v>
      </c>
      <c r="BI45" s="546">
        <f t="shared" si="67"/>
        <v>0</v>
      </c>
      <c r="BJ45" s="546">
        <f t="shared" si="67"/>
        <v>0</v>
      </c>
      <c r="BK45" s="546">
        <f t="shared" si="67"/>
        <v>0</v>
      </c>
      <c r="BL45" s="546">
        <f t="shared" ref="BL45:BW45" si="68">$C$36*BL42+$C$37*BL43</f>
        <v>0</v>
      </c>
      <c r="BM45" s="546">
        <f t="shared" si="68"/>
        <v>0</v>
      </c>
      <c r="BN45" s="546">
        <f t="shared" si="68"/>
        <v>0</v>
      </c>
      <c r="BO45" s="546">
        <f t="shared" si="68"/>
        <v>0</v>
      </c>
      <c r="BP45" s="546">
        <f t="shared" si="68"/>
        <v>0</v>
      </c>
      <c r="BQ45" s="546">
        <f t="shared" si="68"/>
        <v>0</v>
      </c>
      <c r="BR45" s="546">
        <f t="shared" si="68"/>
        <v>0</v>
      </c>
      <c r="BS45" s="546">
        <f t="shared" si="68"/>
        <v>0</v>
      </c>
      <c r="BT45" s="546">
        <f t="shared" si="68"/>
        <v>0</v>
      </c>
      <c r="BU45" s="546">
        <f t="shared" si="68"/>
        <v>0</v>
      </c>
      <c r="BV45" s="546">
        <f t="shared" si="68"/>
        <v>0</v>
      </c>
      <c r="BW45" s="546">
        <f t="shared" si="68"/>
        <v>0</v>
      </c>
      <c r="BX45" s="546">
        <f t="shared" ref="BX45:CI45" si="69">$C$36*BX42+$C$37*BX43</f>
        <v>0</v>
      </c>
      <c r="BY45" s="546">
        <f t="shared" si="69"/>
        <v>0</v>
      </c>
      <c r="BZ45" s="546">
        <f t="shared" si="69"/>
        <v>0</v>
      </c>
      <c r="CA45" s="546">
        <f t="shared" si="69"/>
        <v>0</v>
      </c>
      <c r="CB45" s="546">
        <f t="shared" si="69"/>
        <v>0</v>
      </c>
      <c r="CC45" s="546">
        <f t="shared" si="69"/>
        <v>0</v>
      </c>
      <c r="CD45" s="546">
        <f t="shared" si="69"/>
        <v>0</v>
      </c>
      <c r="CE45" s="546">
        <f t="shared" si="69"/>
        <v>0</v>
      </c>
      <c r="CF45" s="546">
        <f t="shared" si="69"/>
        <v>0</v>
      </c>
      <c r="CG45" s="546">
        <f t="shared" si="69"/>
        <v>0</v>
      </c>
      <c r="CH45" s="546">
        <f t="shared" si="69"/>
        <v>0</v>
      </c>
      <c r="CI45" s="546">
        <f t="shared" si="69"/>
        <v>0</v>
      </c>
    </row>
    <row r="46" spans="1:87">
      <c r="A46" s="2">
        <v>34</v>
      </c>
    </row>
    <row r="47" spans="1:87">
      <c r="A47" s="2">
        <v>35</v>
      </c>
      <c r="C47" s="1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</row>
    <row r="48" spans="1:87">
      <c r="A48" s="2">
        <v>36</v>
      </c>
      <c r="B48" s="88" t="s">
        <v>256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</row>
    <row r="49" spans="1:87">
      <c r="A49" s="2">
        <v>37</v>
      </c>
      <c r="B49" s="2" t="s">
        <v>253</v>
      </c>
      <c r="C49" s="11">
        <f>'Rate Design'!N19</f>
        <v>4</v>
      </c>
      <c r="D49" s="6">
        <v>243</v>
      </c>
      <c r="E49" s="6">
        <v>264</v>
      </c>
      <c r="F49" s="6">
        <v>270</v>
      </c>
      <c r="G49" s="6">
        <v>292</v>
      </c>
      <c r="H49" s="6">
        <v>327</v>
      </c>
      <c r="I49" s="6">
        <v>283</v>
      </c>
      <c r="J49" s="6">
        <v>448</v>
      </c>
      <c r="K49" s="6">
        <v>429</v>
      </c>
      <c r="L49" s="6">
        <v>417</v>
      </c>
      <c r="M49" s="6">
        <v>417</v>
      </c>
      <c r="N49" s="6">
        <v>424</v>
      </c>
      <c r="O49" s="6">
        <v>292</v>
      </c>
      <c r="P49" s="6">
        <f>D49</f>
        <v>243</v>
      </c>
      <c r="Q49" s="6">
        <f t="shared" ref="Q49:BK50" si="70">E49</f>
        <v>264</v>
      </c>
      <c r="R49" s="6">
        <f t="shared" si="70"/>
        <v>270</v>
      </c>
      <c r="S49" s="6">
        <f t="shared" si="70"/>
        <v>292</v>
      </c>
      <c r="T49" s="6">
        <f t="shared" si="70"/>
        <v>327</v>
      </c>
      <c r="U49" s="6">
        <f t="shared" si="70"/>
        <v>283</v>
      </c>
      <c r="V49" s="6">
        <f t="shared" si="70"/>
        <v>448</v>
      </c>
      <c r="W49" s="6">
        <f t="shared" si="70"/>
        <v>429</v>
      </c>
      <c r="X49" s="6">
        <f t="shared" si="70"/>
        <v>417</v>
      </c>
      <c r="Y49" s="6">
        <f t="shared" si="70"/>
        <v>417</v>
      </c>
      <c r="Z49" s="6">
        <f t="shared" si="70"/>
        <v>424</v>
      </c>
      <c r="AA49" s="6">
        <f t="shared" si="70"/>
        <v>292</v>
      </c>
      <c r="AB49" s="6">
        <f t="shared" si="70"/>
        <v>243</v>
      </c>
      <c r="AC49" s="6">
        <f t="shared" si="70"/>
        <v>264</v>
      </c>
      <c r="AD49" s="6">
        <f t="shared" si="70"/>
        <v>270</v>
      </c>
      <c r="AE49" s="6">
        <f t="shared" si="70"/>
        <v>292</v>
      </c>
      <c r="AF49" s="6">
        <f t="shared" si="70"/>
        <v>327</v>
      </c>
      <c r="AG49" s="6">
        <f t="shared" si="70"/>
        <v>283</v>
      </c>
      <c r="AH49" s="6">
        <f t="shared" si="70"/>
        <v>448</v>
      </c>
      <c r="AI49" s="6">
        <f t="shared" si="70"/>
        <v>429</v>
      </c>
      <c r="AJ49" s="6">
        <f t="shared" si="70"/>
        <v>417</v>
      </c>
      <c r="AK49" s="6">
        <f t="shared" si="70"/>
        <v>417</v>
      </c>
      <c r="AL49" s="6">
        <f t="shared" si="70"/>
        <v>424</v>
      </c>
      <c r="AM49" s="6">
        <f t="shared" si="70"/>
        <v>292</v>
      </c>
      <c r="AN49" s="6">
        <f t="shared" si="70"/>
        <v>243</v>
      </c>
      <c r="AO49" s="6">
        <f t="shared" si="70"/>
        <v>264</v>
      </c>
      <c r="AP49" s="6">
        <f t="shared" si="70"/>
        <v>270</v>
      </c>
      <c r="AQ49" s="6">
        <f t="shared" si="70"/>
        <v>292</v>
      </c>
      <c r="AR49" s="6">
        <f t="shared" si="70"/>
        <v>327</v>
      </c>
      <c r="AS49" s="6">
        <f t="shared" si="70"/>
        <v>283</v>
      </c>
      <c r="AT49" s="6">
        <f t="shared" si="70"/>
        <v>448</v>
      </c>
      <c r="AU49" s="6">
        <f t="shared" si="70"/>
        <v>429</v>
      </c>
      <c r="AV49" s="6">
        <f t="shared" si="70"/>
        <v>417</v>
      </c>
      <c r="AW49" s="6">
        <f t="shared" si="70"/>
        <v>417</v>
      </c>
      <c r="AX49" s="6">
        <f t="shared" si="70"/>
        <v>424</v>
      </c>
      <c r="AY49" s="6">
        <f t="shared" si="70"/>
        <v>292</v>
      </c>
      <c r="AZ49" s="6">
        <f t="shared" si="70"/>
        <v>243</v>
      </c>
      <c r="BA49" s="6">
        <f t="shared" si="70"/>
        <v>264</v>
      </c>
      <c r="BB49" s="6">
        <f t="shared" si="70"/>
        <v>270</v>
      </c>
      <c r="BC49" s="6">
        <f t="shared" si="70"/>
        <v>292</v>
      </c>
      <c r="BD49" s="6">
        <f t="shared" si="70"/>
        <v>327</v>
      </c>
      <c r="BE49" s="6">
        <f t="shared" si="70"/>
        <v>283</v>
      </c>
      <c r="BF49" s="6">
        <f t="shared" si="70"/>
        <v>448</v>
      </c>
      <c r="BG49" s="6">
        <f t="shared" si="70"/>
        <v>429</v>
      </c>
      <c r="BH49" s="6">
        <f t="shared" si="70"/>
        <v>417</v>
      </c>
      <c r="BI49" s="6">
        <f t="shared" si="70"/>
        <v>417</v>
      </c>
      <c r="BJ49" s="6">
        <f t="shared" si="70"/>
        <v>424</v>
      </c>
      <c r="BK49" s="6">
        <f t="shared" si="70"/>
        <v>292</v>
      </c>
      <c r="BL49" s="6">
        <f t="shared" ref="BL49:BW50" si="71">AZ49</f>
        <v>243</v>
      </c>
      <c r="BM49" s="6">
        <f t="shared" si="71"/>
        <v>264</v>
      </c>
      <c r="BN49" s="6">
        <f t="shared" si="71"/>
        <v>270</v>
      </c>
      <c r="BO49" s="6">
        <f t="shared" si="71"/>
        <v>292</v>
      </c>
      <c r="BP49" s="6">
        <f t="shared" si="71"/>
        <v>327</v>
      </c>
      <c r="BQ49" s="6">
        <f t="shared" si="71"/>
        <v>283</v>
      </c>
      <c r="BR49" s="6">
        <f t="shared" si="71"/>
        <v>448</v>
      </c>
      <c r="BS49" s="6">
        <f t="shared" si="71"/>
        <v>429</v>
      </c>
      <c r="BT49" s="6">
        <f t="shared" si="71"/>
        <v>417</v>
      </c>
      <c r="BU49" s="6">
        <f t="shared" si="71"/>
        <v>417</v>
      </c>
      <c r="BV49" s="6">
        <f t="shared" si="71"/>
        <v>424</v>
      </c>
      <c r="BW49" s="6">
        <f t="shared" si="71"/>
        <v>292</v>
      </c>
      <c r="BX49" s="6">
        <f t="shared" ref="BX49:CI50" si="72">BL49</f>
        <v>243</v>
      </c>
      <c r="BY49" s="6">
        <f t="shared" si="72"/>
        <v>264</v>
      </c>
      <c r="BZ49" s="6">
        <f t="shared" si="72"/>
        <v>270</v>
      </c>
      <c r="CA49" s="6">
        <f t="shared" si="72"/>
        <v>292</v>
      </c>
      <c r="CB49" s="6">
        <f t="shared" si="72"/>
        <v>327</v>
      </c>
      <c r="CC49" s="6">
        <f t="shared" si="72"/>
        <v>283</v>
      </c>
      <c r="CD49" s="6">
        <f t="shared" si="72"/>
        <v>448</v>
      </c>
      <c r="CE49" s="6">
        <f t="shared" si="72"/>
        <v>429</v>
      </c>
      <c r="CF49" s="6">
        <f t="shared" si="72"/>
        <v>417</v>
      </c>
      <c r="CG49" s="6">
        <f t="shared" si="72"/>
        <v>417</v>
      </c>
      <c r="CH49" s="6">
        <f t="shared" si="72"/>
        <v>424</v>
      </c>
      <c r="CI49" s="6">
        <f t="shared" si="72"/>
        <v>292</v>
      </c>
    </row>
    <row r="50" spans="1:87">
      <c r="A50" s="2">
        <v>38</v>
      </c>
      <c r="B50" s="2" t="s">
        <v>254</v>
      </c>
      <c r="C50" s="91" t="s">
        <v>260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f>D50</f>
        <v>0</v>
      </c>
      <c r="Q50" s="6">
        <f t="shared" si="70"/>
        <v>0</v>
      </c>
      <c r="R50" s="6">
        <f t="shared" si="70"/>
        <v>0</v>
      </c>
      <c r="S50" s="6">
        <f t="shared" si="70"/>
        <v>0</v>
      </c>
      <c r="T50" s="6">
        <f t="shared" si="70"/>
        <v>0</v>
      </c>
      <c r="U50" s="6">
        <f t="shared" si="70"/>
        <v>0</v>
      </c>
      <c r="V50" s="6">
        <f t="shared" si="70"/>
        <v>0</v>
      </c>
      <c r="W50" s="6">
        <f t="shared" si="70"/>
        <v>0</v>
      </c>
      <c r="X50" s="6">
        <f t="shared" si="70"/>
        <v>0</v>
      </c>
      <c r="Y50" s="6">
        <f t="shared" si="70"/>
        <v>0</v>
      </c>
      <c r="Z50" s="6">
        <f t="shared" si="70"/>
        <v>0</v>
      </c>
      <c r="AA50" s="6">
        <f t="shared" si="70"/>
        <v>0</v>
      </c>
      <c r="AB50" s="6">
        <f t="shared" si="70"/>
        <v>0</v>
      </c>
      <c r="AC50" s="6">
        <f t="shared" si="70"/>
        <v>0</v>
      </c>
      <c r="AD50" s="6">
        <f t="shared" si="70"/>
        <v>0</v>
      </c>
      <c r="AE50" s="6">
        <f t="shared" si="70"/>
        <v>0</v>
      </c>
      <c r="AF50" s="6">
        <f t="shared" si="70"/>
        <v>0</v>
      </c>
      <c r="AG50" s="6">
        <f t="shared" si="70"/>
        <v>0</v>
      </c>
      <c r="AH50" s="6">
        <f t="shared" si="70"/>
        <v>0</v>
      </c>
      <c r="AI50" s="6">
        <f t="shared" si="70"/>
        <v>0</v>
      </c>
      <c r="AJ50" s="6">
        <f t="shared" si="70"/>
        <v>0</v>
      </c>
      <c r="AK50" s="6">
        <f t="shared" si="70"/>
        <v>0</v>
      </c>
      <c r="AL50" s="6">
        <f t="shared" si="70"/>
        <v>0</v>
      </c>
      <c r="AM50" s="6">
        <f t="shared" si="70"/>
        <v>0</v>
      </c>
      <c r="AN50" s="6">
        <f t="shared" si="70"/>
        <v>0</v>
      </c>
      <c r="AO50" s="6">
        <f t="shared" si="70"/>
        <v>0</v>
      </c>
      <c r="AP50" s="6">
        <f t="shared" si="70"/>
        <v>0</v>
      </c>
      <c r="AQ50" s="6">
        <f t="shared" si="70"/>
        <v>0</v>
      </c>
      <c r="AR50" s="6">
        <f t="shared" si="70"/>
        <v>0</v>
      </c>
      <c r="AS50" s="6">
        <f t="shared" si="70"/>
        <v>0</v>
      </c>
      <c r="AT50" s="6">
        <f t="shared" si="70"/>
        <v>0</v>
      </c>
      <c r="AU50" s="6">
        <f t="shared" si="70"/>
        <v>0</v>
      </c>
      <c r="AV50" s="6">
        <f t="shared" si="70"/>
        <v>0</v>
      </c>
      <c r="AW50" s="6">
        <f t="shared" si="70"/>
        <v>0</v>
      </c>
      <c r="AX50" s="6">
        <f t="shared" si="70"/>
        <v>0</v>
      </c>
      <c r="AY50" s="6">
        <f t="shared" si="70"/>
        <v>0</v>
      </c>
      <c r="AZ50" s="6">
        <f t="shared" si="70"/>
        <v>0</v>
      </c>
      <c r="BA50" s="6">
        <f t="shared" si="70"/>
        <v>0</v>
      </c>
      <c r="BB50" s="6">
        <f t="shared" si="70"/>
        <v>0</v>
      </c>
      <c r="BC50" s="6">
        <f t="shared" si="70"/>
        <v>0</v>
      </c>
      <c r="BD50" s="6">
        <f t="shared" si="70"/>
        <v>0</v>
      </c>
      <c r="BE50" s="6">
        <f t="shared" si="70"/>
        <v>0</v>
      </c>
      <c r="BF50" s="6">
        <f t="shared" si="70"/>
        <v>0</v>
      </c>
      <c r="BG50" s="6">
        <f t="shared" si="70"/>
        <v>0</v>
      </c>
      <c r="BH50" s="6">
        <f t="shared" si="70"/>
        <v>0</v>
      </c>
      <c r="BI50" s="6">
        <f t="shared" si="70"/>
        <v>0</v>
      </c>
      <c r="BJ50" s="6">
        <f t="shared" si="70"/>
        <v>0</v>
      </c>
      <c r="BK50" s="6">
        <f t="shared" si="70"/>
        <v>0</v>
      </c>
      <c r="BL50" s="6">
        <f t="shared" si="71"/>
        <v>0</v>
      </c>
      <c r="BM50" s="6">
        <f t="shared" si="71"/>
        <v>0</v>
      </c>
      <c r="BN50" s="6">
        <f t="shared" si="71"/>
        <v>0</v>
      </c>
      <c r="BO50" s="6">
        <f t="shared" si="71"/>
        <v>0</v>
      </c>
      <c r="BP50" s="6">
        <f t="shared" si="71"/>
        <v>0</v>
      </c>
      <c r="BQ50" s="6">
        <f t="shared" si="71"/>
        <v>0</v>
      </c>
      <c r="BR50" s="6">
        <f t="shared" si="71"/>
        <v>0</v>
      </c>
      <c r="BS50" s="6">
        <f t="shared" si="71"/>
        <v>0</v>
      </c>
      <c r="BT50" s="6">
        <f t="shared" si="71"/>
        <v>0</v>
      </c>
      <c r="BU50" s="6">
        <f t="shared" si="71"/>
        <v>0</v>
      </c>
      <c r="BV50" s="6">
        <f t="shared" si="71"/>
        <v>0</v>
      </c>
      <c r="BW50" s="6">
        <f t="shared" si="71"/>
        <v>0</v>
      </c>
      <c r="BX50" s="6">
        <f t="shared" si="72"/>
        <v>0</v>
      </c>
      <c r="BY50" s="6">
        <f t="shared" si="72"/>
        <v>0</v>
      </c>
      <c r="BZ50" s="6">
        <f t="shared" si="72"/>
        <v>0</v>
      </c>
      <c r="CA50" s="6">
        <f t="shared" si="72"/>
        <v>0</v>
      </c>
      <c r="CB50" s="6">
        <f t="shared" si="72"/>
        <v>0</v>
      </c>
      <c r="CC50" s="6">
        <f t="shared" si="72"/>
        <v>0</v>
      </c>
      <c r="CD50" s="6">
        <f t="shared" si="72"/>
        <v>0</v>
      </c>
      <c r="CE50" s="6">
        <f t="shared" si="72"/>
        <v>0</v>
      </c>
      <c r="CF50" s="6">
        <f t="shared" si="72"/>
        <v>0</v>
      </c>
      <c r="CG50" s="6">
        <f t="shared" si="72"/>
        <v>0</v>
      </c>
      <c r="CH50" s="6">
        <f t="shared" si="72"/>
        <v>0</v>
      </c>
      <c r="CI50" s="6">
        <f t="shared" si="72"/>
        <v>0</v>
      </c>
    </row>
    <row r="51" spans="1:87">
      <c r="A51" s="2">
        <v>39</v>
      </c>
      <c r="B51" s="21" t="s">
        <v>258</v>
      </c>
      <c r="C51" s="21"/>
      <c r="D51" s="20">
        <f t="shared" ref="D51:P51" si="73">D49+D50</f>
        <v>243</v>
      </c>
      <c r="E51" s="20">
        <f t="shared" si="73"/>
        <v>264</v>
      </c>
      <c r="F51" s="20">
        <f t="shared" si="73"/>
        <v>270</v>
      </c>
      <c r="G51" s="20">
        <f t="shared" si="73"/>
        <v>292</v>
      </c>
      <c r="H51" s="20">
        <f t="shared" si="73"/>
        <v>327</v>
      </c>
      <c r="I51" s="20">
        <f t="shared" si="73"/>
        <v>283</v>
      </c>
      <c r="J51" s="20">
        <f t="shared" si="73"/>
        <v>448</v>
      </c>
      <c r="K51" s="20">
        <f t="shared" si="73"/>
        <v>429</v>
      </c>
      <c r="L51" s="20">
        <f t="shared" si="73"/>
        <v>417</v>
      </c>
      <c r="M51" s="20">
        <f t="shared" si="73"/>
        <v>417</v>
      </c>
      <c r="N51" s="20">
        <f t="shared" si="73"/>
        <v>424</v>
      </c>
      <c r="O51" s="20">
        <f t="shared" si="73"/>
        <v>292</v>
      </c>
      <c r="P51" s="20">
        <f t="shared" si="73"/>
        <v>243</v>
      </c>
      <c r="Q51" s="20">
        <f t="shared" ref="Q51:BK51" si="74">Q49+Q50</f>
        <v>264</v>
      </c>
      <c r="R51" s="20">
        <f t="shared" si="74"/>
        <v>270</v>
      </c>
      <c r="S51" s="20">
        <f t="shared" si="74"/>
        <v>292</v>
      </c>
      <c r="T51" s="20">
        <f t="shared" si="74"/>
        <v>327</v>
      </c>
      <c r="U51" s="20">
        <f t="shared" si="74"/>
        <v>283</v>
      </c>
      <c r="V51" s="20">
        <f t="shared" si="74"/>
        <v>448</v>
      </c>
      <c r="W51" s="20">
        <f t="shared" si="74"/>
        <v>429</v>
      </c>
      <c r="X51" s="20">
        <f t="shared" si="74"/>
        <v>417</v>
      </c>
      <c r="Y51" s="20">
        <f t="shared" si="74"/>
        <v>417</v>
      </c>
      <c r="Z51" s="20">
        <f t="shared" si="74"/>
        <v>424</v>
      </c>
      <c r="AA51" s="20">
        <f t="shared" si="74"/>
        <v>292</v>
      </c>
      <c r="AB51" s="20">
        <f t="shared" si="74"/>
        <v>243</v>
      </c>
      <c r="AC51" s="20">
        <f t="shared" si="74"/>
        <v>264</v>
      </c>
      <c r="AD51" s="20">
        <f t="shared" si="74"/>
        <v>270</v>
      </c>
      <c r="AE51" s="20">
        <f t="shared" si="74"/>
        <v>292</v>
      </c>
      <c r="AF51" s="20">
        <f t="shared" si="74"/>
        <v>327</v>
      </c>
      <c r="AG51" s="20">
        <f t="shared" si="74"/>
        <v>283</v>
      </c>
      <c r="AH51" s="20">
        <f t="shared" si="74"/>
        <v>448</v>
      </c>
      <c r="AI51" s="20">
        <f t="shared" si="74"/>
        <v>429</v>
      </c>
      <c r="AJ51" s="20">
        <f t="shared" si="74"/>
        <v>417</v>
      </c>
      <c r="AK51" s="20">
        <f t="shared" si="74"/>
        <v>417</v>
      </c>
      <c r="AL51" s="20">
        <f t="shared" si="74"/>
        <v>424</v>
      </c>
      <c r="AM51" s="20">
        <f t="shared" si="74"/>
        <v>292</v>
      </c>
      <c r="AN51" s="20">
        <f t="shared" si="74"/>
        <v>243</v>
      </c>
      <c r="AO51" s="20">
        <f t="shared" si="74"/>
        <v>264</v>
      </c>
      <c r="AP51" s="20">
        <f t="shared" si="74"/>
        <v>270</v>
      </c>
      <c r="AQ51" s="20">
        <f t="shared" si="74"/>
        <v>292</v>
      </c>
      <c r="AR51" s="20">
        <f t="shared" si="74"/>
        <v>327</v>
      </c>
      <c r="AS51" s="20">
        <f t="shared" si="74"/>
        <v>283</v>
      </c>
      <c r="AT51" s="20">
        <f t="shared" si="74"/>
        <v>448</v>
      </c>
      <c r="AU51" s="20">
        <f t="shared" si="74"/>
        <v>429</v>
      </c>
      <c r="AV51" s="20">
        <f t="shared" si="74"/>
        <v>417</v>
      </c>
      <c r="AW51" s="20">
        <f t="shared" si="74"/>
        <v>417</v>
      </c>
      <c r="AX51" s="20">
        <f t="shared" si="74"/>
        <v>424</v>
      </c>
      <c r="AY51" s="20">
        <f t="shared" si="74"/>
        <v>292</v>
      </c>
      <c r="AZ51" s="20">
        <f t="shared" si="74"/>
        <v>243</v>
      </c>
      <c r="BA51" s="20">
        <f t="shared" si="74"/>
        <v>264</v>
      </c>
      <c r="BB51" s="20">
        <f t="shared" si="74"/>
        <v>270</v>
      </c>
      <c r="BC51" s="20">
        <f t="shared" si="74"/>
        <v>292</v>
      </c>
      <c r="BD51" s="20">
        <f t="shared" si="74"/>
        <v>327</v>
      </c>
      <c r="BE51" s="20">
        <f t="shared" si="74"/>
        <v>283</v>
      </c>
      <c r="BF51" s="20">
        <f t="shared" si="74"/>
        <v>448</v>
      </c>
      <c r="BG51" s="20">
        <f t="shared" si="74"/>
        <v>429</v>
      </c>
      <c r="BH51" s="20">
        <f t="shared" si="74"/>
        <v>417</v>
      </c>
      <c r="BI51" s="20">
        <f t="shared" si="74"/>
        <v>417</v>
      </c>
      <c r="BJ51" s="20">
        <f t="shared" si="74"/>
        <v>424</v>
      </c>
      <c r="BK51" s="20">
        <f t="shared" si="74"/>
        <v>292</v>
      </c>
      <c r="BL51" s="20">
        <f t="shared" ref="BL51:BW51" si="75">BL49+BL50</f>
        <v>243</v>
      </c>
      <c r="BM51" s="20">
        <f t="shared" si="75"/>
        <v>264</v>
      </c>
      <c r="BN51" s="20">
        <f t="shared" si="75"/>
        <v>270</v>
      </c>
      <c r="BO51" s="20">
        <f t="shared" si="75"/>
        <v>292</v>
      </c>
      <c r="BP51" s="20">
        <f t="shared" si="75"/>
        <v>327</v>
      </c>
      <c r="BQ51" s="20">
        <f t="shared" si="75"/>
        <v>283</v>
      </c>
      <c r="BR51" s="20">
        <f t="shared" si="75"/>
        <v>448</v>
      </c>
      <c r="BS51" s="20">
        <f t="shared" si="75"/>
        <v>429</v>
      </c>
      <c r="BT51" s="20">
        <f t="shared" si="75"/>
        <v>417</v>
      </c>
      <c r="BU51" s="20">
        <f t="shared" si="75"/>
        <v>417</v>
      </c>
      <c r="BV51" s="20">
        <f t="shared" si="75"/>
        <v>424</v>
      </c>
      <c r="BW51" s="20">
        <f t="shared" si="75"/>
        <v>292</v>
      </c>
      <c r="BX51" s="20">
        <f t="shared" ref="BX51:CI51" si="76">BX49+BX50</f>
        <v>243</v>
      </c>
      <c r="BY51" s="20">
        <f t="shared" si="76"/>
        <v>264</v>
      </c>
      <c r="BZ51" s="20">
        <f t="shared" si="76"/>
        <v>270</v>
      </c>
      <c r="CA51" s="20">
        <f t="shared" si="76"/>
        <v>292</v>
      </c>
      <c r="CB51" s="20">
        <f t="shared" si="76"/>
        <v>327</v>
      </c>
      <c r="CC51" s="20">
        <f t="shared" si="76"/>
        <v>283</v>
      </c>
      <c r="CD51" s="20">
        <f t="shared" si="76"/>
        <v>448</v>
      </c>
      <c r="CE51" s="20">
        <f t="shared" si="76"/>
        <v>429</v>
      </c>
      <c r="CF51" s="20">
        <f t="shared" si="76"/>
        <v>417</v>
      </c>
      <c r="CG51" s="20">
        <f t="shared" si="76"/>
        <v>417</v>
      </c>
      <c r="CH51" s="20">
        <f t="shared" si="76"/>
        <v>424</v>
      </c>
      <c r="CI51" s="20">
        <f t="shared" si="76"/>
        <v>292</v>
      </c>
    </row>
    <row r="52" spans="1:87">
      <c r="A52" s="2">
        <v>40</v>
      </c>
      <c r="B52" s="21" t="s">
        <v>259</v>
      </c>
      <c r="C52" s="21"/>
      <c r="D52" s="546">
        <f t="shared" ref="D52:O52" si="77">$C$49*D49+$C$50*D50</f>
        <v>972</v>
      </c>
      <c r="E52" s="546">
        <f t="shared" si="77"/>
        <v>1056</v>
      </c>
      <c r="F52" s="546">
        <f t="shared" si="77"/>
        <v>1080</v>
      </c>
      <c r="G52" s="546">
        <f t="shared" si="77"/>
        <v>1168</v>
      </c>
      <c r="H52" s="546">
        <f t="shared" si="77"/>
        <v>1308</v>
      </c>
      <c r="I52" s="546">
        <f t="shared" si="77"/>
        <v>1132</v>
      </c>
      <c r="J52" s="546">
        <f t="shared" si="77"/>
        <v>1792</v>
      </c>
      <c r="K52" s="546">
        <f t="shared" si="77"/>
        <v>1716</v>
      </c>
      <c r="L52" s="546">
        <f t="shared" si="77"/>
        <v>1668</v>
      </c>
      <c r="M52" s="546">
        <f t="shared" si="77"/>
        <v>1668</v>
      </c>
      <c r="N52" s="546">
        <f t="shared" si="77"/>
        <v>1696</v>
      </c>
      <c r="O52" s="546">
        <f t="shared" si="77"/>
        <v>1168</v>
      </c>
      <c r="P52" s="546">
        <f t="shared" ref="P52:BK52" si="78">$C$49*P49+$C$50*P50</f>
        <v>972</v>
      </c>
      <c r="Q52" s="546">
        <f t="shared" si="78"/>
        <v>1056</v>
      </c>
      <c r="R52" s="546">
        <f t="shared" si="78"/>
        <v>1080</v>
      </c>
      <c r="S52" s="546">
        <f t="shared" si="78"/>
        <v>1168</v>
      </c>
      <c r="T52" s="546">
        <f t="shared" si="78"/>
        <v>1308</v>
      </c>
      <c r="U52" s="546">
        <f t="shared" si="78"/>
        <v>1132</v>
      </c>
      <c r="V52" s="546">
        <f t="shared" si="78"/>
        <v>1792</v>
      </c>
      <c r="W52" s="546">
        <f t="shared" si="78"/>
        <v>1716</v>
      </c>
      <c r="X52" s="546">
        <f t="shared" si="78"/>
        <v>1668</v>
      </c>
      <c r="Y52" s="546">
        <f t="shared" si="78"/>
        <v>1668</v>
      </c>
      <c r="Z52" s="546">
        <f t="shared" si="78"/>
        <v>1696</v>
      </c>
      <c r="AA52" s="546">
        <f t="shared" si="78"/>
        <v>1168</v>
      </c>
      <c r="AB52" s="546">
        <f t="shared" si="78"/>
        <v>972</v>
      </c>
      <c r="AC52" s="546">
        <f t="shared" si="78"/>
        <v>1056</v>
      </c>
      <c r="AD52" s="546">
        <f t="shared" si="78"/>
        <v>1080</v>
      </c>
      <c r="AE52" s="546">
        <f t="shared" si="78"/>
        <v>1168</v>
      </c>
      <c r="AF52" s="546">
        <f t="shared" si="78"/>
        <v>1308</v>
      </c>
      <c r="AG52" s="546">
        <f t="shared" si="78"/>
        <v>1132</v>
      </c>
      <c r="AH52" s="546">
        <f t="shared" si="78"/>
        <v>1792</v>
      </c>
      <c r="AI52" s="546">
        <f t="shared" si="78"/>
        <v>1716</v>
      </c>
      <c r="AJ52" s="546">
        <f t="shared" si="78"/>
        <v>1668</v>
      </c>
      <c r="AK52" s="546">
        <f t="shared" si="78"/>
        <v>1668</v>
      </c>
      <c r="AL52" s="546">
        <f t="shared" si="78"/>
        <v>1696</v>
      </c>
      <c r="AM52" s="546">
        <f t="shared" si="78"/>
        <v>1168</v>
      </c>
      <c r="AN52" s="546">
        <f t="shared" si="78"/>
        <v>972</v>
      </c>
      <c r="AO52" s="546">
        <f t="shared" si="78"/>
        <v>1056</v>
      </c>
      <c r="AP52" s="546">
        <f t="shared" si="78"/>
        <v>1080</v>
      </c>
      <c r="AQ52" s="546">
        <f t="shared" si="78"/>
        <v>1168</v>
      </c>
      <c r="AR52" s="546">
        <f t="shared" si="78"/>
        <v>1308</v>
      </c>
      <c r="AS52" s="546">
        <f t="shared" si="78"/>
        <v>1132</v>
      </c>
      <c r="AT52" s="546">
        <f t="shared" si="78"/>
        <v>1792</v>
      </c>
      <c r="AU52" s="546">
        <f t="shared" si="78"/>
        <v>1716</v>
      </c>
      <c r="AV52" s="546">
        <f t="shared" si="78"/>
        <v>1668</v>
      </c>
      <c r="AW52" s="546">
        <f t="shared" si="78"/>
        <v>1668</v>
      </c>
      <c r="AX52" s="546">
        <f t="shared" si="78"/>
        <v>1696</v>
      </c>
      <c r="AY52" s="546">
        <f t="shared" si="78"/>
        <v>1168</v>
      </c>
      <c r="AZ52" s="546">
        <f t="shared" si="78"/>
        <v>972</v>
      </c>
      <c r="BA52" s="546">
        <f t="shared" si="78"/>
        <v>1056</v>
      </c>
      <c r="BB52" s="546">
        <f t="shared" si="78"/>
        <v>1080</v>
      </c>
      <c r="BC52" s="546">
        <f t="shared" si="78"/>
        <v>1168</v>
      </c>
      <c r="BD52" s="546">
        <f t="shared" si="78"/>
        <v>1308</v>
      </c>
      <c r="BE52" s="546">
        <f t="shared" si="78"/>
        <v>1132</v>
      </c>
      <c r="BF52" s="546">
        <f t="shared" si="78"/>
        <v>1792</v>
      </c>
      <c r="BG52" s="546">
        <f t="shared" si="78"/>
        <v>1716</v>
      </c>
      <c r="BH52" s="546">
        <f t="shared" si="78"/>
        <v>1668</v>
      </c>
      <c r="BI52" s="546">
        <f t="shared" si="78"/>
        <v>1668</v>
      </c>
      <c r="BJ52" s="546">
        <f t="shared" si="78"/>
        <v>1696</v>
      </c>
      <c r="BK52" s="546">
        <f t="shared" si="78"/>
        <v>1168</v>
      </c>
      <c r="BL52" s="546">
        <f t="shared" ref="BL52:BW52" si="79">$C$49*BL49+$C$50*BL50</f>
        <v>972</v>
      </c>
      <c r="BM52" s="546">
        <f t="shared" si="79"/>
        <v>1056</v>
      </c>
      <c r="BN52" s="546">
        <f t="shared" si="79"/>
        <v>1080</v>
      </c>
      <c r="BO52" s="546">
        <f t="shared" si="79"/>
        <v>1168</v>
      </c>
      <c r="BP52" s="546">
        <f t="shared" si="79"/>
        <v>1308</v>
      </c>
      <c r="BQ52" s="546">
        <f t="shared" si="79"/>
        <v>1132</v>
      </c>
      <c r="BR52" s="546">
        <f t="shared" si="79"/>
        <v>1792</v>
      </c>
      <c r="BS52" s="546">
        <f t="shared" si="79"/>
        <v>1716</v>
      </c>
      <c r="BT52" s="546">
        <f t="shared" si="79"/>
        <v>1668</v>
      </c>
      <c r="BU52" s="546">
        <f t="shared" si="79"/>
        <v>1668</v>
      </c>
      <c r="BV52" s="546">
        <f t="shared" si="79"/>
        <v>1696</v>
      </c>
      <c r="BW52" s="546">
        <f t="shared" si="79"/>
        <v>1168</v>
      </c>
      <c r="BX52" s="546">
        <f t="shared" ref="BX52:CI52" si="80">$C$49*BX49+$C$50*BX50</f>
        <v>972</v>
      </c>
      <c r="BY52" s="546">
        <f t="shared" si="80"/>
        <v>1056</v>
      </c>
      <c r="BZ52" s="546">
        <f t="shared" si="80"/>
        <v>1080</v>
      </c>
      <c r="CA52" s="546">
        <f t="shared" si="80"/>
        <v>1168</v>
      </c>
      <c r="CB52" s="546">
        <f t="shared" si="80"/>
        <v>1308</v>
      </c>
      <c r="CC52" s="546">
        <f t="shared" si="80"/>
        <v>1132</v>
      </c>
      <c r="CD52" s="546">
        <f t="shared" si="80"/>
        <v>1792</v>
      </c>
      <c r="CE52" s="546">
        <f t="shared" si="80"/>
        <v>1716</v>
      </c>
      <c r="CF52" s="546">
        <f t="shared" si="80"/>
        <v>1668</v>
      </c>
      <c r="CG52" s="546">
        <f t="shared" si="80"/>
        <v>1668</v>
      </c>
      <c r="CH52" s="546">
        <f t="shared" si="80"/>
        <v>1696</v>
      </c>
      <c r="CI52" s="546">
        <f t="shared" si="80"/>
        <v>1168</v>
      </c>
    </row>
    <row r="53" spans="1:87">
      <c r="A53" s="2">
        <v>41</v>
      </c>
    </row>
    <row r="54" spans="1:87">
      <c r="A54" s="2">
        <v>42</v>
      </c>
      <c r="B54" s="2" t="s">
        <v>257</v>
      </c>
      <c r="D54" s="3">
        <f>D15+D21+D27+D33+D39+D45+D52</f>
        <v>3387</v>
      </c>
      <c r="E54" s="3">
        <f t="shared" ref="E54:P54" si="81">E15+E21+E27+E33+E39+E45+E52</f>
        <v>3698</v>
      </c>
      <c r="F54" s="3">
        <f t="shared" si="81"/>
        <v>4212</v>
      </c>
      <c r="G54" s="3">
        <f t="shared" si="81"/>
        <v>9928</v>
      </c>
      <c r="H54" s="3">
        <f t="shared" si="81"/>
        <v>8550</v>
      </c>
      <c r="I54" s="3">
        <f t="shared" si="81"/>
        <v>4906</v>
      </c>
      <c r="J54" s="3">
        <f t="shared" si="81"/>
        <v>5587</v>
      </c>
      <c r="K54" s="3">
        <f t="shared" si="81"/>
        <v>4026</v>
      </c>
      <c r="L54" s="3">
        <f t="shared" si="81"/>
        <v>4332</v>
      </c>
      <c r="M54" s="3">
        <f t="shared" si="81"/>
        <v>3438</v>
      </c>
      <c r="N54" s="3">
        <f t="shared" si="81"/>
        <v>3844</v>
      </c>
      <c r="O54" s="3">
        <f t="shared" si="81"/>
        <v>3004</v>
      </c>
      <c r="P54" s="3">
        <f t="shared" si="81"/>
        <v>3387</v>
      </c>
      <c r="Q54" s="3">
        <f t="shared" ref="Q54:BK54" si="82">Q15+Q21+Q27+Q33+Q39+Q45+Q52</f>
        <v>3698</v>
      </c>
      <c r="R54" s="3">
        <f t="shared" si="82"/>
        <v>4212</v>
      </c>
      <c r="S54" s="3">
        <f t="shared" si="82"/>
        <v>9928</v>
      </c>
      <c r="T54" s="3">
        <f t="shared" si="82"/>
        <v>8550</v>
      </c>
      <c r="U54" s="3">
        <f t="shared" si="82"/>
        <v>4906</v>
      </c>
      <c r="V54" s="3">
        <f t="shared" si="82"/>
        <v>5587</v>
      </c>
      <c r="W54" s="3">
        <f t="shared" si="82"/>
        <v>4026</v>
      </c>
      <c r="X54" s="3">
        <f t="shared" si="82"/>
        <v>4332</v>
      </c>
      <c r="Y54" s="3">
        <f t="shared" si="82"/>
        <v>3438</v>
      </c>
      <c r="Z54" s="3">
        <f t="shared" si="82"/>
        <v>3844</v>
      </c>
      <c r="AA54" s="3">
        <f t="shared" si="82"/>
        <v>3004</v>
      </c>
      <c r="AB54" s="3">
        <f t="shared" si="82"/>
        <v>3387</v>
      </c>
      <c r="AC54" s="3">
        <f t="shared" si="82"/>
        <v>3698</v>
      </c>
      <c r="AD54" s="3">
        <f t="shared" si="82"/>
        <v>4212</v>
      </c>
      <c r="AE54" s="3">
        <f t="shared" si="82"/>
        <v>9928</v>
      </c>
      <c r="AF54" s="3">
        <f t="shared" si="82"/>
        <v>8550</v>
      </c>
      <c r="AG54" s="3">
        <f t="shared" si="82"/>
        <v>4906</v>
      </c>
      <c r="AH54" s="3">
        <f t="shared" si="82"/>
        <v>5587</v>
      </c>
      <c r="AI54" s="3">
        <f t="shared" si="82"/>
        <v>4026</v>
      </c>
      <c r="AJ54" s="3">
        <f t="shared" si="82"/>
        <v>4332</v>
      </c>
      <c r="AK54" s="3">
        <f t="shared" si="82"/>
        <v>3438</v>
      </c>
      <c r="AL54" s="3">
        <f t="shared" si="82"/>
        <v>3844</v>
      </c>
      <c r="AM54" s="3">
        <f t="shared" si="82"/>
        <v>3004</v>
      </c>
      <c r="AN54" s="3">
        <f t="shared" si="82"/>
        <v>3387</v>
      </c>
      <c r="AO54" s="3">
        <f t="shared" si="82"/>
        <v>3698</v>
      </c>
      <c r="AP54" s="3">
        <f t="shared" si="82"/>
        <v>4212</v>
      </c>
      <c r="AQ54" s="3">
        <f t="shared" si="82"/>
        <v>9928</v>
      </c>
      <c r="AR54" s="3">
        <f t="shared" si="82"/>
        <v>8550</v>
      </c>
      <c r="AS54" s="3">
        <f t="shared" si="82"/>
        <v>4906</v>
      </c>
      <c r="AT54" s="3">
        <f t="shared" si="82"/>
        <v>5587</v>
      </c>
      <c r="AU54" s="3">
        <f t="shared" si="82"/>
        <v>4026</v>
      </c>
      <c r="AV54" s="3">
        <f t="shared" si="82"/>
        <v>4332</v>
      </c>
      <c r="AW54" s="3">
        <f t="shared" si="82"/>
        <v>3438</v>
      </c>
      <c r="AX54" s="3">
        <f t="shared" si="82"/>
        <v>3844</v>
      </c>
      <c r="AY54" s="3">
        <f t="shared" si="82"/>
        <v>3004</v>
      </c>
      <c r="AZ54" s="3">
        <f t="shared" si="82"/>
        <v>3387</v>
      </c>
      <c r="BA54" s="3">
        <f t="shared" si="82"/>
        <v>3698</v>
      </c>
      <c r="BB54" s="3">
        <f t="shared" si="82"/>
        <v>4212</v>
      </c>
      <c r="BC54" s="3">
        <f t="shared" si="82"/>
        <v>9928</v>
      </c>
      <c r="BD54" s="3">
        <f t="shared" si="82"/>
        <v>8550</v>
      </c>
      <c r="BE54" s="3">
        <f t="shared" si="82"/>
        <v>4906</v>
      </c>
      <c r="BF54" s="3">
        <f t="shared" si="82"/>
        <v>5587</v>
      </c>
      <c r="BG54" s="3">
        <f t="shared" si="82"/>
        <v>4026</v>
      </c>
      <c r="BH54" s="3">
        <f t="shared" si="82"/>
        <v>4332</v>
      </c>
      <c r="BI54" s="3">
        <f t="shared" si="82"/>
        <v>3438</v>
      </c>
      <c r="BJ54" s="3">
        <f t="shared" si="82"/>
        <v>3844</v>
      </c>
      <c r="BK54" s="3">
        <f t="shared" si="82"/>
        <v>3004</v>
      </c>
      <c r="BL54" s="3">
        <f t="shared" ref="BL54:BW54" si="83">BL15+BL21+BL27+BL33+BL39+BL45+BL52</f>
        <v>3387</v>
      </c>
      <c r="BM54" s="3">
        <f t="shared" si="83"/>
        <v>3698</v>
      </c>
      <c r="BN54" s="3">
        <f t="shared" si="83"/>
        <v>4212</v>
      </c>
      <c r="BO54" s="3">
        <f t="shared" si="83"/>
        <v>9928</v>
      </c>
      <c r="BP54" s="3">
        <f t="shared" si="83"/>
        <v>8550</v>
      </c>
      <c r="BQ54" s="3">
        <f t="shared" si="83"/>
        <v>4906</v>
      </c>
      <c r="BR54" s="3">
        <f t="shared" si="83"/>
        <v>5587</v>
      </c>
      <c r="BS54" s="3">
        <f t="shared" si="83"/>
        <v>4026</v>
      </c>
      <c r="BT54" s="3">
        <f t="shared" si="83"/>
        <v>4332</v>
      </c>
      <c r="BU54" s="3">
        <f t="shared" si="83"/>
        <v>3438</v>
      </c>
      <c r="BV54" s="3">
        <f t="shared" si="83"/>
        <v>3844</v>
      </c>
      <c r="BW54" s="3">
        <f t="shared" si="83"/>
        <v>3004</v>
      </c>
      <c r="BX54" s="3">
        <f t="shared" ref="BX54:CI54" si="84">BX15+BX21+BX27+BX33+BX39+BX45+BX52</f>
        <v>3387</v>
      </c>
      <c r="BY54" s="3">
        <f t="shared" si="84"/>
        <v>3698</v>
      </c>
      <c r="BZ54" s="3">
        <f t="shared" si="84"/>
        <v>4212</v>
      </c>
      <c r="CA54" s="3">
        <f t="shared" si="84"/>
        <v>9928</v>
      </c>
      <c r="CB54" s="3">
        <f t="shared" si="84"/>
        <v>8550</v>
      </c>
      <c r="CC54" s="3">
        <f t="shared" si="84"/>
        <v>4906</v>
      </c>
      <c r="CD54" s="3">
        <f t="shared" si="84"/>
        <v>5587</v>
      </c>
      <c r="CE54" s="3">
        <f t="shared" si="84"/>
        <v>4026</v>
      </c>
      <c r="CF54" s="3">
        <f t="shared" si="84"/>
        <v>4332</v>
      </c>
      <c r="CG54" s="3">
        <f t="shared" si="84"/>
        <v>3438</v>
      </c>
      <c r="CH54" s="3">
        <f t="shared" si="84"/>
        <v>3844</v>
      </c>
      <c r="CI54" s="3">
        <f t="shared" si="84"/>
        <v>3004</v>
      </c>
    </row>
    <row r="55" spans="1:87">
      <c r="A55" s="2">
        <v>43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</row>
    <row r="56" spans="1:87">
      <c r="A56" s="2">
        <v>44</v>
      </c>
      <c r="B56" s="88" t="s">
        <v>687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</row>
    <row r="57" spans="1:87">
      <c r="A57" s="2">
        <v>45</v>
      </c>
      <c r="B57" s="2" t="s">
        <v>5</v>
      </c>
      <c r="C57" s="103">
        <v>0.05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27025.57</v>
      </c>
      <c r="L57" s="44">
        <v>26258.27</v>
      </c>
      <c r="M57" s="44">
        <v>19781.560000000001</v>
      </c>
      <c r="N57" s="44">
        <v>14418.960000000001</v>
      </c>
      <c r="O57" s="44">
        <v>11956.41</v>
      </c>
      <c r="P57" s="3">
        <f>$C$62*('Monthly Forecast'!O20+'Monthly Forecast'!O27)+$C$63*('Monthly Forecast'!O38+'Monthly Forecast'!O45)</f>
        <v>13930.131428884177</v>
      </c>
      <c r="Q57" s="3">
        <f>$C$62*('Monthly Forecast'!P20+'Monthly Forecast'!P27)+$C$63*('Monthly Forecast'!P38+'Monthly Forecast'!P45)</f>
        <v>13262.810579287931</v>
      </c>
      <c r="R57" s="3">
        <f>$C$62*('Monthly Forecast'!Q20+'Monthly Forecast'!Q27)+$C$63*('Monthly Forecast'!Q38+'Monthly Forecast'!Q45)</f>
        <v>14176.957038946692</v>
      </c>
      <c r="S57" s="3">
        <f>$C$62*('Monthly Forecast'!R20+'Monthly Forecast'!R27)+$C$63*('Monthly Forecast'!R38+'Monthly Forecast'!R45)</f>
        <v>14105.493007242911</v>
      </c>
      <c r="T57" s="3">
        <f>$C$62*('Monthly Forecast'!S20+'Monthly Forecast'!S27)+$C$63*('Monthly Forecast'!S38+'Monthly Forecast'!S45)</f>
        <v>16816.80122485109</v>
      </c>
      <c r="U57" s="3">
        <f>$C$62*('Monthly Forecast'!T20+'Monthly Forecast'!T27)+$C$63*('Monthly Forecast'!T38+'Monthly Forecast'!T45)</f>
        <v>25570.913016815881</v>
      </c>
      <c r="V57" s="3">
        <f>$C$62*('Monthly Forecast'!U20+'Monthly Forecast'!U27)+$C$63*('Monthly Forecast'!U38+'Monthly Forecast'!U45)</f>
        <v>35813.677034933804</v>
      </c>
      <c r="W57" s="3">
        <f>$C$62*('Monthly Forecast'!V20+'Monthly Forecast'!V27)+$C$63*('Monthly Forecast'!V38+'Monthly Forecast'!V45)</f>
        <v>41213.709989783958</v>
      </c>
      <c r="X57" s="3">
        <f>$C$62*('Monthly Forecast'!W20+'Monthly Forecast'!W27)+$C$63*('Monthly Forecast'!W38+'Monthly Forecast'!W45)</f>
        <v>53561.356216625238</v>
      </c>
      <c r="Y57" s="3">
        <f>$C$62*('Monthly Forecast'!X20+'Monthly Forecast'!X27)+$C$63*('Monthly Forecast'!X38+'Monthly Forecast'!X45)</f>
        <v>41096.213952947801</v>
      </c>
      <c r="Z57" s="3">
        <f>$C$62*('Monthly Forecast'!Y20+'Monthly Forecast'!Y27)+$C$63*('Monthly Forecast'!Y38+'Monthly Forecast'!Y45)</f>
        <v>30593.507387147787</v>
      </c>
      <c r="AA57" s="3">
        <f>$C$62*('Monthly Forecast'!Z20+'Monthly Forecast'!Z27)+$C$63*('Monthly Forecast'!Z38+'Monthly Forecast'!Z45)</f>
        <v>21780.060594189254</v>
      </c>
      <c r="AB57" s="3">
        <f>$C$62*('Monthly Forecast'!AA20+'Monthly Forecast'!AA27)+$C$63*('Monthly Forecast'!AA38+'Monthly Forecast'!AA45)</f>
        <v>16033.312756770089</v>
      </c>
      <c r="AC57" s="3">
        <f>$C$62*('Monthly Forecast'!AB20+'Monthly Forecast'!AB27)+$C$63*('Monthly Forecast'!AB38+'Monthly Forecast'!AB45)</f>
        <v>15171.878621207807</v>
      </c>
      <c r="AD57" s="3">
        <f>$C$62*('Monthly Forecast'!AC20+'Monthly Forecast'!AC27)+$C$63*('Monthly Forecast'!AC38+'Monthly Forecast'!AC45)</f>
        <v>15548.307366768042</v>
      </c>
      <c r="AE57" s="3">
        <f>$C$62*('Monthly Forecast'!AD20+'Monthly Forecast'!AD27)+$C$63*('Monthly Forecast'!AD38+'Monthly Forecast'!AD45)</f>
        <v>15485.738062021457</v>
      </c>
      <c r="AF57" s="3">
        <f>$C$62*('Monthly Forecast'!AE20+'Monthly Forecast'!AE27)+$C$63*('Monthly Forecast'!AE38+'Monthly Forecast'!AE45)</f>
        <v>18793.22858503829</v>
      </c>
      <c r="AG57" s="3">
        <f>$C$62*('Monthly Forecast'!AF20+'Monthly Forecast'!AF27)+$C$63*('Monthly Forecast'!AF38+'Monthly Forecast'!AF45)</f>
        <v>33240.004271835103</v>
      </c>
      <c r="AH57" s="3">
        <f>$C$62*('Monthly Forecast'!AG20+'Monthly Forecast'!AG27)+$C$63*('Monthly Forecast'!AG38+'Monthly Forecast'!AG45)</f>
        <v>47958.341037120852</v>
      </c>
      <c r="AI57" s="3">
        <f>$C$62*('Monthly Forecast'!AH20+'Monthly Forecast'!AH27)+$C$63*('Monthly Forecast'!AH38+'Monthly Forecast'!AH45)</f>
        <v>55753.086848952247</v>
      </c>
      <c r="AJ57" s="3">
        <f>$C$62*('Monthly Forecast'!AI20+'Monthly Forecast'!AI27)+$C$63*('Monthly Forecast'!AI38+'Monthly Forecast'!AI45)</f>
        <v>56008.220481848206</v>
      </c>
      <c r="AK57" s="3">
        <f>$C$62*('Monthly Forecast'!AJ20+'Monthly Forecast'!AJ27)+$C$63*('Monthly Forecast'!AJ38+'Monthly Forecast'!AJ45)</f>
        <v>42866.041700355185</v>
      </c>
      <c r="AL57" s="3">
        <f>$C$62*('Monthly Forecast'!AK20+'Monthly Forecast'!AK27)+$C$63*('Monthly Forecast'!AK38+'Monthly Forecast'!AK45)</f>
        <v>31797.738604237071</v>
      </c>
      <c r="AM57" s="3">
        <f>$C$62*('Monthly Forecast'!AL20+'Monthly Forecast'!AL27)+$C$63*('Monthly Forecast'!AL38+'Monthly Forecast'!AL45)</f>
        <v>22585.241914860133</v>
      </c>
      <c r="AN57" s="3">
        <f>$C$62*('Monthly Forecast'!AM20+'Monthly Forecast'!AM27)+$C$63*('Monthly Forecast'!AM38+'Monthly Forecast'!AM45)</f>
        <v>16512.067485721574</v>
      </c>
      <c r="AO57" s="3">
        <f>$C$62*('Monthly Forecast'!AN20+'Monthly Forecast'!AN27)+$C$63*('Monthly Forecast'!AN38+'Monthly Forecast'!AN45)</f>
        <v>15608.186067365579</v>
      </c>
      <c r="AP57" s="3">
        <f>$C$62*('Monthly Forecast'!AO20+'Monthly Forecast'!AO27)+$C$63*('Monthly Forecast'!AO38+'Monthly Forecast'!AO45)</f>
        <v>15825.800120816988</v>
      </c>
      <c r="AQ57" s="3">
        <f>$C$62*('Monthly Forecast'!AP20+'Monthly Forecast'!AP27)+$C$63*('Monthly Forecast'!AP38+'Monthly Forecast'!AP45)</f>
        <v>15764.856777686338</v>
      </c>
      <c r="AR57" s="3">
        <f>$C$62*('Monthly Forecast'!AQ20+'Monthly Forecast'!AQ27)+$C$63*('Monthly Forecast'!AQ38+'Monthly Forecast'!AQ45)</f>
        <v>19185.252363914529</v>
      </c>
      <c r="AS57" s="3">
        <f>$C$62*('Monthly Forecast'!AR20+'Monthly Forecast'!AR27)+$C$63*('Monthly Forecast'!AR38+'Monthly Forecast'!AR45)</f>
        <v>34015.755245955632</v>
      </c>
      <c r="AT57" s="3">
        <f>$C$62*('Monthly Forecast'!AS20+'Monthly Forecast'!AS27)+$C$63*('Monthly Forecast'!AS38+'Monthly Forecast'!AS45)</f>
        <v>49174.619874219512</v>
      </c>
      <c r="AU57" s="3">
        <f>$C$62*('Monthly Forecast'!AT20+'Monthly Forecast'!AT27)+$C$63*('Monthly Forecast'!AT38+'Monthly Forecast'!AT45)</f>
        <v>57203.8500566527</v>
      </c>
      <c r="AV57" s="3">
        <f>$C$62*('Monthly Forecast'!AU20+'Monthly Forecast'!AU27)+$C$63*('Monthly Forecast'!AU38+'Monthly Forecast'!AU45)</f>
        <v>57236.993371077078</v>
      </c>
      <c r="AW57" s="3">
        <f>$C$62*('Monthly Forecast'!AV20+'Monthly Forecast'!AV27)+$C$63*('Monthly Forecast'!AV38+'Monthly Forecast'!AV45)</f>
        <v>43757.788976931057</v>
      </c>
      <c r="AX57" s="3">
        <f>$C$62*('Monthly Forecast'!AW20+'Monthly Forecast'!AW27)+$C$63*('Monthly Forecast'!AW38+'Monthly Forecast'!AW45)</f>
        <v>32407.891054644973</v>
      </c>
      <c r="AY57" s="3">
        <f>$C$62*('Monthly Forecast'!AX20+'Monthly Forecast'!AX27)+$C$63*('Monthly Forecast'!AX38+'Monthly Forecast'!AX45)</f>
        <v>22563.21405639558</v>
      </c>
      <c r="AZ57" s="3">
        <f>$C$62*('Monthly Forecast'!AY20+'Monthly Forecast'!AY27)+$C$63*('Monthly Forecast'!AY38+'Monthly Forecast'!AY45)</f>
        <v>16508.385283863536</v>
      </c>
      <c r="BA57" s="3">
        <f>$C$62*('Monthly Forecast'!AZ20+'Monthly Forecast'!AZ27)+$C$63*('Monthly Forecast'!AZ38+'Monthly Forecast'!AZ45)</f>
        <v>15606.999884740606</v>
      </c>
      <c r="BB57" s="3">
        <f>$C$62*('Monthly Forecast'!BA20+'Monthly Forecast'!BA27)+$C$63*('Monthly Forecast'!BA38+'Monthly Forecast'!BA45)</f>
        <v>15827.485654674196</v>
      </c>
      <c r="BC57" s="3">
        <f>$C$62*('Monthly Forecast'!BB20+'Monthly Forecast'!BB27)+$C$63*('Monthly Forecast'!BB38+'Monthly Forecast'!BB45)</f>
        <v>15766.328958726723</v>
      </c>
      <c r="BD57" s="3">
        <f>$C$62*('Monthly Forecast'!BC20+'Monthly Forecast'!BC27)+$C$63*('Monthly Forecast'!BC38+'Monthly Forecast'!BC45)</f>
        <v>19177.785750870367</v>
      </c>
      <c r="BE57" s="3">
        <f>$C$62*('Monthly Forecast'!BD20+'Monthly Forecast'!BD27)+$C$63*('Monthly Forecast'!BD38+'Monthly Forecast'!BD45)</f>
        <v>34038.638687416889</v>
      </c>
      <c r="BF57" s="3">
        <f>$C$62*('Monthly Forecast'!BE20+'Monthly Forecast'!BE27)+$C$63*('Monthly Forecast'!BE38+'Monthly Forecast'!BE45)</f>
        <v>49197.385621494599</v>
      </c>
      <c r="BG57" s="3">
        <f>$C$62*('Monthly Forecast'!BF20+'Monthly Forecast'!BF27)+$C$63*('Monthly Forecast'!BF38+'Monthly Forecast'!BF45)</f>
        <v>57225.234712948339</v>
      </c>
      <c r="BH57" s="3">
        <f>$C$62*('Monthly Forecast'!BG20+'Monthly Forecast'!BG27)+$C$63*('Monthly Forecast'!BG38+'Monthly Forecast'!BG45)</f>
        <v>57129.004792324915</v>
      </c>
      <c r="BI57" s="3">
        <f>$C$62*('Monthly Forecast'!BH20+'Monthly Forecast'!BH27)+$C$63*('Monthly Forecast'!BH38+'Monthly Forecast'!BH45)</f>
        <v>43685.922169701895</v>
      </c>
      <c r="BJ57" s="3">
        <f>$C$62*('Monthly Forecast'!BI20+'Monthly Forecast'!BI27)+$C$63*('Monthly Forecast'!BI38+'Monthly Forecast'!BI45)</f>
        <v>32365.944354439696</v>
      </c>
      <c r="BK57" s="3">
        <f>$C$62*('Monthly Forecast'!BJ20+'Monthly Forecast'!BJ27)+$C$63*('Monthly Forecast'!BJ38+'Monthly Forecast'!BJ45)</f>
        <v>22414.888297998426</v>
      </c>
      <c r="BL57" s="3">
        <f>$C$62*('Monthly Forecast'!BK20+'Monthly Forecast'!BK27)+$C$63*('Monthly Forecast'!BK38+'Monthly Forecast'!BK45)</f>
        <v>16430.88723683219</v>
      </c>
      <c r="BM57" s="3">
        <f>$C$62*('Monthly Forecast'!BL20+'Monthly Forecast'!BL27)+$C$63*('Monthly Forecast'!BL38+'Monthly Forecast'!BL45)</f>
        <v>15538.948108759383</v>
      </c>
      <c r="BN57" s="3">
        <f>$C$62*('Monthly Forecast'!BM20+'Monthly Forecast'!BM27)+$C$63*('Monthly Forecast'!BM38+'Monthly Forecast'!BM45)</f>
        <v>15769.223802639761</v>
      </c>
      <c r="BO57" s="3">
        <f>$C$62*('Monthly Forecast'!BN20+'Monthly Forecast'!BN27)+$C$63*('Monthly Forecast'!BN38+'Monthly Forecast'!BN45)</f>
        <v>15707.450679427417</v>
      </c>
      <c r="BP57" s="3">
        <f>$C$62*('Monthly Forecast'!BO20+'Monthly Forecast'!BO27)+$C$63*('Monthly Forecast'!BO38+'Monthly Forecast'!BO45)</f>
        <v>19083.491210099412</v>
      </c>
      <c r="BQ57" s="3">
        <f>$C$62*('Monthly Forecast'!BP20+'Monthly Forecast'!BP27)+$C$63*('Monthly Forecast'!BP38+'Monthly Forecast'!BP45)</f>
        <v>33896.962434017536</v>
      </c>
      <c r="BR57" s="3">
        <f>$C$62*('Monthly Forecast'!BQ20+'Monthly Forecast'!BQ27)+$C$63*('Monthly Forecast'!BQ38+'Monthly Forecast'!BQ45)</f>
        <v>48959.351173003735</v>
      </c>
      <c r="BS57" s="3">
        <f>$C$62*('Monthly Forecast'!BR20+'Monthly Forecast'!BR27)+$C$63*('Monthly Forecast'!BR38+'Monthly Forecast'!BR45)</f>
        <v>56934.411834826722</v>
      </c>
      <c r="BT57" s="3">
        <f>$C$62*('Monthly Forecast'!BS20+'Monthly Forecast'!BS27)+$C$63*('Monthly Forecast'!BS38+'Monthly Forecast'!BS45)</f>
        <v>56887.578467786501</v>
      </c>
      <c r="BU57" s="3">
        <f>$C$62*('Monthly Forecast'!BT20+'Monthly Forecast'!BT27)+$C$63*('Monthly Forecast'!BT38+'Monthly Forecast'!BT45)</f>
        <v>43517.924173088715</v>
      </c>
      <c r="BV57" s="3">
        <f>$C$62*('Monthly Forecast'!BU20+'Monthly Forecast'!BU27)+$C$63*('Monthly Forecast'!BU38+'Monthly Forecast'!BU45)</f>
        <v>32258.953667769878</v>
      </c>
      <c r="BW57" s="3">
        <f>$C$62*('Monthly Forecast'!BV20+'Monthly Forecast'!BV27)+$C$63*('Monthly Forecast'!BV38+'Monthly Forecast'!BV45)</f>
        <v>22427.748814549683</v>
      </c>
      <c r="BX57" s="3">
        <f>$C$62*('Monthly Forecast'!BW20+'Monthly Forecast'!BW27)+$C$63*('Monthly Forecast'!BW38+'Monthly Forecast'!BW45)</f>
        <v>16447.548401313445</v>
      </c>
      <c r="BY57" s="3">
        <f>$C$62*('Monthly Forecast'!BX20+'Monthly Forecast'!BX27)+$C$63*('Monthly Forecast'!BX38+'Monthly Forecast'!BX45)</f>
        <v>15556.202179149772</v>
      </c>
      <c r="BZ57" s="3">
        <f>$C$62*('Monthly Forecast'!BY20+'Monthly Forecast'!BY27)+$C$63*('Monthly Forecast'!BY38+'Monthly Forecast'!BY45)</f>
        <v>15799.722353252328</v>
      </c>
      <c r="CA57" s="3">
        <f>$C$62*('Monthly Forecast'!BZ20+'Monthly Forecast'!BZ27)+$C$63*('Monthly Forecast'!BZ38+'Monthly Forecast'!BZ45)</f>
        <v>15737.926589659479</v>
      </c>
      <c r="CB57" s="3">
        <f>$C$62*('Monthly Forecast'!CA20+'Monthly Forecast'!CA27)+$C$63*('Monthly Forecast'!CA38+'Monthly Forecast'!CA45)</f>
        <v>19117.761074099679</v>
      </c>
      <c r="CC57" s="3">
        <f>$C$62*('Monthly Forecast'!CB20+'Monthly Forecast'!CB27)+$C$63*('Monthly Forecast'!CB38+'Monthly Forecast'!CB45)</f>
        <v>33730.784310052892</v>
      </c>
      <c r="CD57" s="3">
        <f>$C$62*('Monthly Forecast'!CC20+'Monthly Forecast'!CC27)+$C$63*('Monthly Forecast'!CC38+'Monthly Forecast'!CC45)</f>
        <v>48682.45273410232</v>
      </c>
      <c r="CE57" s="3">
        <f>$C$62*('Monthly Forecast'!CD20+'Monthly Forecast'!CD27)+$C$63*('Monthly Forecast'!CD38+'Monthly Forecast'!CD45)</f>
        <v>56596.890499634734</v>
      </c>
      <c r="CF57" s="3">
        <f>$C$62*('Monthly Forecast'!CE20+'Monthly Forecast'!CE27)+$C$63*('Monthly Forecast'!CE38+'Monthly Forecast'!CE45)</f>
        <v>78844.808115003951</v>
      </c>
      <c r="CG57" s="3">
        <f>$C$62*('Monthly Forecast'!CF20+'Monthly Forecast'!CF27)+$C$63*('Monthly Forecast'!CF38+'Monthly Forecast'!CF45)</f>
        <v>59351.613574181451</v>
      </c>
      <c r="CH57" s="3">
        <f>$C$62*('Monthly Forecast'!CG20+'Monthly Forecast'!CG27)+$C$63*('Monthly Forecast'!CG38+'Monthly Forecast'!CG45)</f>
        <v>42979.258957972212</v>
      </c>
      <c r="CI57" s="3">
        <f>$C$62*('Monthly Forecast'!CH20+'Monthly Forecast'!CH27)+$C$63*('Monthly Forecast'!CH38+'Monthly Forecast'!CH45)</f>
        <v>28461.448882165616</v>
      </c>
    </row>
    <row r="58" spans="1:87">
      <c r="A58" s="2">
        <v>46</v>
      </c>
      <c r="B58" s="21" t="s">
        <v>259</v>
      </c>
      <c r="C58" s="21"/>
      <c r="D58" s="547">
        <f>D54+D57</f>
        <v>3387</v>
      </c>
      <c r="E58" s="547">
        <f t="shared" ref="E58:BP58" si="85">E54+E57</f>
        <v>3698</v>
      </c>
      <c r="F58" s="547">
        <f t="shared" si="85"/>
        <v>4212</v>
      </c>
      <c r="G58" s="547">
        <f t="shared" si="85"/>
        <v>9928</v>
      </c>
      <c r="H58" s="547">
        <f t="shared" si="85"/>
        <v>8550</v>
      </c>
      <c r="I58" s="547">
        <f t="shared" si="85"/>
        <v>4906</v>
      </c>
      <c r="J58" s="547">
        <f t="shared" si="85"/>
        <v>5587</v>
      </c>
      <c r="K58" s="547">
        <f t="shared" si="85"/>
        <v>31051.57</v>
      </c>
      <c r="L58" s="547">
        <f t="shared" si="85"/>
        <v>30590.27</v>
      </c>
      <c r="M58" s="547">
        <f t="shared" si="85"/>
        <v>23219.56</v>
      </c>
      <c r="N58" s="547">
        <f t="shared" si="85"/>
        <v>18262.96</v>
      </c>
      <c r="O58" s="547">
        <f t="shared" si="85"/>
        <v>14960.41</v>
      </c>
      <c r="P58" s="547">
        <f t="shared" si="85"/>
        <v>17317.131428884175</v>
      </c>
      <c r="Q58" s="547">
        <f t="shared" si="85"/>
        <v>16960.810579287929</v>
      </c>
      <c r="R58" s="547">
        <f t="shared" si="85"/>
        <v>18388.95703894669</v>
      </c>
      <c r="S58" s="547">
        <f t="shared" si="85"/>
        <v>24033.493007242912</v>
      </c>
      <c r="T58" s="547">
        <f t="shared" si="85"/>
        <v>25366.80122485109</v>
      </c>
      <c r="U58" s="547">
        <f t="shared" si="85"/>
        <v>30476.913016815881</v>
      </c>
      <c r="V58" s="547">
        <f t="shared" si="85"/>
        <v>41400.677034933804</v>
      </c>
      <c r="W58" s="547">
        <f t="shared" si="85"/>
        <v>45239.709989783958</v>
      </c>
      <c r="X58" s="547">
        <f t="shared" si="85"/>
        <v>57893.356216625238</v>
      </c>
      <c r="Y58" s="547">
        <f t="shared" si="85"/>
        <v>44534.213952947801</v>
      </c>
      <c r="Z58" s="547">
        <f t="shared" si="85"/>
        <v>34437.507387147787</v>
      </c>
      <c r="AA58" s="547">
        <f t="shared" si="85"/>
        <v>24784.060594189254</v>
      </c>
      <c r="AB58" s="547">
        <f t="shared" si="85"/>
        <v>19420.312756770087</v>
      </c>
      <c r="AC58" s="547">
        <f t="shared" si="85"/>
        <v>18869.878621207805</v>
      </c>
      <c r="AD58" s="547">
        <f t="shared" si="85"/>
        <v>19760.307366768044</v>
      </c>
      <c r="AE58" s="547">
        <f t="shared" si="85"/>
        <v>25413.738062021457</v>
      </c>
      <c r="AF58" s="547">
        <f t="shared" si="85"/>
        <v>27343.22858503829</v>
      </c>
      <c r="AG58" s="547">
        <f t="shared" si="85"/>
        <v>38146.004271835103</v>
      </c>
      <c r="AH58" s="547">
        <f t="shared" si="85"/>
        <v>53545.341037120852</v>
      </c>
      <c r="AI58" s="547">
        <f t="shared" si="85"/>
        <v>59779.086848952247</v>
      </c>
      <c r="AJ58" s="547">
        <f t="shared" si="85"/>
        <v>60340.220481848206</v>
      </c>
      <c r="AK58" s="547">
        <f t="shared" si="85"/>
        <v>46304.041700355185</v>
      </c>
      <c r="AL58" s="547">
        <f t="shared" si="85"/>
        <v>35641.738604237071</v>
      </c>
      <c r="AM58" s="547">
        <f t="shared" si="85"/>
        <v>25589.241914860133</v>
      </c>
      <c r="AN58" s="547">
        <f t="shared" si="85"/>
        <v>19899.067485721574</v>
      </c>
      <c r="AO58" s="547">
        <f t="shared" si="85"/>
        <v>19306.186067365579</v>
      </c>
      <c r="AP58" s="547">
        <f t="shared" si="85"/>
        <v>20037.800120816988</v>
      </c>
      <c r="AQ58" s="547">
        <f t="shared" si="85"/>
        <v>25692.856777686338</v>
      </c>
      <c r="AR58" s="547">
        <f t="shared" si="85"/>
        <v>27735.252363914529</v>
      </c>
      <c r="AS58" s="547">
        <f t="shared" si="85"/>
        <v>38921.755245955632</v>
      </c>
      <c r="AT58" s="547">
        <f t="shared" si="85"/>
        <v>54761.619874219512</v>
      </c>
      <c r="AU58" s="547">
        <f t="shared" si="85"/>
        <v>61229.8500566527</v>
      </c>
      <c r="AV58" s="547">
        <f t="shared" si="85"/>
        <v>61568.993371077078</v>
      </c>
      <c r="AW58" s="547">
        <f t="shared" si="85"/>
        <v>47195.788976931057</v>
      </c>
      <c r="AX58" s="547">
        <f t="shared" si="85"/>
        <v>36251.891054644977</v>
      </c>
      <c r="AY58" s="547">
        <f t="shared" si="85"/>
        <v>25567.21405639558</v>
      </c>
      <c r="AZ58" s="547">
        <f t="shared" si="85"/>
        <v>19895.385283863536</v>
      </c>
      <c r="BA58" s="547">
        <f t="shared" si="85"/>
        <v>19304.999884740606</v>
      </c>
      <c r="BB58" s="547">
        <f t="shared" si="85"/>
        <v>20039.485654674194</v>
      </c>
      <c r="BC58" s="547">
        <f t="shared" si="85"/>
        <v>25694.328958726721</v>
      </c>
      <c r="BD58" s="547">
        <f t="shared" si="85"/>
        <v>27727.785750870367</v>
      </c>
      <c r="BE58" s="547">
        <f t="shared" si="85"/>
        <v>38944.638687416889</v>
      </c>
      <c r="BF58" s="547">
        <f t="shared" si="85"/>
        <v>54784.385621494599</v>
      </c>
      <c r="BG58" s="547">
        <f t="shared" si="85"/>
        <v>61251.234712948339</v>
      </c>
      <c r="BH58" s="547">
        <f t="shared" si="85"/>
        <v>61461.004792324915</v>
      </c>
      <c r="BI58" s="547">
        <f t="shared" si="85"/>
        <v>47123.922169701895</v>
      </c>
      <c r="BJ58" s="547">
        <f t="shared" si="85"/>
        <v>36209.944354439693</v>
      </c>
      <c r="BK58" s="547">
        <f t="shared" si="85"/>
        <v>25418.888297998426</v>
      </c>
      <c r="BL58" s="547">
        <f t="shared" si="85"/>
        <v>19817.88723683219</v>
      </c>
      <c r="BM58" s="547">
        <f t="shared" si="85"/>
        <v>19236.948108759381</v>
      </c>
      <c r="BN58" s="547">
        <f t="shared" si="85"/>
        <v>19981.223802639761</v>
      </c>
      <c r="BO58" s="547">
        <f t="shared" si="85"/>
        <v>25635.450679427417</v>
      </c>
      <c r="BP58" s="547">
        <f t="shared" si="85"/>
        <v>27633.491210099412</v>
      </c>
      <c r="BQ58" s="547">
        <f t="shared" ref="BQ58:CI58" si="86">BQ54+BQ57</f>
        <v>38802.962434017536</v>
      </c>
      <c r="BR58" s="547">
        <f t="shared" si="86"/>
        <v>54546.351173003735</v>
      </c>
      <c r="BS58" s="547">
        <f t="shared" si="86"/>
        <v>60960.411834826722</v>
      </c>
      <c r="BT58" s="547">
        <f t="shared" si="86"/>
        <v>61219.578467786501</v>
      </c>
      <c r="BU58" s="547">
        <f t="shared" si="86"/>
        <v>46955.924173088715</v>
      </c>
      <c r="BV58" s="547">
        <f t="shared" si="86"/>
        <v>36102.953667769878</v>
      </c>
      <c r="BW58" s="547">
        <f t="shared" si="86"/>
        <v>25431.748814549683</v>
      </c>
      <c r="BX58" s="547">
        <f t="shared" si="86"/>
        <v>19834.548401313445</v>
      </c>
      <c r="BY58" s="547">
        <f t="shared" si="86"/>
        <v>19254.202179149772</v>
      </c>
      <c r="BZ58" s="547">
        <f t="shared" si="86"/>
        <v>20011.722353252328</v>
      </c>
      <c r="CA58" s="547">
        <f t="shared" si="86"/>
        <v>25665.926589659481</v>
      </c>
      <c r="CB58" s="547">
        <f t="shared" si="86"/>
        <v>27667.761074099679</v>
      </c>
      <c r="CC58" s="547">
        <f t="shared" si="86"/>
        <v>38636.784310052892</v>
      </c>
      <c r="CD58" s="547">
        <f t="shared" si="86"/>
        <v>54269.45273410232</v>
      </c>
      <c r="CE58" s="547">
        <f t="shared" si="86"/>
        <v>60622.890499634734</v>
      </c>
      <c r="CF58" s="547">
        <f t="shared" si="86"/>
        <v>83176.808115003951</v>
      </c>
      <c r="CG58" s="547">
        <f t="shared" si="86"/>
        <v>62789.613574181451</v>
      </c>
      <c r="CH58" s="547">
        <f t="shared" si="86"/>
        <v>46823.258957972212</v>
      </c>
      <c r="CI58" s="547">
        <f t="shared" si="86"/>
        <v>31465.448882165616</v>
      </c>
    </row>
    <row r="59" spans="1:87">
      <c r="B59" s="23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</row>
    <row r="60" spans="1:87">
      <c r="B60" s="8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</row>
    <row r="61" spans="1:87">
      <c r="B61" s="697" t="s">
        <v>686</v>
      </c>
      <c r="C61" s="697"/>
      <c r="D61" s="697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50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</row>
    <row r="62" spans="1:87">
      <c r="B62" s="367" t="s">
        <v>96</v>
      </c>
      <c r="C62" s="548">
        <v>6.4000000000000003E-3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</row>
    <row r="63" spans="1:87">
      <c r="B63" s="367" t="s">
        <v>502</v>
      </c>
      <c r="C63" s="548">
        <v>5.5999999999999999E-3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</row>
    <row r="64" spans="1:87">
      <c r="C64" s="13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</row>
    <row r="126" spans="19:19"/>
    <row r="131" spans="2:2"/>
    <row r="142" spans="2:2"/>
    <row r="158" spans="19:19"/>
  </sheetData>
  <mergeCells count="3">
    <mergeCell ref="D7:O7"/>
    <mergeCell ref="Y7:AJ7"/>
    <mergeCell ref="B61:D61"/>
  </mergeCells>
  <phoneticPr fontId="7" type="noConversion"/>
  <pageMargins left="0.25" right="0.25" top="0.75" bottom="0.75" header="0.3" footer="0.3"/>
  <pageSetup scale="66" fitToWidth="0" orientation="landscape" r:id="rId1"/>
  <headerFooter alignWithMargins="0">
    <oddFooter>&amp;C&amp;A&amp;RPage &amp;P</oddFooter>
  </headerFooter>
  <rowBreaks count="1" manualBreakCount="1">
    <brk id="183" max="16383" man="1"/>
  </rowBreaks>
  <colBreaks count="3" manualBreakCount="3">
    <brk id="15" min="2" max="62" man="1"/>
    <brk id="24" min="2" max="62" man="1"/>
    <brk id="36" min="2" max="62" man="1"/>
  </colBreaks>
  <customProperties>
    <customPr name="_pios_id" r:id="rId2"/>
  </customProperties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2">
    <pageSetUpPr fitToPage="1"/>
  </sheetPr>
  <dimension ref="A1:S461"/>
  <sheetViews>
    <sheetView topLeftCell="A12" zoomScaleNormal="100" workbookViewId="0">
      <selection activeCell="D50" sqref="D50"/>
    </sheetView>
  </sheetViews>
  <sheetFormatPr defaultColWidth="9.140625" defaultRowHeight="12.75"/>
  <cols>
    <col min="1" max="1" width="7.5703125" style="26" customWidth="1"/>
    <col min="2" max="2" width="19.140625" style="26" customWidth="1"/>
    <col min="3" max="6" width="15.5703125" style="26" customWidth="1"/>
    <col min="7" max="7" width="16.140625" style="26" customWidth="1"/>
    <col min="8" max="8" width="13.42578125" style="26" customWidth="1"/>
    <col min="9" max="9" width="15.85546875" style="26" customWidth="1"/>
    <col min="10" max="10" width="16" style="26" customWidth="1"/>
    <col min="11" max="14" width="15.5703125" style="26" customWidth="1"/>
    <col min="15" max="15" width="14.140625" style="26" customWidth="1"/>
    <col min="16" max="16" width="13" style="26" customWidth="1"/>
    <col min="17" max="17" width="15.85546875" style="26" customWidth="1"/>
    <col min="18" max="18" width="14.5703125" style="26" bestFit="1" customWidth="1"/>
    <col min="19" max="16384" width="9.140625" style="26"/>
  </cols>
  <sheetData>
    <row r="1" spans="1:19" ht="15.75">
      <c r="A1" s="119"/>
      <c r="B1" s="119"/>
      <c r="C1" s="119"/>
      <c r="D1" s="119"/>
      <c r="E1" s="119"/>
      <c r="F1" s="248"/>
      <c r="G1" s="119"/>
    </row>
    <row r="2" spans="1:19" ht="23.25">
      <c r="A2" s="675" t="s">
        <v>749</v>
      </c>
      <c r="B2" s="675"/>
      <c r="C2" s="675"/>
      <c r="D2" s="675"/>
      <c r="E2" s="675"/>
      <c r="F2" s="675"/>
      <c r="G2" s="119"/>
      <c r="H2" s="269"/>
    </row>
    <row r="3" spans="1:19" ht="15.75">
      <c r="A3" s="675" t="s">
        <v>89</v>
      </c>
      <c r="B3" s="675"/>
      <c r="C3" s="675"/>
      <c r="D3" s="675"/>
      <c r="E3" s="675"/>
      <c r="F3" s="675"/>
      <c r="G3" s="119"/>
    </row>
    <row r="4" spans="1:19" ht="15.75">
      <c r="A4" s="702" t="str">
        <f>'Other Revenue'!J5</f>
        <v>REFERENCE PERIOD - TWELVE MONTHS ENDING 06/30/2024</v>
      </c>
      <c r="B4" s="702"/>
      <c r="C4" s="702"/>
      <c r="D4" s="702"/>
      <c r="E4" s="702"/>
      <c r="F4" s="702"/>
      <c r="G4" s="119"/>
    </row>
    <row r="5" spans="1:19" ht="15.75">
      <c r="A5" s="119"/>
      <c r="B5" s="119"/>
      <c r="C5" s="119"/>
      <c r="D5" s="119"/>
      <c r="E5" s="119"/>
      <c r="F5" s="119"/>
      <c r="G5" s="119"/>
    </row>
    <row r="6" spans="1:19" ht="15.75">
      <c r="A6" s="119" t="s">
        <v>11</v>
      </c>
      <c r="B6" s="119"/>
      <c r="C6" s="249" t="s">
        <v>7</v>
      </c>
      <c r="D6" s="249" t="s">
        <v>75</v>
      </c>
      <c r="E6" s="249" t="s">
        <v>90</v>
      </c>
      <c r="F6" s="249" t="s">
        <v>91</v>
      </c>
      <c r="G6" s="119"/>
    </row>
    <row r="7" spans="1:19" ht="15.75">
      <c r="A7" s="250" t="s">
        <v>16</v>
      </c>
      <c r="B7" s="251" t="s">
        <v>4</v>
      </c>
      <c r="C7" s="251" t="s">
        <v>79</v>
      </c>
      <c r="D7" s="251" t="s">
        <v>79</v>
      </c>
      <c r="E7" s="251" t="s">
        <v>92</v>
      </c>
      <c r="F7" s="251" t="s">
        <v>92</v>
      </c>
      <c r="G7" s="119"/>
    </row>
    <row r="8" spans="1:19" ht="15.75">
      <c r="A8" s="119"/>
      <c r="B8" s="249" t="s">
        <v>12</v>
      </c>
      <c r="C8" s="249" t="s">
        <v>13</v>
      </c>
      <c r="D8" s="249" t="s">
        <v>14</v>
      </c>
      <c r="E8" s="249" t="s">
        <v>15</v>
      </c>
      <c r="F8" s="249" t="s">
        <v>80</v>
      </c>
      <c r="G8" s="119"/>
    </row>
    <row r="9" spans="1:19" ht="15.75">
      <c r="A9" s="119"/>
      <c r="B9" s="249"/>
      <c r="C9" s="249"/>
      <c r="D9" s="249"/>
      <c r="E9" s="249"/>
      <c r="F9" s="249"/>
      <c r="G9" s="119"/>
      <c r="S9" s="26">
        <v>2000</v>
      </c>
    </row>
    <row r="10" spans="1:19" ht="15.75">
      <c r="A10" s="118" t="s">
        <v>599</v>
      </c>
      <c r="B10" s="119"/>
      <c r="C10" s="119"/>
      <c r="D10" s="119"/>
      <c r="E10" s="119"/>
      <c r="F10" s="119"/>
      <c r="G10" s="119"/>
      <c r="S10" s="26">
        <f>S9+1</f>
        <v>2001</v>
      </c>
    </row>
    <row r="11" spans="1:19" ht="15.75">
      <c r="A11" s="119"/>
      <c r="G11" s="119"/>
      <c r="S11" s="26">
        <f t="shared" ref="S11:S32" si="0">S10+1</f>
        <v>2002</v>
      </c>
    </row>
    <row r="12" spans="1:19" ht="15.75">
      <c r="A12" s="119">
        <v>1</v>
      </c>
      <c r="B12" s="252">
        <f>C48</f>
        <v>45108</v>
      </c>
      <c r="C12" s="119">
        <f>G48</f>
        <v>0</v>
      </c>
      <c r="D12" s="119">
        <f>O48</f>
        <v>0</v>
      </c>
      <c r="E12" s="119">
        <f>H48</f>
        <v>0</v>
      </c>
      <c r="F12" s="119">
        <f>P48</f>
        <v>0</v>
      </c>
      <c r="G12" s="119"/>
      <c r="S12" s="26">
        <f t="shared" si="0"/>
        <v>2003</v>
      </c>
    </row>
    <row r="13" spans="1:19" ht="15.75">
      <c r="A13" s="119">
        <f t="shared" ref="A13:A25" si="1">A12+1</f>
        <v>2</v>
      </c>
      <c r="B13" s="252">
        <f t="shared" ref="B13:B23" si="2">C49</f>
        <v>45139</v>
      </c>
      <c r="C13" s="119">
        <f t="shared" ref="C13:C23" si="3">G49</f>
        <v>0</v>
      </c>
      <c r="D13" s="119">
        <f t="shared" ref="D13:D23" si="4">O49</f>
        <v>0</v>
      </c>
      <c r="E13" s="119">
        <f t="shared" ref="E13:E23" si="5">H49</f>
        <v>0</v>
      </c>
      <c r="F13" s="119">
        <f t="shared" ref="F13:F23" si="6">P49</f>
        <v>0</v>
      </c>
      <c r="G13" s="119"/>
      <c r="S13" s="26">
        <f t="shared" si="0"/>
        <v>2004</v>
      </c>
    </row>
    <row r="14" spans="1:19" ht="15.75">
      <c r="A14" s="119">
        <f t="shared" si="1"/>
        <v>3</v>
      </c>
      <c r="B14" s="252">
        <f t="shared" si="2"/>
        <v>45170</v>
      </c>
      <c r="C14" s="119">
        <f t="shared" si="3"/>
        <v>0</v>
      </c>
      <c r="D14" s="119">
        <f t="shared" si="4"/>
        <v>16</v>
      </c>
      <c r="E14" s="119">
        <f t="shared" si="5"/>
        <v>0</v>
      </c>
      <c r="F14" s="119">
        <f t="shared" si="6"/>
        <v>2</v>
      </c>
      <c r="G14" s="119"/>
      <c r="H14" s="252"/>
      <c r="S14" s="26">
        <f t="shared" si="0"/>
        <v>2005</v>
      </c>
    </row>
    <row r="15" spans="1:19" ht="15.75">
      <c r="A15" s="119">
        <f t="shared" si="1"/>
        <v>4</v>
      </c>
      <c r="B15" s="252">
        <f t="shared" si="2"/>
        <v>45200</v>
      </c>
      <c r="C15" s="119">
        <f t="shared" si="3"/>
        <v>170</v>
      </c>
      <c r="D15" s="119">
        <f t="shared" si="4"/>
        <v>205</v>
      </c>
      <c r="E15" s="119">
        <f t="shared" si="5"/>
        <v>56</v>
      </c>
      <c r="F15" s="119">
        <f t="shared" si="6"/>
        <v>71</v>
      </c>
      <c r="G15" s="119"/>
      <c r="H15" s="252"/>
      <c r="S15" s="26">
        <f t="shared" si="0"/>
        <v>2006</v>
      </c>
    </row>
    <row r="16" spans="1:19" ht="15.75">
      <c r="A16" s="119">
        <f t="shared" si="1"/>
        <v>5</v>
      </c>
      <c r="B16" s="252">
        <f t="shared" si="2"/>
        <v>45231</v>
      </c>
      <c r="C16" s="119">
        <f t="shared" si="3"/>
        <v>447</v>
      </c>
      <c r="D16" s="119">
        <f t="shared" si="4"/>
        <v>511</v>
      </c>
      <c r="E16" s="119">
        <f t="shared" si="5"/>
        <v>274</v>
      </c>
      <c r="F16" s="119">
        <f t="shared" si="6"/>
        <v>362</v>
      </c>
      <c r="G16" s="119"/>
      <c r="H16" s="252"/>
      <c r="S16" s="26">
        <f t="shared" si="0"/>
        <v>2007</v>
      </c>
    </row>
    <row r="17" spans="1:19" ht="15.75">
      <c r="A17" s="119">
        <f t="shared" si="1"/>
        <v>6</v>
      </c>
      <c r="B17" s="252">
        <f t="shared" si="2"/>
        <v>45261</v>
      </c>
      <c r="C17" s="119">
        <f t="shared" si="3"/>
        <v>639</v>
      </c>
      <c r="D17" s="119">
        <f t="shared" si="4"/>
        <v>798</v>
      </c>
      <c r="E17" s="119">
        <f t="shared" si="5"/>
        <v>583</v>
      </c>
      <c r="F17" s="119">
        <f t="shared" si="6"/>
        <v>657</v>
      </c>
      <c r="G17" s="119"/>
      <c r="H17" s="252"/>
      <c r="S17" s="26">
        <f t="shared" si="0"/>
        <v>2008</v>
      </c>
    </row>
    <row r="18" spans="1:19" ht="15.75">
      <c r="A18" s="119">
        <f t="shared" si="1"/>
        <v>7</v>
      </c>
      <c r="B18" s="252">
        <f t="shared" si="2"/>
        <v>45292</v>
      </c>
      <c r="C18" s="119">
        <f t="shared" si="3"/>
        <v>948</v>
      </c>
      <c r="D18" s="119">
        <f t="shared" si="4"/>
        <v>838</v>
      </c>
      <c r="E18" s="119">
        <f t="shared" si="5"/>
        <v>799</v>
      </c>
      <c r="F18" s="119">
        <f t="shared" si="6"/>
        <v>806</v>
      </c>
      <c r="G18" s="119"/>
      <c r="H18" s="252"/>
      <c r="S18" s="26">
        <f t="shared" si="0"/>
        <v>2009</v>
      </c>
    </row>
    <row r="19" spans="1:19" ht="15.75">
      <c r="A19" s="119">
        <f t="shared" si="1"/>
        <v>8</v>
      </c>
      <c r="B19" s="252">
        <f t="shared" si="2"/>
        <v>45323</v>
      </c>
      <c r="C19" s="119">
        <f t="shared" si="3"/>
        <v>493</v>
      </c>
      <c r="D19" s="119">
        <f t="shared" si="4"/>
        <v>728</v>
      </c>
      <c r="E19" s="119">
        <f t="shared" si="5"/>
        <v>729</v>
      </c>
      <c r="F19" s="119">
        <f t="shared" si="6"/>
        <v>879</v>
      </c>
      <c r="G19" s="119"/>
      <c r="H19" s="252"/>
      <c r="S19" s="26">
        <f t="shared" si="0"/>
        <v>2010</v>
      </c>
    </row>
    <row r="20" spans="1:19" ht="15.75">
      <c r="A20" s="119">
        <f t="shared" si="1"/>
        <v>9</v>
      </c>
      <c r="B20" s="252">
        <f t="shared" si="2"/>
        <v>45352</v>
      </c>
      <c r="C20" s="119">
        <f t="shared" si="3"/>
        <v>357</v>
      </c>
      <c r="D20" s="119">
        <f t="shared" si="4"/>
        <v>482</v>
      </c>
      <c r="E20" s="119">
        <f t="shared" si="5"/>
        <v>411</v>
      </c>
      <c r="F20" s="119">
        <f t="shared" si="6"/>
        <v>588</v>
      </c>
      <c r="G20" s="119"/>
      <c r="H20" s="252"/>
      <c r="S20" s="26">
        <f t="shared" si="0"/>
        <v>2011</v>
      </c>
    </row>
    <row r="21" spans="1:19" ht="15.75">
      <c r="A21" s="119">
        <f t="shared" si="1"/>
        <v>10</v>
      </c>
      <c r="B21" s="252">
        <f t="shared" si="2"/>
        <v>45383</v>
      </c>
      <c r="C21" s="119">
        <f t="shared" si="3"/>
        <v>164</v>
      </c>
      <c r="D21" s="119">
        <f t="shared" si="4"/>
        <v>220</v>
      </c>
      <c r="E21" s="119">
        <f t="shared" si="5"/>
        <v>304</v>
      </c>
      <c r="F21" s="119">
        <f t="shared" si="6"/>
        <v>345</v>
      </c>
      <c r="G21" s="119"/>
      <c r="H21" s="252"/>
      <c r="S21" s="26">
        <f t="shared" si="0"/>
        <v>2012</v>
      </c>
    </row>
    <row r="22" spans="1:19" ht="15.75">
      <c r="A22" s="119">
        <f t="shared" si="1"/>
        <v>11</v>
      </c>
      <c r="B22" s="252">
        <f t="shared" si="2"/>
        <v>45413</v>
      </c>
      <c r="C22" s="119">
        <f t="shared" si="3"/>
        <v>3</v>
      </c>
      <c r="D22" s="119">
        <f t="shared" si="4"/>
        <v>59</v>
      </c>
      <c r="E22" s="119">
        <f t="shared" si="5"/>
        <v>65</v>
      </c>
      <c r="F22" s="119">
        <f t="shared" si="6"/>
        <v>133</v>
      </c>
      <c r="G22" s="119"/>
      <c r="H22" s="252"/>
      <c r="S22" s="26">
        <f t="shared" si="0"/>
        <v>2013</v>
      </c>
    </row>
    <row r="23" spans="1:19" ht="15.75">
      <c r="A23" s="119">
        <f t="shared" si="1"/>
        <v>12</v>
      </c>
      <c r="B23" s="252">
        <f t="shared" si="2"/>
        <v>45444</v>
      </c>
      <c r="C23" s="549">
        <f t="shared" si="3"/>
        <v>0</v>
      </c>
      <c r="D23" s="549">
        <f t="shared" si="4"/>
        <v>0</v>
      </c>
      <c r="E23" s="549">
        <f t="shared" si="5"/>
        <v>0</v>
      </c>
      <c r="F23" s="549">
        <f t="shared" si="6"/>
        <v>14</v>
      </c>
      <c r="G23" s="119"/>
      <c r="H23" s="252"/>
      <c r="S23" s="26">
        <f t="shared" si="0"/>
        <v>2014</v>
      </c>
    </row>
    <row r="24" spans="1:19" ht="15.75">
      <c r="A24" s="119">
        <f t="shared" si="1"/>
        <v>13</v>
      </c>
      <c r="B24" s="119"/>
      <c r="C24" s="119"/>
      <c r="D24" s="119"/>
      <c r="E24" s="119"/>
      <c r="F24" s="119"/>
      <c r="G24" s="119"/>
      <c r="S24" s="26">
        <f t="shared" si="0"/>
        <v>2015</v>
      </c>
    </row>
    <row r="25" spans="1:19" ht="16.5" thickBot="1">
      <c r="A25" s="119">
        <f t="shared" si="1"/>
        <v>14</v>
      </c>
      <c r="B25" s="119"/>
      <c r="C25" s="550">
        <f>SUM(C12:C23)</f>
        <v>3221</v>
      </c>
      <c r="D25" s="550">
        <f>SUM(D12:D23)</f>
        <v>3857</v>
      </c>
      <c r="E25" s="550">
        <f>SUM(E12:E23)</f>
        <v>3221</v>
      </c>
      <c r="F25" s="550">
        <f>SUM(F12:F23)</f>
        <v>3857</v>
      </c>
      <c r="G25" s="119"/>
      <c r="I25" s="258"/>
      <c r="S25" s="26">
        <f t="shared" si="0"/>
        <v>2016</v>
      </c>
    </row>
    <row r="26" spans="1:19" ht="16.5" thickTop="1">
      <c r="A26" s="119"/>
      <c r="G26" s="119"/>
      <c r="H26"/>
      <c r="I26" s="258"/>
      <c r="S26" s="26">
        <f t="shared" si="0"/>
        <v>2017</v>
      </c>
    </row>
    <row r="27" spans="1:19" ht="15.75">
      <c r="A27" s="119" t="s">
        <v>93</v>
      </c>
      <c r="B27" s="119" t="s">
        <v>94</v>
      </c>
      <c r="C27" s="119"/>
      <c r="D27" s="119"/>
      <c r="E27" s="119"/>
      <c r="F27" s="119"/>
      <c r="G27" s="119"/>
      <c r="H27"/>
      <c r="I27" s="258"/>
      <c r="S27" s="26">
        <f t="shared" si="0"/>
        <v>2018</v>
      </c>
    </row>
    <row r="28" spans="1:19" ht="15.75">
      <c r="A28" s="119" t="s">
        <v>95</v>
      </c>
      <c r="B28" s="703" t="str">
        <f>CONCATENATE("Per NOAA, as reported for stations in Paducah ("&amp;TEXT(G70,"00.0%")&amp;"), Evansville ("&amp;TEXT(C70,"00.0%")&amp;"), Louisville ("&amp;TEXT(F70,"00.0%")&amp;"), Lexington ("&amp;TEXT(E70,"00.0%")&amp;") and Nasvhille ("&amp;TEXT(D70,"00.0%")&amp;").")</f>
        <v>Per NOAA, as reported for stations in Paducah (33.7%), Evansville (24.2%), Louisville (04.9%), Lexington (13.6%) and Nasvhille (23.6%).</v>
      </c>
      <c r="C28" s="703"/>
      <c r="D28" s="703"/>
      <c r="E28" s="703"/>
      <c r="F28" s="703"/>
      <c r="G28" s="119"/>
      <c r="I28" s="258"/>
      <c r="S28" s="26">
        <f t="shared" si="0"/>
        <v>2019</v>
      </c>
    </row>
    <row r="29" spans="1:19" ht="15.75">
      <c r="A29" s="119"/>
      <c r="B29" s="703"/>
      <c r="C29" s="703"/>
      <c r="D29" s="703"/>
      <c r="E29" s="703"/>
      <c r="F29" s="703"/>
      <c r="G29" s="119"/>
      <c r="I29" s="268"/>
      <c r="S29" s="26">
        <f t="shared" si="0"/>
        <v>2020</v>
      </c>
    </row>
    <row r="30" spans="1:19">
      <c r="I30" s="268"/>
      <c r="S30" s="26">
        <f t="shared" si="0"/>
        <v>2021</v>
      </c>
    </row>
    <row r="31" spans="1:19">
      <c r="I31" s="268"/>
      <c r="S31" s="26">
        <f t="shared" si="0"/>
        <v>2022</v>
      </c>
    </row>
    <row r="32" spans="1:19">
      <c r="I32" s="268"/>
      <c r="S32" s="26">
        <f t="shared" si="0"/>
        <v>2023</v>
      </c>
    </row>
    <row r="44" spans="2:16" ht="18">
      <c r="B44" s="699" t="s">
        <v>508</v>
      </c>
      <c r="C44" s="700"/>
      <c r="D44" s="700"/>
      <c r="E44" s="700"/>
      <c r="F44" s="700"/>
      <c r="G44" s="700"/>
      <c r="H44" s="701"/>
      <c r="I44" s="268"/>
      <c r="J44" s="699" t="s">
        <v>753</v>
      </c>
      <c r="K44" s="700"/>
      <c r="L44" s="700"/>
      <c r="M44" s="700"/>
      <c r="N44" s="700"/>
      <c r="O44" s="700"/>
      <c r="P44" s="701"/>
    </row>
    <row r="47" spans="2:16" ht="25.5">
      <c r="C47" s="698" t="s">
        <v>4</v>
      </c>
      <c r="D47" s="698"/>
      <c r="E47" s="698" t="s">
        <v>74</v>
      </c>
      <c r="F47" s="698"/>
      <c r="G47" s="254" t="s">
        <v>509</v>
      </c>
      <c r="H47" s="254" t="s">
        <v>510</v>
      </c>
      <c r="K47" s="698" t="s">
        <v>4</v>
      </c>
      <c r="L47" s="698"/>
      <c r="M47" s="698" t="s">
        <v>74</v>
      </c>
      <c r="N47" s="698"/>
      <c r="O47" s="254" t="s">
        <v>511</v>
      </c>
      <c r="P47" s="254" t="s">
        <v>512</v>
      </c>
    </row>
    <row r="48" spans="2:16">
      <c r="B48" s="255" t="s">
        <v>549</v>
      </c>
      <c r="C48" s="551">
        <f>Dashboard!D7</f>
        <v>45108</v>
      </c>
      <c r="D48" s="551">
        <f>EOMONTH(C48,0)</f>
        <v>45138</v>
      </c>
      <c r="E48" s="551">
        <f>EOMONTH(C48,-2)+16</f>
        <v>45093</v>
      </c>
      <c r="F48" s="551">
        <f>EOMONTH(E48,0)+15</f>
        <v>45122</v>
      </c>
      <c r="G48" s="26" cm="1">
        <f t="array" ref="G48">SUMPRODUCT(-($B$76:$B$457&gt;=C48),-($B$76:$B$457&lt;=D48),($H$76:$H$457))</f>
        <v>0</v>
      </c>
      <c r="H48" s="26">
        <f t="shared" ref="H48:H59" si="7">SUMPRODUCT(-($B$76:$B$457&gt;=E48),-($B$76:$B$457&lt;=F48),($H$76:$H$457))</f>
        <v>0</v>
      </c>
      <c r="K48" s="551">
        <f>C48</f>
        <v>45108</v>
      </c>
      <c r="L48" s="551">
        <f t="shared" ref="L48:L59" si="8">D48</f>
        <v>45138</v>
      </c>
      <c r="M48" s="551">
        <f t="shared" ref="M48:M59" si="9">E48</f>
        <v>45093</v>
      </c>
      <c r="N48" s="551">
        <f t="shared" ref="N48:N59" si="10">F48</f>
        <v>45122</v>
      </c>
      <c r="O48" s="26" cm="1">
        <f t="array" ref="O48">SUMPRODUCT(-($J$76:$J$457&gt;=K48),-($J$76:$J$457&lt;=L48),($P$76:$P$457))</f>
        <v>0</v>
      </c>
      <c r="P48" s="26">
        <f t="shared" ref="P48:P59" si="11">SUMPRODUCT(-($J$76:$J$456&gt;=M48),-($J$76:$J$456&lt;=N48),($P$76:$P$456))</f>
        <v>0</v>
      </c>
    </row>
    <row r="49" spans="2:16">
      <c r="C49" s="551">
        <f>EOMONTH(C48,0)+1</f>
        <v>45139</v>
      </c>
      <c r="D49" s="551">
        <f t="shared" ref="D49:D59" si="12">EOMONTH(C49,0)</f>
        <v>45169</v>
      </c>
      <c r="E49" s="551">
        <f t="shared" ref="E49:E59" si="13">EOMONTH(C49,-2)+16</f>
        <v>45123</v>
      </c>
      <c r="F49" s="551">
        <f t="shared" ref="F49:F59" si="14">EOMONTH(E49,0)+15</f>
        <v>45153</v>
      </c>
      <c r="G49" s="26">
        <f t="shared" ref="G49:G59" si="15">SUMPRODUCT(-($B$76:$B$457&gt;=C49),-($B$76:$B$457&lt;=D49),($H$76:$H$457))</f>
        <v>0</v>
      </c>
      <c r="H49" s="26">
        <f t="shared" si="7"/>
        <v>0</v>
      </c>
      <c r="K49" s="551">
        <f t="shared" ref="K49:K59" si="16">C49</f>
        <v>45139</v>
      </c>
      <c r="L49" s="551">
        <f t="shared" si="8"/>
        <v>45169</v>
      </c>
      <c r="M49" s="551">
        <f t="shared" si="9"/>
        <v>45123</v>
      </c>
      <c r="N49" s="551">
        <f t="shared" si="10"/>
        <v>45153</v>
      </c>
      <c r="O49" s="26" cm="1">
        <f t="array" ref="O49">SUMPRODUCT(-($J$76:$J$457&gt;=K49),-($J$76:$J$457&lt;=L49),($P$76:$P$457))</f>
        <v>0</v>
      </c>
      <c r="P49" s="26">
        <f t="shared" si="11"/>
        <v>0</v>
      </c>
    </row>
    <row r="50" spans="2:16">
      <c r="C50" s="551">
        <f t="shared" ref="C50:C59" si="17">EOMONTH(C49,0)+1</f>
        <v>45170</v>
      </c>
      <c r="D50" s="551">
        <f t="shared" si="12"/>
        <v>45199</v>
      </c>
      <c r="E50" s="551">
        <f t="shared" si="13"/>
        <v>45154</v>
      </c>
      <c r="F50" s="551">
        <f t="shared" si="14"/>
        <v>45184</v>
      </c>
      <c r="G50" s="26">
        <f t="shared" si="15"/>
        <v>0</v>
      </c>
      <c r="H50" s="26">
        <f t="shared" si="7"/>
        <v>0</v>
      </c>
      <c r="K50" s="551">
        <f t="shared" si="16"/>
        <v>45170</v>
      </c>
      <c r="L50" s="551">
        <f t="shared" si="8"/>
        <v>45199</v>
      </c>
      <c r="M50" s="551">
        <f t="shared" si="9"/>
        <v>45154</v>
      </c>
      <c r="N50" s="551">
        <f t="shared" si="10"/>
        <v>45184</v>
      </c>
      <c r="O50" s="26" cm="1">
        <f t="array" ref="O50">SUMPRODUCT(-($J$76:$J$457&gt;=K50),-($J$76:$J$457&lt;=L50),($P$76:$P$457))</f>
        <v>16</v>
      </c>
      <c r="P50" s="26">
        <f t="shared" si="11"/>
        <v>2</v>
      </c>
    </row>
    <row r="51" spans="2:16">
      <c r="C51" s="551">
        <f t="shared" si="17"/>
        <v>45200</v>
      </c>
      <c r="D51" s="551">
        <f t="shared" si="12"/>
        <v>45230</v>
      </c>
      <c r="E51" s="551">
        <f t="shared" si="13"/>
        <v>45185</v>
      </c>
      <c r="F51" s="551">
        <f t="shared" si="14"/>
        <v>45214</v>
      </c>
      <c r="G51" s="26">
        <f t="shared" si="15"/>
        <v>170</v>
      </c>
      <c r="H51" s="26">
        <f t="shared" si="7"/>
        <v>56</v>
      </c>
      <c r="K51" s="551">
        <f t="shared" si="16"/>
        <v>45200</v>
      </c>
      <c r="L51" s="551">
        <f t="shared" si="8"/>
        <v>45230</v>
      </c>
      <c r="M51" s="551">
        <f t="shared" si="9"/>
        <v>45185</v>
      </c>
      <c r="N51" s="551">
        <f t="shared" si="10"/>
        <v>45214</v>
      </c>
      <c r="O51" s="26" cm="1">
        <f t="array" ref="O51">SUMPRODUCT(-($J$76:$J$457&gt;=K51),-($J$76:$J$457&lt;=L51),($P$76:$P$457))</f>
        <v>205</v>
      </c>
      <c r="P51" s="26">
        <f t="shared" si="11"/>
        <v>71</v>
      </c>
    </row>
    <row r="52" spans="2:16">
      <c r="C52" s="551">
        <f t="shared" si="17"/>
        <v>45231</v>
      </c>
      <c r="D52" s="551">
        <f t="shared" si="12"/>
        <v>45260</v>
      </c>
      <c r="E52" s="551">
        <f t="shared" si="13"/>
        <v>45215</v>
      </c>
      <c r="F52" s="551">
        <f t="shared" si="14"/>
        <v>45245</v>
      </c>
      <c r="G52" s="26">
        <f t="shared" si="15"/>
        <v>447</v>
      </c>
      <c r="H52" s="26">
        <f t="shared" si="7"/>
        <v>274</v>
      </c>
      <c r="K52" s="551">
        <f t="shared" si="16"/>
        <v>45231</v>
      </c>
      <c r="L52" s="551">
        <f t="shared" si="8"/>
        <v>45260</v>
      </c>
      <c r="M52" s="551">
        <f t="shared" si="9"/>
        <v>45215</v>
      </c>
      <c r="N52" s="551">
        <f t="shared" si="10"/>
        <v>45245</v>
      </c>
      <c r="O52" s="26" cm="1">
        <f t="array" ref="O52">SUMPRODUCT(-($J$76:$J$457&gt;=K52),-($J$76:$J$457&lt;=L52),($P$76:$P$457))</f>
        <v>511</v>
      </c>
      <c r="P52" s="26">
        <f t="shared" si="11"/>
        <v>362</v>
      </c>
    </row>
    <row r="53" spans="2:16">
      <c r="C53" s="551">
        <f t="shared" si="17"/>
        <v>45261</v>
      </c>
      <c r="D53" s="551">
        <f t="shared" si="12"/>
        <v>45291</v>
      </c>
      <c r="E53" s="551">
        <f t="shared" si="13"/>
        <v>45246</v>
      </c>
      <c r="F53" s="551">
        <f t="shared" si="14"/>
        <v>45275</v>
      </c>
      <c r="G53" s="26">
        <f t="shared" si="15"/>
        <v>639</v>
      </c>
      <c r="H53" s="26">
        <f t="shared" si="7"/>
        <v>583</v>
      </c>
      <c r="K53" s="551">
        <f t="shared" si="16"/>
        <v>45261</v>
      </c>
      <c r="L53" s="551">
        <f t="shared" si="8"/>
        <v>45291</v>
      </c>
      <c r="M53" s="551">
        <f t="shared" si="9"/>
        <v>45246</v>
      </c>
      <c r="N53" s="551">
        <f t="shared" si="10"/>
        <v>45275</v>
      </c>
      <c r="O53" s="26" cm="1">
        <f t="array" ref="O53">SUMPRODUCT(-($J$76:$J$457&gt;=K53),-($J$76:$J$457&lt;=L53),($P$76:$P$457))</f>
        <v>798</v>
      </c>
      <c r="P53" s="26">
        <f t="shared" si="11"/>
        <v>657</v>
      </c>
    </row>
    <row r="54" spans="2:16">
      <c r="C54" s="551">
        <f t="shared" si="17"/>
        <v>45292</v>
      </c>
      <c r="D54" s="551">
        <f t="shared" si="12"/>
        <v>45322</v>
      </c>
      <c r="E54" s="551">
        <f t="shared" si="13"/>
        <v>45276</v>
      </c>
      <c r="F54" s="551">
        <f t="shared" si="14"/>
        <v>45306</v>
      </c>
      <c r="G54" s="26">
        <f t="shared" si="15"/>
        <v>948</v>
      </c>
      <c r="H54" s="26">
        <f t="shared" si="7"/>
        <v>799</v>
      </c>
      <c r="K54" s="551">
        <f t="shared" si="16"/>
        <v>45292</v>
      </c>
      <c r="L54" s="551">
        <f t="shared" si="8"/>
        <v>45322</v>
      </c>
      <c r="M54" s="551">
        <f t="shared" si="9"/>
        <v>45276</v>
      </c>
      <c r="N54" s="551">
        <f t="shared" si="10"/>
        <v>45306</v>
      </c>
      <c r="O54" s="26" cm="1">
        <f t="array" ref="O54">SUMPRODUCT(-($J$76:$J$457&gt;=K54),-($J$76:$J$457&lt;=L54),($P$76:$P$457))</f>
        <v>838</v>
      </c>
      <c r="P54" s="26">
        <f t="shared" si="11"/>
        <v>806</v>
      </c>
    </row>
    <row r="55" spans="2:16">
      <c r="C55" s="551">
        <f t="shared" si="17"/>
        <v>45323</v>
      </c>
      <c r="D55" s="551">
        <f t="shared" si="12"/>
        <v>45351</v>
      </c>
      <c r="E55" s="551">
        <f t="shared" si="13"/>
        <v>45307</v>
      </c>
      <c r="F55" s="551">
        <f t="shared" si="14"/>
        <v>45337</v>
      </c>
      <c r="G55" s="26">
        <f t="shared" si="15"/>
        <v>493</v>
      </c>
      <c r="H55" s="26">
        <f t="shared" si="7"/>
        <v>729</v>
      </c>
      <c r="K55" s="551">
        <f t="shared" si="16"/>
        <v>45323</v>
      </c>
      <c r="L55" s="551">
        <f t="shared" si="8"/>
        <v>45351</v>
      </c>
      <c r="M55" s="551">
        <f t="shared" si="9"/>
        <v>45307</v>
      </c>
      <c r="N55" s="551">
        <f t="shared" si="10"/>
        <v>45337</v>
      </c>
      <c r="O55" s="26" cm="1">
        <f t="array" ref="O55">SUMPRODUCT(-($J$76:$J$457&gt;=K55),-($J$76:$J$457&lt;=L55),($P$76:$P$457))</f>
        <v>728</v>
      </c>
      <c r="P55" s="26">
        <f t="shared" si="11"/>
        <v>879</v>
      </c>
    </row>
    <row r="56" spans="2:16">
      <c r="C56" s="551">
        <f t="shared" si="17"/>
        <v>45352</v>
      </c>
      <c r="D56" s="551">
        <f t="shared" si="12"/>
        <v>45382</v>
      </c>
      <c r="E56" s="551">
        <f t="shared" si="13"/>
        <v>45338</v>
      </c>
      <c r="F56" s="551">
        <f t="shared" si="14"/>
        <v>45366</v>
      </c>
      <c r="G56" s="26">
        <f t="shared" si="15"/>
        <v>357</v>
      </c>
      <c r="H56" s="26">
        <f t="shared" si="7"/>
        <v>411</v>
      </c>
      <c r="K56" s="551">
        <f t="shared" si="16"/>
        <v>45352</v>
      </c>
      <c r="L56" s="551">
        <f t="shared" si="8"/>
        <v>45382</v>
      </c>
      <c r="M56" s="551">
        <f t="shared" si="9"/>
        <v>45338</v>
      </c>
      <c r="N56" s="551">
        <f t="shared" si="10"/>
        <v>45366</v>
      </c>
      <c r="O56" s="26" cm="1">
        <f t="array" ref="O56">SUMPRODUCT(-($J$76:$J$457&gt;=K56),-($J$76:$J$457&lt;=L56),($P$76:$P$457))</f>
        <v>482</v>
      </c>
      <c r="P56" s="26">
        <f t="shared" si="11"/>
        <v>588</v>
      </c>
    </row>
    <row r="57" spans="2:16">
      <c r="C57" s="551">
        <f t="shared" si="17"/>
        <v>45383</v>
      </c>
      <c r="D57" s="551">
        <f t="shared" si="12"/>
        <v>45412</v>
      </c>
      <c r="E57" s="551">
        <f t="shared" si="13"/>
        <v>45367</v>
      </c>
      <c r="F57" s="551">
        <f t="shared" si="14"/>
        <v>45397</v>
      </c>
      <c r="G57" s="26">
        <f t="shared" si="15"/>
        <v>164</v>
      </c>
      <c r="H57" s="26">
        <f t="shared" si="7"/>
        <v>304</v>
      </c>
      <c r="K57" s="551">
        <f t="shared" si="16"/>
        <v>45383</v>
      </c>
      <c r="L57" s="551">
        <f t="shared" si="8"/>
        <v>45412</v>
      </c>
      <c r="M57" s="551">
        <f t="shared" si="9"/>
        <v>45367</v>
      </c>
      <c r="N57" s="551">
        <f t="shared" si="10"/>
        <v>45397</v>
      </c>
      <c r="O57" s="26" cm="1">
        <f t="array" ref="O57">SUMPRODUCT(-($J$76:$J$457&gt;=K57),-($J$76:$J$457&lt;=L57),($P$76:$P$457))</f>
        <v>220</v>
      </c>
      <c r="P57" s="26">
        <f t="shared" si="11"/>
        <v>345</v>
      </c>
    </row>
    <row r="58" spans="2:16">
      <c r="C58" s="551">
        <f t="shared" si="17"/>
        <v>45413</v>
      </c>
      <c r="D58" s="551">
        <f t="shared" si="12"/>
        <v>45443</v>
      </c>
      <c r="E58" s="551">
        <f t="shared" si="13"/>
        <v>45398</v>
      </c>
      <c r="F58" s="551">
        <f t="shared" si="14"/>
        <v>45427</v>
      </c>
      <c r="G58" s="26">
        <f t="shared" si="15"/>
        <v>3</v>
      </c>
      <c r="H58" s="26">
        <f t="shared" si="7"/>
        <v>65</v>
      </c>
      <c r="K58" s="551">
        <f t="shared" si="16"/>
        <v>45413</v>
      </c>
      <c r="L58" s="551">
        <f t="shared" si="8"/>
        <v>45443</v>
      </c>
      <c r="M58" s="551">
        <f t="shared" si="9"/>
        <v>45398</v>
      </c>
      <c r="N58" s="551">
        <f t="shared" si="10"/>
        <v>45427</v>
      </c>
      <c r="O58" s="26" cm="1">
        <f t="array" ref="O58">SUMPRODUCT(-($J$76:$J$457&gt;=K58),-($J$76:$J$457&lt;=L58),($P$76:$P$457))</f>
        <v>59</v>
      </c>
      <c r="P58" s="26">
        <f t="shared" si="11"/>
        <v>133</v>
      </c>
    </row>
    <row r="59" spans="2:16">
      <c r="C59" s="551">
        <f t="shared" si="17"/>
        <v>45444</v>
      </c>
      <c r="D59" s="551">
        <f t="shared" si="12"/>
        <v>45473</v>
      </c>
      <c r="E59" s="551">
        <f t="shared" si="13"/>
        <v>45428</v>
      </c>
      <c r="F59" s="551">
        <f t="shared" si="14"/>
        <v>45458</v>
      </c>
      <c r="G59" s="120">
        <f t="shared" si="15"/>
        <v>0</v>
      </c>
      <c r="H59" s="120">
        <f t="shared" si="7"/>
        <v>0</v>
      </c>
      <c r="K59" s="551">
        <f t="shared" si="16"/>
        <v>45444</v>
      </c>
      <c r="L59" s="551">
        <f t="shared" si="8"/>
        <v>45473</v>
      </c>
      <c r="M59" s="551">
        <f t="shared" si="9"/>
        <v>45428</v>
      </c>
      <c r="N59" s="551">
        <f t="shared" si="10"/>
        <v>45458</v>
      </c>
      <c r="O59" s="120" cm="1">
        <f t="array" ref="O59">SUMPRODUCT(-($J$76:$J$457&gt;=K59),-($J$76:$J$457&lt;=L59),($P$76:$P$457))</f>
        <v>0</v>
      </c>
      <c r="P59" s="120">
        <f t="shared" si="11"/>
        <v>14</v>
      </c>
    </row>
    <row r="60" spans="2:16">
      <c r="F60" s="26" t="s">
        <v>18</v>
      </c>
      <c r="G60" s="29">
        <f>SUM(G48:G59)</f>
        <v>3221</v>
      </c>
      <c r="H60" s="29">
        <f>SUM(H48:H59)</f>
        <v>3221</v>
      </c>
      <c r="O60" s="29">
        <f>SUM(O48:O59)</f>
        <v>3857</v>
      </c>
      <c r="P60" s="29">
        <f>SUM(P48:P59)</f>
        <v>3857</v>
      </c>
    </row>
    <row r="61" spans="2:16">
      <c r="C61" s="253"/>
      <c r="D61" s="253"/>
      <c r="E61" s="253"/>
      <c r="F61" s="253"/>
      <c r="G61" s="253"/>
      <c r="K61" s="253"/>
      <c r="L61" s="162"/>
      <c r="M61" s="253"/>
      <c r="N61" s="162"/>
      <c r="O61" s="253"/>
    </row>
    <row r="62" spans="2:16">
      <c r="C62" s="253"/>
      <c r="D62" s="253"/>
      <c r="E62" s="253"/>
      <c r="F62" s="253"/>
      <c r="G62" s="253"/>
      <c r="K62" s="253"/>
      <c r="L62" s="253"/>
      <c r="M62" s="253"/>
      <c r="N62" s="253"/>
      <c r="O62" s="253"/>
    </row>
    <row r="63" spans="2:16">
      <c r="C63" s="253"/>
      <c r="D63" s="253"/>
      <c r="E63" s="253"/>
      <c r="F63" s="253"/>
      <c r="G63" s="253"/>
      <c r="K63" s="253"/>
      <c r="L63" s="253"/>
      <c r="M63" s="253"/>
      <c r="N63" s="253"/>
      <c r="O63" s="253"/>
    </row>
    <row r="64" spans="2:16">
      <c r="B64" s="256" t="s">
        <v>77</v>
      </c>
      <c r="C64" s="256" t="s">
        <v>520</v>
      </c>
      <c r="D64" s="256" t="s">
        <v>521</v>
      </c>
      <c r="E64" s="256" t="s">
        <v>522</v>
      </c>
      <c r="F64" s="256" t="s">
        <v>523</v>
      </c>
      <c r="G64" s="256" t="s">
        <v>524</v>
      </c>
      <c r="H64" s="256" t="s">
        <v>550</v>
      </c>
      <c r="K64" s="253"/>
      <c r="L64" s="253"/>
      <c r="M64" s="253"/>
      <c r="N64" s="253"/>
      <c r="O64" s="253"/>
    </row>
    <row r="65" spans="2:16">
      <c r="B65" s="26" t="s">
        <v>68</v>
      </c>
      <c r="C65" s="29">
        <v>39918.249999999993</v>
      </c>
      <c r="D65" s="29">
        <v>37482.75</v>
      </c>
      <c r="E65" s="29">
        <v>21348.25</v>
      </c>
      <c r="F65" s="29">
        <v>7966.25</v>
      </c>
      <c r="G65" s="29">
        <v>53746.5</v>
      </c>
      <c r="H65" s="29">
        <f>SUM(C65:G65)</f>
        <v>160462</v>
      </c>
      <c r="K65" s="253"/>
      <c r="L65" s="253"/>
      <c r="M65" s="253"/>
      <c r="N65" s="253"/>
      <c r="O65" s="253"/>
    </row>
    <row r="66" spans="2:16">
      <c r="B66" s="26" t="s">
        <v>96</v>
      </c>
      <c r="C66" s="29">
        <v>3517.9166666666656</v>
      </c>
      <c r="D66" s="29">
        <v>4750.9166666666661</v>
      </c>
      <c r="E66" s="29">
        <v>2797.3333333333339</v>
      </c>
      <c r="F66" s="29">
        <v>744.91666666666663</v>
      </c>
      <c r="G66" s="29">
        <v>6499.833333333333</v>
      </c>
      <c r="H66" s="29">
        <f>SUM(C66:G66)</f>
        <v>18310.916666666664</v>
      </c>
      <c r="K66" s="253"/>
      <c r="L66" s="253"/>
      <c r="M66" s="253"/>
      <c r="N66" s="253"/>
      <c r="O66" s="253"/>
    </row>
    <row r="67" spans="2:16">
      <c r="B67" s="26" t="s">
        <v>502</v>
      </c>
      <c r="C67" s="29">
        <v>240.91666666666666</v>
      </c>
      <c r="D67" s="29">
        <v>368.00000000000006</v>
      </c>
      <c r="E67" s="29">
        <v>340.16666666666663</v>
      </c>
      <c r="F67" s="29">
        <v>41.083333333333329</v>
      </c>
      <c r="G67" s="29">
        <v>511.50757575757569</v>
      </c>
      <c r="H67" s="28">
        <f>SUM(C67:G67)</f>
        <v>1501.6742424242425</v>
      </c>
      <c r="K67" s="253"/>
      <c r="L67" s="253"/>
      <c r="M67" s="253"/>
      <c r="N67" s="253"/>
      <c r="O67" s="253"/>
    </row>
    <row r="68" spans="2:16">
      <c r="B68" s="302" t="s">
        <v>550</v>
      </c>
      <c r="C68" s="308">
        <f>SUM(C65:C67)</f>
        <v>43677.083333333321</v>
      </c>
      <c r="D68" s="308">
        <f>SUM(D65:D67)</f>
        <v>42601.666666666664</v>
      </c>
      <c r="E68" s="308">
        <f>SUM(E65:E67)</f>
        <v>24485.750000000004</v>
      </c>
      <c r="F68" s="308">
        <f>SUM(F65:F67)</f>
        <v>8752.25</v>
      </c>
      <c r="G68" s="308">
        <f>SUM(G65:G67)</f>
        <v>60757.840909090912</v>
      </c>
      <c r="H68" s="308">
        <f>SUM(C68:G68)</f>
        <v>180274.59090909088</v>
      </c>
      <c r="K68" s="253"/>
      <c r="L68" s="253"/>
      <c r="M68" s="253"/>
      <c r="N68" s="253"/>
      <c r="O68" s="253"/>
    </row>
    <row r="69" spans="2:16">
      <c r="K69" s="253"/>
      <c r="L69" s="253"/>
      <c r="M69" s="253"/>
      <c r="N69" s="253"/>
      <c r="O69" s="253"/>
    </row>
    <row r="70" spans="2:16">
      <c r="B70" s="183" t="s">
        <v>465</v>
      </c>
      <c r="C70" s="552">
        <f>C68/$H$68</f>
        <v>0.2422808622839081</v>
      </c>
      <c r="D70" s="552">
        <f>D68/$H$68</f>
        <v>0.23631542555073604</v>
      </c>
      <c r="E70" s="552">
        <f>E68/$H$68</f>
        <v>0.13582474311284229</v>
      </c>
      <c r="F70" s="552">
        <f>F68/$H$68</f>
        <v>4.8549548529629429E-2</v>
      </c>
      <c r="G70" s="552">
        <f>G68/$H$68</f>
        <v>0.3370294205228842</v>
      </c>
      <c r="K70" s="253"/>
      <c r="L70" s="253"/>
      <c r="M70" s="253"/>
      <c r="N70" s="253"/>
      <c r="O70" s="253"/>
    </row>
    <row r="71" spans="2:16">
      <c r="C71" s="253"/>
      <c r="D71" s="253"/>
      <c r="E71" s="253"/>
      <c r="F71" s="253"/>
      <c r="G71" s="253"/>
      <c r="K71" s="253"/>
      <c r="L71" s="253"/>
      <c r="M71" s="253"/>
      <c r="N71" s="253"/>
      <c r="O71" s="253"/>
    </row>
    <row r="72" spans="2:16">
      <c r="C72" s="253"/>
      <c r="D72" s="253"/>
      <c r="E72" s="253"/>
      <c r="F72" s="253"/>
      <c r="G72" s="253"/>
      <c r="K72" s="253"/>
      <c r="L72" s="253"/>
      <c r="M72" s="253"/>
      <c r="N72" s="253"/>
      <c r="O72" s="253"/>
    </row>
    <row r="73" spans="2:16">
      <c r="B73" s="26" t="s">
        <v>592</v>
      </c>
      <c r="J73" s="26" t="s">
        <v>593</v>
      </c>
    </row>
    <row r="74" spans="2:16" ht="51">
      <c r="B74" s="231" t="s">
        <v>507</v>
      </c>
      <c r="C74" s="257" t="s">
        <v>515</v>
      </c>
      <c r="D74" s="257" t="s">
        <v>516</v>
      </c>
      <c r="E74" s="257" t="s">
        <v>517</v>
      </c>
      <c r="F74" s="257" t="s">
        <v>518</v>
      </c>
      <c r="G74" s="257" t="s">
        <v>519</v>
      </c>
      <c r="H74" s="120" t="s">
        <v>3</v>
      </c>
      <c r="J74" s="231" t="s">
        <v>507</v>
      </c>
      <c r="K74" s="257" t="s">
        <v>515</v>
      </c>
      <c r="L74" s="257" t="s">
        <v>516</v>
      </c>
      <c r="M74" s="257" t="s">
        <v>517</v>
      </c>
      <c r="N74" s="257" t="s">
        <v>518</v>
      </c>
      <c r="O74" s="257" t="s">
        <v>519</v>
      </c>
      <c r="P74" s="120" t="s">
        <v>3</v>
      </c>
    </row>
    <row r="75" spans="2:16">
      <c r="B75" s="233"/>
      <c r="C75" s="254"/>
      <c r="D75" s="254"/>
      <c r="E75" s="254"/>
      <c r="F75" s="254"/>
      <c r="G75" s="254"/>
      <c r="K75" s="254"/>
      <c r="L75" s="254"/>
      <c r="M75" s="254"/>
      <c r="N75" s="254"/>
      <c r="O75" s="254"/>
    </row>
    <row r="76" spans="2:16">
      <c r="B76" s="553">
        <f>E48</f>
        <v>45093</v>
      </c>
      <c r="C76" s="100">
        <v>0</v>
      </c>
      <c r="D76" s="100">
        <v>0</v>
      </c>
      <c r="E76" s="100">
        <v>0</v>
      </c>
      <c r="F76" s="100">
        <v>0</v>
      </c>
      <c r="G76" s="100">
        <v>0</v>
      </c>
      <c r="H76" s="258">
        <f t="shared" ref="H76:H139" si="18">IFERROR(ROUND((C76*C$70)+(D76*D$70)+(E76*E$70)+(F76*F$70)+(G76*G$70),0),0)</f>
        <v>0</v>
      </c>
      <c r="J76" s="551">
        <f>B76</f>
        <v>45093</v>
      </c>
      <c r="K76" s="100">
        <v>0</v>
      </c>
      <c r="L76" s="100">
        <v>0</v>
      </c>
      <c r="M76" s="100">
        <v>0</v>
      </c>
      <c r="N76" s="100">
        <v>0</v>
      </c>
      <c r="O76" s="100">
        <v>0</v>
      </c>
      <c r="P76" s="258">
        <f t="shared" ref="P76:P139" si="19">IFERROR(ROUND((K76*C$70)+(L76*D$70)+(M76*E$70)+(N76*F$70)+(O76*G$70),0),0)</f>
        <v>0</v>
      </c>
    </row>
    <row r="77" spans="2:16">
      <c r="B77" s="553">
        <f>B76+1</f>
        <v>45094</v>
      </c>
      <c r="C77" s="100">
        <v>0</v>
      </c>
      <c r="D77" s="100">
        <v>0</v>
      </c>
      <c r="E77" s="100">
        <v>0</v>
      </c>
      <c r="F77" s="100">
        <v>0</v>
      </c>
      <c r="G77" s="100">
        <v>0</v>
      </c>
      <c r="H77" s="258">
        <f t="shared" si="18"/>
        <v>0</v>
      </c>
      <c r="J77" s="551">
        <f t="shared" ref="J77:J140" si="20">B77</f>
        <v>45094</v>
      </c>
      <c r="K77" s="100">
        <v>0</v>
      </c>
      <c r="L77" s="100">
        <v>0</v>
      </c>
      <c r="M77" s="100">
        <v>0</v>
      </c>
      <c r="N77" s="100">
        <v>0</v>
      </c>
      <c r="O77" s="100">
        <v>0</v>
      </c>
      <c r="P77" s="258">
        <f t="shared" si="19"/>
        <v>0</v>
      </c>
    </row>
    <row r="78" spans="2:16">
      <c r="B78" s="553">
        <f t="shared" ref="B78:B141" si="21">B77+1</f>
        <v>45095</v>
      </c>
      <c r="C78" s="100">
        <v>0</v>
      </c>
      <c r="D78" s="100">
        <v>0</v>
      </c>
      <c r="E78" s="100">
        <v>0</v>
      </c>
      <c r="F78" s="100">
        <v>0</v>
      </c>
      <c r="G78" s="100">
        <v>0</v>
      </c>
      <c r="H78" s="258">
        <f t="shared" si="18"/>
        <v>0</v>
      </c>
      <c r="J78" s="551">
        <f t="shared" si="20"/>
        <v>45095</v>
      </c>
      <c r="K78" s="100">
        <v>0</v>
      </c>
      <c r="L78" s="100">
        <v>0</v>
      </c>
      <c r="M78" s="100">
        <v>0</v>
      </c>
      <c r="N78" s="100">
        <v>0</v>
      </c>
      <c r="O78" s="100">
        <v>0</v>
      </c>
      <c r="P78" s="258">
        <f t="shared" si="19"/>
        <v>0</v>
      </c>
    </row>
    <row r="79" spans="2:16">
      <c r="B79" s="553">
        <f t="shared" si="21"/>
        <v>45096</v>
      </c>
      <c r="C79" s="100">
        <v>0</v>
      </c>
      <c r="D79" s="100">
        <v>0</v>
      </c>
      <c r="E79" s="100">
        <v>0</v>
      </c>
      <c r="F79" s="100">
        <v>0</v>
      </c>
      <c r="G79" s="100">
        <v>0</v>
      </c>
      <c r="H79" s="258">
        <f t="shared" si="18"/>
        <v>0</v>
      </c>
      <c r="J79" s="551">
        <f t="shared" si="20"/>
        <v>45096</v>
      </c>
      <c r="K79" s="100">
        <v>0</v>
      </c>
      <c r="L79" s="100">
        <v>0</v>
      </c>
      <c r="M79" s="100">
        <v>0</v>
      </c>
      <c r="N79" s="100">
        <v>0</v>
      </c>
      <c r="O79" s="100">
        <v>0</v>
      </c>
      <c r="P79" s="258">
        <f t="shared" si="19"/>
        <v>0</v>
      </c>
    </row>
    <row r="80" spans="2:16">
      <c r="B80" s="553">
        <f t="shared" si="21"/>
        <v>45097</v>
      </c>
      <c r="C80" s="100">
        <v>0</v>
      </c>
      <c r="D80" s="100">
        <v>0</v>
      </c>
      <c r="E80" s="100">
        <v>0</v>
      </c>
      <c r="F80" s="100">
        <v>0</v>
      </c>
      <c r="G80" s="100">
        <v>0</v>
      </c>
      <c r="H80" s="258">
        <f t="shared" si="18"/>
        <v>0</v>
      </c>
      <c r="J80" s="551">
        <f t="shared" si="20"/>
        <v>45097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258">
        <f t="shared" si="19"/>
        <v>0</v>
      </c>
    </row>
    <row r="81" spans="2:16">
      <c r="B81" s="553">
        <f t="shared" si="21"/>
        <v>45098</v>
      </c>
      <c r="C81" s="100">
        <v>0</v>
      </c>
      <c r="D81" s="100">
        <v>0</v>
      </c>
      <c r="E81" s="100">
        <v>0</v>
      </c>
      <c r="F81" s="100">
        <v>0</v>
      </c>
      <c r="G81" s="100">
        <v>0</v>
      </c>
      <c r="H81" s="258">
        <f t="shared" si="18"/>
        <v>0</v>
      </c>
      <c r="J81" s="551">
        <f t="shared" si="20"/>
        <v>45098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258">
        <f t="shared" si="19"/>
        <v>0</v>
      </c>
    </row>
    <row r="82" spans="2:16">
      <c r="B82" s="553">
        <f t="shared" si="21"/>
        <v>45099</v>
      </c>
      <c r="C82" s="100">
        <v>0</v>
      </c>
      <c r="D82" s="100">
        <v>0</v>
      </c>
      <c r="E82" s="100">
        <v>0</v>
      </c>
      <c r="F82" s="100">
        <v>0</v>
      </c>
      <c r="G82" s="100">
        <v>0</v>
      </c>
      <c r="H82" s="258">
        <f t="shared" si="18"/>
        <v>0</v>
      </c>
      <c r="J82" s="551">
        <f t="shared" si="20"/>
        <v>45099</v>
      </c>
      <c r="K82" s="100">
        <v>0</v>
      </c>
      <c r="L82" s="100">
        <v>0</v>
      </c>
      <c r="M82" s="100">
        <v>0.15</v>
      </c>
      <c r="N82" s="100">
        <v>0</v>
      </c>
      <c r="O82" s="100">
        <v>0</v>
      </c>
      <c r="P82" s="258">
        <f t="shared" si="19"/>
        <v>0</v>
      </c>
    </row>
    <row r="83" spans="2:16">
      <c r="B83" s="553">
        <f t="shared" si="21"/>
        <v>45100</v>
      </c>
      <c r="C83" s="100">
        <v>0</v>
      </c>
      <c r="D83" s="100">
        <v>0</v>
      </c>
      <c r="E83" s="100">
        <v>0</v>
      </c>
      <c r="F83" s="100">
        <v>0</v>
      </c>
      <c r="G83" s="100">
        <v>0</v>
      </c>
      <c r="H83" s="258">
        <f t="shared" si="18"/>
        <v>0</v>
      </c>
      <c r="J83" s="551">
        <f t="shared" si="20"/>
        <v>45100</v>
      </c>
      <c r="K83" s="100">
        <v>0</v>
      </c>
      <c r="L83" s="100">
        <v>0</v>
      </c>
      <c r="M83" s="100">
        <v>0.15</v>
      </c>
      <c r="N83" s="100">
        <v>0</v>
      </c>
      <c r="O83" s="100">
        <v>0</v>
      </c>
      <c r="P83" s="258">
        <f t="shared" si="19"/>
        <v>0</v>
      </c>
    </row>
    <row r="84" spans="2:16">
      <c r="B84" s="553">
        <f t="shared" si="21"/>
        <v>45101</v>
      </c>
      <c r="C84" s="100">
        <v>0</v>
      </c>
      <c r="D84" s="100">
        <v>0</v>
      </c>
      <c r="E84" s="100">
        <v>0</v>
      </c>
      <c r="F84" s="100">
        <v>0</v>
      </c>
      <c r="G84" s="100">
        <v>0</v>
      </c>
      <c r="H84" s="258">
        <f t="shared" si="18"/>
        <v>0</v>
      </c>
      <c r="J84" s="551">
        <f t="shared" si="20"/>
        <v>45101</v>
      </c>
      <c r="K84" s="100">
        <v>0</v>
      </c>
      <c r="L84" s="100">
        <v>0</v>
      </c>
      <c r="M84" s="100">
        <v>0</v>
      </c>
      <c r="N84" s="100">
        <v>0</v>
      </c>
      <c r="O84" s="100">
        <v>0</v>
      </c>
      <c r="P84" s="258">
        <f t="shared" si="19"/>
        <v>0</v>
      </c>
    </row>
    <row r="85" spans="2:16">
      <c r="B85" s="553">
        <f t="shared" si="21"/>
        <v>45102</v>
      </c>
      <c r="C85" s="100">
        <v>0</v>
      </c>
      <c r="D85" s="100">
        <v>0</v>
      </c>
      <c r="E85" s="100">
        <v>0</v>
      </c>
      <c r="F85" s="100">
        <v>0</v>
      </c>
      <c r="G85" s="100">
        <v>0</v>
      </c>
      <c r="H85" s="258">
        <f t="shared" si="18"/>
        <v>0</v>
      </c>
      <c r="J85" s="551">
        <f t="shared" si="20"/>
        <v>45102</v>
      </c>
      <c r="K85" s="100">
        <v>0</v>
      </c>
      <c r="L85" s="100">
        <v>0</v>
      </c>
      <c r="M85" s="100">
        <v>0</v>
      </c>
      <c r="N85" s="100">
        <v>0</v>
      </c>
      <c r="O85" s="100">
        <v>0</v>
      </c>
      <c r="P85" s="258">
        <f t="shared" si="19"/>
        <v>0</v>
      </c>
    </row>
    <row r="86" spans="2:16">
      <c r="B86" s="553">
        <f t="shared" si="21"/>
        <v>45103</v>
      </c>
      <c r="C86" s="100">
        <v>0</v>
      </c>
      <c r="D86" s="100">
        <v>0</v>
      </c>
      <c r="E86" s="100">
        <v>0</v>
      </c>
      <c r="F86" s="100">
        <v>0</v>
      </c>
      <c r="G86" s="100">
        <v>0</v>
      </c>
      <c r="H86" s="258">
        <f t="shared" si="18"/>
        <v>0</v>
      </c>
      <c r="J86" s="551">
        <f t="shared" si="20"/>
        <v>45103</v>
      </c>
      <c r="K86" s="100">
        <v>0</v>
      </c>
      <c r="L86" s="100">
        <v>0</v>
      </c>
      <c r="M86" s="100">
        <v>0</v>
      </c>
      <c r="N86" s="100">
        <v>0</v>
      </c>
      <c r="O86" s="100">
        <v>0</v>
      </c>
      <c r="P86" s="258">
        <f t="shared" si="19"/>
        <v>0</v>
      </c>
    </row>
    <row r="87" spans="2:16">
      <c r="B87" s="553">
        <f t="shared" si="21"/>
        <v>45104</v>
      </c>
      <c r="C87" s="100">
        <v>0</v>
      </c>
      <c r="D87" s="100">
        <v>0</v>
      </c>
      <c r="E87" s="100">
        <v>0</v>
      </c>
      <c r="F87" s="100">
        <v>0</v>
      </c>
      <c r="G87" s="100">
        <v>0</v>
      </c>
      <c r="H87" s="258">
        <f t="shared" si="18"/>
        <v>0</v>
      </c>
      <c r="J87" s="551">
        <f t="shared" si="20"/>
        <v>45104</v>
      </c>
      <c r="K87" s="100">
        <v>0</v>
      </c>
      <c r="L87" s="100">
        <v>0</v>
      </c>
      <c r="M87" s="100">
        <v>0</v>
      </c>
      <c r="N87" s="100">
        <v>0</v>
      </c>
      <c r="O87" s="100">
        <v>0</v>
      </c>
      <c r="P87" s="258">
        <f t="shared" si="19"/>
        <v>0</v>
      </c>
    </row>
    <row r="88" spans="2:16">
      <c r="B88" s="553">
        <f t="shared" si="21"/>
        <v>45105</v>
      </c>
      <c r="C88" s="100">
        <v>0</v>
      </c>
      <c r="D88" s="100">
        <v>0</v>
      </c>
      <c r="E88" s="100">
        <v>0</v>
      </c>
      <c r="F88" s="100">
        <v>0</v>
      </c>
      <c r="G88" s="100">
        <v>0</v>
      </c>
      <c r="H88" s="258">
        <f t="shared" si="18"/>
        <v>0</v>
      </c>
      <c r="J88" s="551">
        <f t="shared" si="20"/>
        <v>45105</v>
      </c>
      <c r="K88" s="100">
        <v>0</v>
      </c>
      <c r="L88" s="100">
        <v>0</v>
      </c>
      <c r="M88" s="100">
        <v>0</v>
      </c>
      <c r="N88" s="100">
        <v>0</v>
      </c>
      <c r="O88" s="100">
        <v>0</v>
      </c>
      <c r="P88" s="258">
        <f t="shared" si="19"/>
        <v>0</v>
      </c>
    </row>
    <row r="89" spans="2:16">
      <c r="B89" s="553">
        <f t="shared" si="21"/>
        <v>45106</v>
      </c>
      <c r="C89" s="100">
        <v>0</v>
      </c>
      <c r="D89" s="100">
        <v>0</v>
      </c>
      <c r="E89" s="100">
        <v>0</v>
      </c>
      <c r="F89" s="100">
        <v>0</v>
      </c>
      <c r="G89" s="100">
        <v>0</v>
      </c>
      <c r="H89" s="258">
        <f t="shared" si="18"/>
        <v>0</v>
      </c>
      <c r="J89" s="551">
        <f t="shared" si="20"/>
        <v>45106</v>
      </c>
      <c r="K89" s="100">
        <v>0</v>
      </c>
      <c r="L89" s="100">
        <v>0</v>
      </c>
      <c r="M89" s="100">
        <v>0</v>
      </c>
      <c r="N89" s="100">
        <v>0</v>
      </c>
      <c r="O89" s="100">
        <v>0</v>
      </c>
      <c r="P89" s="258">
        <f t="shared" si="19"/>
        <v>0</v>
      </c>
    </row>
    <row r="90" spans="2:16">
      <c r="B90" s="553">
        <f t="shared" si="21"/>
        <v>45107</v>
      </c>
      <c r="C90" s="100">
        <v>0</v>
      </c>
      <c r="D90" s="100">
        <v>0</v>
      </c>
      <c r="E90" s="100">
        <v>0</v>
      </c>
      <c r="F90" s="100">
        <v>0</v>
      </c>
      <c r="G90" s="100">
        <v>0</v>
      </c>
      <c r="H90" s="258">
        <f t="shared" si="18"/>
        <v>0</v>
      </c>
      <c r="J90" s="551">
        <f t="shared" si="20"/>
        <v>45107</v>
      </c>
      <c r="K90" s="100">
        <v>0</v>
      </c>
      <c r="L90" s="100">
        <v>0</v>
      </c>
      <c r="M90" s="100">
        <v>0</v>
      </c>
      <c r="N90" s="100">
        <v>0</v>
      </c>
      <c r="O90" s="100">
        <v>0</v>
      </c>
      <c r="P90" s="258">
        <f t="shared" si="19"/>
        <v>0</v>
      </c>
    </row>
    <row r="91" spans="2:16">
      <c r="B91" s="553">
        <f t="shared" si="21"/>
        <v>45108</v>
      </c>
      <c r="C91" s="100">
        <v>0</v>
      </c>
      <c r="D91" s="100">
        <v>0</v>
      </c>
      <c r="E91" s="100">
        <v>0</v>
      </c>
      <c r="F91" s="100">
        <v>0</v>
      </c>
      <c r="G91" s="100">
        <v>0</v>
      </c>
      <c r="H91" s="258">
        <f t="shared" si="18"/>
        <v>0</v>
      </c>
      <c r="J91" s="551">
        <f t="shared" si="20"/>
        <v>45108</v>
      </c>
      <c r="K91" s="100">
        <v>0</v>
      </c>
      <c r="L91" s="100">
        <v>0</v>
      </c>
      <c r="M91" s="100">
        <v>0</v>
      </c>
      <c r="N91" s="100">
        <v>0</v>
      </c>
      <c r="O91" s="100">
        <v>0</v>
      </c>
      <c r="P91" s="258">
        <f t="shared" si="19"/>
        <v>0</v>
      </c>
    </row>
    <row r="92" spans="2:16">
      <c r="B92" s="553">
        <f t="shared" si="21"/>
        <v>45109</v>
      </c>
      <c r="C92" s="100">
        <v>0</v>
      </c>
      <c r="D92" s="100">
        <v>0</v>
      </c>
      <c r="E92" s="100">
        <v>0</v>
      </c>
      <c r="F92" s="100">
        <v>0</v>
      </c>
      <c r="G92" s="100">
        <v>0</v>
      </c>
      <c r="H92" s="258">
        <f t="shared" si="18"/>
        <v>0</v>
      </c>
      <c r="J92" s="551">
        <f t="shared" si="20"/>
        <v>45109</v>
      </c>
      <c r="K92" s="100">
        <v>0</v>
      </c>
      <c r="L92" s="100">
        <v>0</v>
      </c>
      <c r="M92" s="100">
        <v>0</v>
      </c>
      <c r="N92" s="100">
        <v>0</v>
      </c>
      <c r="O92" s="100">
        <v>0</v>
      </c>
      <c r="P92" s="258">
        <f t="shared" si="19"/>
        <v>0</v>
      </c>
    </row>
    <row r="93" spans="2:16">
      <c r="B93" s="553">
        <f t="shared" si="21"/>
        <v>45110</v>
      </c>
      <c r="C93" s="100">
        <v>0</v>
      </c>
      <c r="D93" s="100">
        <v>0</v>
      </c>
      <c r="E93" s="100">
        <v>0</v>
      </c>
      <c r="F93" s="100">
        <v>0</v>
      </c>
      <c r="G93" s="100">
        <v>0</v>
      </c>
      <c r="H93" s="258">
        <f t="shared" si="18"/>
        <v>0</v>
      </c>
      <c r="J93" s="551">
        <f t="shared" si="20"/>
        <v>45110</v>
      </c>
      <c r="K93" s="100">
        <v>0</v>
      </c>
      <c r="L93" s="100">
        <v>0</v>
      </c>
      <c r="M93" s="100">
        <v>0</v>
      </c>
      <c r="N93" s="100">
        <v>0</v>
      </c>
      <c r="O93" s="100">
        <v>0</v>
      </c>
      <c r="P93" s="258">
        <f t="shared" si="19"/>
        <v>0</v>
      </c>
    </row>
    <row r="94" spans="2:16">
      <c r="B94" s="553">
        <f t="shared" si="21"/>
        <v>45111</v>
      </c>
      <c r="C94" s="100">
        <v>0</v>
      </c>
      <c r="D94" s="100">
        <v>0</v>
      </c>
      <c r="E94" s="100">
        <v>0</v>
      </c>
      <c r="F94" s="100">
        <v>0</v>
      </c>
      <c r="G94" s="100">
        <v>0</v>
      </c>
      <c r="H94" s="258">
        <f t="shared" si="18"/>
        <v>0</v>
      </c>
      <c r="J94" s="551">
        <f t="shared" si="20"/>
        <v>45111</v>
      </c>
      <c r="K94" s="100">
        <v>0</v>
      </c>
      <c r="L94" s="100">
        <v>0</v>
      </c>
      <c r="M94" s="100">
        <v>0</v>
      </c>
      <c r="N94" s="100">
        <v>0</v>
      </c>
      <c r="O94" s="100">
        <v>0</v>
      </c>
      <c r="P94" s="258">
        <f t="shared" si="19"/>
        <v>0</v>
      </c>
    </row>
    <row r="95" spans="2:16">
      <c r="B95" s="553">
        <f t="shared" si="21"/>
        <v>45112</v>
      </c>
      <c r="C95" s="100">
        <v>0</v>
      </c>
      <c r="D95" s="100">
        <v>0</v>
      </c>
      <c r="E95" s="100">
        <v>0</v>
      </c>
      <c r="F95" s="100">
        <v>0</v>
      </c>
      <c r="G95" s="100">
        <v>0</v>
      </c>
      <c r="H95" s="258">
        <f t="shared" si="18"/>
        <v>0</v>
      </c>
      <c r="J95" s="551">
        <f t="shared" si="20"/>
        <v>45112</v>
      </c>
      <c r="K95" s="100">
        <v>0</v>
      </c>
      <c r="L95" s="100">
        <v>0</v>
      </c>
      <c r="M95" s="100">
        <v>0</v>
      </c>
      <c r="N95" s="100">
        <v>0</v>
      </c>
      <c r="O95" s="100">
        <v>0</v>
      </c>
      <c r="P95" s="258">
        <f t="shared" si="19"/>
        <v>0</v>
      </c>
    </row>
    <row r="96" spans="2:16">
      <c r="B96" s="553">
        <f t="shared" si="21"/>
        <v>45113</v>
      </c>
      <c r="C96" s="100">
        <v>0</v>
      </c>
      <c r="D96" s="100">
        <v>0</v>
      </c>
      <c r="E96" s="100">
        <v>0</v>
      </c>
      <c r="F96" s="100">
        <v>0</v>
      </c>
      <c r="G96" s="100">
        <v>0</v>
      </c>
      <c r="H96" s="258">
        <f t="shared" si="18"/>
        <v>0</v>
      </c>
      <c r="J96" s="551">
        <f t="shared" si="20"/>
        <v>45113</v>
      </c>
      <c r="K96" s="100">
        <v>0</v>
      </c>
      <c r="L96" s="100">
        <v>0</v>
      </c>
      <c r="M96" s="100">
        <v>0</v>
      </c>
      <c r="N96" s="100">
        <v>0</v>
      </c>
      <c r="O96" s="100">
        <v>0</v>
      </c>
      <c r="P96" s="258">
        <f t="shared" si="19"/>
        <v>0</v>
      </c>
    </row>
    <row r="97" spans="2:16">
      <c r="B97" s="553">
        <f t="shared" si="21"/>
        <v>45114</v>
      </c>
      <c r="C97" s="100">
        <v>0</v>
      </c>
      <c r="D97" s="100">
        <v>0</v>
      </c>
      <c r="E97" s="100">
        <v>0</v>
      </c>
      <c r="F97" s="100">
        <v>0</v>
      </c>
      <c r="G97" s="100">
        <v>0</v>
      </c>
      <c r="H97" s="258">
        <f t="shared" si="18"/>
        <v>0</v>
      </c>
      <c r="J97" s="551">
        <f t="shared" si="20"/>
        <v>45114</v>
      </c>
      <c r="K97" s="100">
        <v>0</v>
      </c>
      <c r="L97" s="100">
        <v>0</v>
      </c>
      <c r="M97" s="100">
        <v>0</v>
      </c>
      <c r="N97" s="100">
        <v>0</v>
      </c>
      <c r="O97" s="100">
        <v>0</v>
      </c>
      <c r="P97" s="258">
        <f t="shared" si="19"/>
        <v>0</v>
      </c>
    </row>
    <row r="98" spans="2:16">
      <c r="B98" s="553">
        <f t="shared" si="21"/>
        <v>45115</v>
      </c>
      <c r="C98" s="100">
        <v>0</v>
      </c>
      <c r="D98" s="100">
        <v>0</v>
      </c>
      <c r="E98" s="100">
        <v>0</v>
      </c>
      <c r="F98" s="100">
        <v>0</v>
      </c>
      <c r="G98" s="100">
        <v>0</v>
      </c>
      <c r="H98" s="258">
        <f t="shared" si="18"/>
        <v>0</v>
      </c>
      <c r="J98" s="551">
        <f t="shared" si="20"/>
        <v>45115</v>
      </c>
      <c r="K98" s="100">
        <v>0</v>
      </c>
      <c r="L98" s="100">
        <v>0</v>
      </c>
      <c r="M98" s="100">
        <v>0</v>
      </c>
      <c r="N98" s="100">
        <v>0</v>
      </c>
      <c r="O98" s="100">
        <v>0</v>
      </c>
      <c r="P98" s="258">
        <f t="shared" si="19"/>
        <v>0</v>
      </c>
    </row>
    <row r="99" spans="2:16">
      <c r="B99" s="553">
        <f t="shared" si="21"/>
        <v>45116</v>
      </c>
      <c r="C99" s="100">
        <v>0</v>
      </c>
      <c r="D99" s="100">
        <v>0</v>
      </c>
      <c r="E99" s="100">
        <v>0</v>
      </c>
      <c r="F99" s="100">
        <v>0</v>
      </c>
      <c r="G99" s="100">
        <v>0</v>
      </c>
      <c r="H99" s="258">
        <f t="shared" si="18"/>
        <v>0</v>
      </c>
      <c r="J99" s="551">
        <f t="shared" si="20"/>
        <v>45116</v>
      </c>
      <c r="K99" s="100">
        <v>0</v>
      </c>
      <c r="L99" s="100">
        <v>0</v>
      </c>
      <c r="M99" s="100">
        <v>0</v>
      </c>
      <c r="N99" s="100">
        <v>0</v>
      </c>
      <c r="O99" s="100">
        <v>0</v>
      </c>
      <c r="P99" s="258">
        <f t="shared" si="19"/>
        <v>0</v>
      </c>
    </row>
    <row r="100" spans="2:16">
      <c r="B100" s="553">
        <f t="shared" si="21"/>
        <v>45117</v>
      </c>
      <c r="C100" s="100">
        <v>0</v>
      </c>
      <c r="D100" s="100">
        <v>0</v>
      </c>
      <c r="E100" s="100">
        <v>0</v>
      </c>
      <c r="F100" s="100">
        <v>0</v>
      </c>
      <c r="G100" s="100">
        <v>0</v>
      </c>
      <c r="H100" s="258">
        <f t="shared" si="18"/>
        <v>0</v>
      </c>
      <c r="J100" s="551">
        <f t="shared" si="20"/>
        <v>45117</v>
      </c>
      <c r="K100" s="100">
        <v>0</v>
      </c>
      <c r="L100" s="100">
        <v>0</v>
      </c>
      <c r="M100" s="100">
        <v>0</v>
      </c>
      <c r="N100" s="100">
        <v>0</v>
      </c>
      <c r="O100" s="100">
        <v>0</v>
      </c>
      <c r="P100" s="258">
        <f t="shared" si="19"/>
        <v>0</v>
      </c>
    </row>
    <row r="101" spans="2:16">
      <c r="B101" s="553">
        <f t="shared" si="21"/>
        <v>45118</v>
      </c>
      <c r="C101" s="100">
        <v>0</v>
      </c>
      <c r="D101" s="100">
        <v>0</v>
      </c>
      <c r="E101" s="100">
        <v>0</v>
      </c>
      <c r="F101" s="100">
        <v>0</v>
      </c>
      <c r="G101" s="100">
        <v>0</v>
      </c>
      <c r="H101" s="258">
        <f t="shared" si="18"/>
        <v>0</v>
      </c>
      <c r="J101" s="551">
        <f t="shared" si="20"/>
        <v>45118</v>
      </c>
      <c r="K101" s="100">
        <v>0</v>
      </c>
      <c r="L101" s="100">
        <v>0</v>
      </c>
      <c r="M101" s="100">
        <v>0</v>
      </c>
      <c r="N101" s="100">
        <v>0</v>
      </c>
      <c r="O101" s="100">
        <v>0</v>
      </c>
      <c r="P101" s="258">
        <f t="shared" si="19"/>
        <v>0</v>
      </c>
    </row>
    <row r="102" spans="2:16">
      <c r="B102" s="553">
        <f t="shared" si="21"/>
        <v>45119</v>
      </c>
      <c r="C102" s="100">
        <v>0</v>
      </c>
      <c r="D102" s="100">
        <v>0</v>
      </c>
      <c r="E102" s="100">
        <v>0</v>
      </c>
      <c r="F102" s="100">
        <v>0</v>
      </c>
      <c r="G102" s="100">
        <v>0</v>
      </c>
      <c r="H102" s="258">
        <f t="shared" si="18"/>
        <v>0</v>
      </c>
      <c r="J102" s="551">
        <f t="shared" si="20"/>
        <v>45119</v>
      </c>
      <c r="K102" s="100">
        <v>0</v>
      </c>
      <c r="L102" s="100">
        <v>0</v>
      </c>
      <c r="M102" s="100">
        <v>0</v>
      </c>
      <c r="N102" s="100">
        <v>0</v>
      </c>
      <c r="O102" s="100">
        <v>0</v>
      </c>
      <c r="P102" s="258">
        <f t="shared" si="19"/>
        <v>0</v>
      </c>
    </row>
    <row r="103" spans="2:16">
      <c r="B103" s="553">
        <f t="shared" si="21"/>
        <v>45120</v>
      </c>
      <c r="C103" s="100">
        <v>0</v>
      </c>
      <c r="D103" s="100">
        <v>0</v>
      </c>
      <c r="E103" s="100">
        <v>0</v>
      </c>
      <c r="F103" s="100">
        <v>0</v>
      </c>
      <c r="G103" s="100">
        <v>0</v>
      </c>
      <c r="H103" s="258">
        <f t="shared" si="18"/>
        <v>0</v>
      </c>
      <c r="J103" s="551">
        <f t="shared" si="20"/>
        <v>45120</v>
      </c>
      <c r="K103" s="100">
        <v>0</v>
      </c>
      <c r="L103" s="100">
        <v>0</v>
      </c>
      <c r="M103" s="100">
        <v>0</v>
      </c>
      <c r="N103" s="100">
        <v>0</v>
      </c>
      <c r="O103" s="100">
        <v>0</v>
      </c>
      <c r="P103" s="258">
        <f t="shared" si="19"/>
        <v>0</v>
      </c>
    </row>
    <row r="104" spans="2:16">
      <c r="B104" s="553">
        <f t="shared" si="21"/>
        <v>45121</v>
      </c>
      <c r="C104" s="100">
        <v>0</v>
      </c>
      <c r="D104" s="100">
        <v>0</v>
      </c>
      <c r="E104" s="100">
        <v>0</v>
      </c>
      <c r="F104" s="100">
        <v>0</v>
      </c>
      <c r="G104" s="100">
        <v>0</v>
      </c>
      <c r="H104" s="258">
        <f t="shared" si="18"/>
        <v>0</v>
      </c>
      <c r="J104" s="551">
        <f t="shared" si="20"/>
        <v>45121</v>
      </c>
      <c r="K104" s="100">
        <v>0</v>
      </c>
      <c r="L104" s="100">
        <v>0</v>
      </c>
      <c r="M104" s="100">
        <v>0</v>
      </c>
      <c r="N104" s="100">
        <v>0</v>
      </c>
      <c r="O104" s="100">
        <v>0</v>
      </c>
      <c r="P104" s="258">
        <f t="shared" si="19"/>
        <v>0</v>
      </c>
    </row>
    <row r="105" spans="2:16">
      <c r="B105" s="553">
        <f t="shared" si="21"/>
        <v>45122</v>
      </c>
      <c r="C105" s="100">
        <v>0</v>
      </c>
      <c r="D105" s="100">
        <v>0</v>
      </c>
      <c r="E105" s="100">
        <v>0</v>
      </c>
      <c r="F105" s="100">
        <v>0</v>
      </c>
      <c r="G105" s="100">
        <v>0</v>
      </c>
      <c r="H105" s="258">
        <f t="shared" si="18"/>
        <v>0</v>
      </c>
      <c r="J105" s="551">
        <f t="shared" si="20"/>
        <v>45122</v>
      </c>
      <c r="K105" s="100">
        <v>0</v>
      </c>
      <c r="L105" s="100">
        <v>0</v>
      </c>
      <c r="M105" s="100">
        <v>0</v>
      </c>
      <c r="N105" s="100">
        <v>0</v>
      </c>
      <c r="O105" s="100">
        <v>0</v>
      </c>
      <c r="P105" s="258">
        <f t="shared" si="19"/>
        <v>0</v>
      </c>
    </row>
    <row r="106" spans="2:16">
      <c r="B106" s="553">
        <f t="shared" si="21"/>
        <v>45123</v>
      </c>
      <c r="C106" s="100">
        <v>0</v>
      </c>
      <c r="D106" s="100">
        <v>0</v>
      </c>
      <c r="E106" s="100">
        <v>0</v>
      </c>
      <c r="F106" s="100">
        <v>0</v>
      </c>
      <c r="G106" s="100">
        <v>0</v>
      </c>
      <c r="H106" s="258">
        <f t="shared" si="18"/>
        <v>0</v>
      </c>
      <c r="J106" s="551">
        <f t="shared" si="20"/>
        <v>45123</v>
      </c>
      <c r="K106" s="100">
        <v>0</v>
      </c>
      <c r="L106" s="100">
        <v>0</v>
      </c>
      <c r="M106" s="100">
        <v>0</v>
      </c>
      <c r="N106" s="100">
        <v>0</v>
      </c>
      <c r="O106" s="100">
        <v>0</v>
      </c>
      <c r="P106" s="258">
        <f t="shared" si="19"/>
        <v>0</v>
      </c>
    </row>
    <row r="107" spans="2:16">
      <c r="B107" s="553">
        <f t="shared" si="21"/>
        <v>45124</v>
      </c>
      <c r="C107" s="100">
        <v>0</v>
      </c>
      <c r="D107" s="100">
        <v>0</v>
      </c>
      <c r="E107" s="100">
        <v>0</v>
      </c>
      <c r="F107" s="100">
        <v>0</v>
      </c>
      <c r="G107" s="100">
        <v>0</v>
      </c>
      <c r="H107" s="258">
        <f t="shared" si="18"/>
        <v>0</v>
      </c>
      <c r="J107" s="551">
        <f t="shared" si="20"/>
        <v>45124</v>
      </c>
      <c r="K107" s="100">
        <v>0</v>
      </c>
      <c r="L107" s="100">
        <v>0</v>
      </c>
      <c r="M107" s="100">
        <v>0</v>
      </c>
      <c r="N107" s="100">
        <v>0</v>
      </c>
      <c r="O107" s="100">
        <v>0</v>
      </c>
      <c r="P107" s="258">
        <f t="shared" si="19"/>
        <v>0</v>
      </c>
    </row>
    <row r="108" spans="2:16">
      <c r="B108" s="553">
        <f t="shared" si="21"/>
        <v>45125</v>
      </c>
      <c r="C108" s="100">
        <v>0</v>
      </c>
      <c r="D108" s="100">
        <v>0</v>
      </c>
      <c r="E108" s="100">
        <v>0</v>
      </c>
      <c r="F108" s="100">
        <v>0</v>
      </c>
      <c r="G108" s="100">
        <v>0</v>
      </c>
      <c r="H108" s="258">
        <f t="shared" si="18"/>
        <v>0</v>
      </c>
      <c r="J108" s="551">
        <f t="shared" si="20"/>
        <v>45125</v>
      </c>
      <c r="K108" s="100">
        <v>0</v>
      </c>
      <c r="L108" s="100">
        <v>0</v>
      </c>
      <c r="M108" s="100">
        <v>0.1</v>
      </c>
      <c r="N108" s="100">
        <v>0</v>
      </c>
      <c r="O108" s="100">
        <v>0</v>
      </c>
      <c r="P108" s="258">
        <f t="shared" si="19"/>
        <v>0</v>
      </c>
    </row>
    <row r="109" spans="2:16">
      <c r="B109" s="553">
        <f t="shared" si="21"/>
        <v>45126</v>
      </c>
      <c r="C109" s="100">
        <v>0</v>
      </c>
      <c r="D109" s="100">
        <v>0</v>
      </c>
      <c r="E109" s="100">
        <v>0</v>
      </c>
      <c r="F109" s="100">
        <v>0</v>
      </c>
      <c r="G109" s="100">
        <v>0</v>
      </c>
      <c r="H109" s="258">
        <f t="shared" si="18"/>
        <v>0</v>
      </c>
      <c r="J109" s="551">
        <f t="shared" si="20"/>
        <v>45126</v>
      </c>
      <c r="K109" s="100">
        <v>0</v>
      </c>
      <c r="L109" s="100">
        <v>0</v>
      </c>
      <c r="M109" s="100">
        <v>0.05</v>
      </c>
      <c r="N109" s="100">
        <v>0</v>
      </c>
      <c r="O109" s="100">
        <v>0</v>
      </c>
      <c r="P109" s="258">
        <f t="shared" si="19"/>
        <v>0</v>
      </c>
    </row>
    <row r="110" spans="2:16">
      <c r="B110" s="553">
        <f t="shared" si="21"/>
        <v>45127</v>
      </c>
      <c r="C110" s="100">
        <v>0</v>
      </c>
      <c r="D110" s="100">
        <v>0</v>
      </c>
      <c r="E110" s="100">
        <v>0</v>
      </c>
      <c r="F110" s="100">
        <v>0</v>
      </c>
      <c r="G110" s="100">
        <v>0</v>
      </c>
      <c r="H110" s="258">
        <f t="shared" si="18"/>
        <v>0</v>
      </c>
      <c r="J110" s="551">
        <f t="shared" si="20"/>
        <v>45127</v>
      </c>
      <c r="K110" s="100">
        <v>0</v>
      </c>
      <c r="L110" s="100">
        <v>0</v>
      </c>
      <c r="M110" s="100">
        <v>0</v>
      </c>
      <c r="N110" s="100">
        <v>0</v>
      </c>
      <c r="O110" s="100">
        <v>0</v>
      </c>
      <c r="P110" s="258">
        <f t="shared" si="19"/>
        <v>0</v>
      </c>
    </row>
    <row r="111" spans="2:16">
      <c r="B111" s="553">
        <f t="shared" si="21"/>
        <v>45128</v>
      </c>
      <c r="C111" s="100">
        <v>0</v>
      </c>
      <c r="D111" s="100">
        <v>0</v>
      </c>
      <c r="E111" s="100">
        <v>0</v>
      </c>
      <c r="F111" s="100">
        <v>0</v>
      </c>
      <c r="G111" s="100">
        <v>0</v>
      </c>
      <c r="H111" s="258">
        <f t="shared" si="18"/>
        <v>0</v>
      </c>
      <c r="J111" s="551">
        <f t="shared" si="20"/>
        <v>45128</v>
      </c>
      <c r="K111" s="100">
        <v>0</v>
      </c>
      <c r="L111" s="100">
        <v>0</v>
      </c>
      <c r="M111" s="100">
        <v>0</v>
      </c>
      <c r="N111" s="100">
        <v>0</v>
      </c>
      <c r="O111" s="100">
        <v>0</v>
      </c>
      <c r="P111" s="258">
        <f t="shared" si="19"/>
        <v>0</v>
      </c>
    </row>
    <row r="112" spans="2:16">
      <c r="B112" s="553">
        <f t="shared" si="21"/>
        <v>45129</v>
      </c>
      <c r="C112" s="100">
        <v>0</v>
      </c>
      <c r="D112" s="100">
        <v>0</v>
      </c>
      <c r="E112" s="100">
        <v>0</v>
      </c>
      <c r="F112" s="100">
        <v>0</v>
      </c>
      <c r="G112" s="100">
        <v>0</v>
      </c>
      <c r="H112" s="258">
        <f t="shared" si="18"/>
        <v>0</v>
      </c>
      <c r="J112" s="551">
        <f t="shared" si="20"/>
        <v>45129</v>
      </c>
      <c r="K112" s="100">
        <v>0</v>
      </c>
      <c r="L112" s="100">
        <v>0</v>
      </c>
      <c r="M112" s="100">
        <v>0</v>
      </c>
      <c r="N112" s="100">
        <v>0</v>
      </c>
      <c r="O112" s="100">
        <v>0</v>
      </c>
      <c r="P112" s="258">
        <f t="shared" si="19"/>
        <v>0</v>
      </c>
    </row>
    <row r="113" spans="2:16">
      <c r="B113" s="553">
        <f t="shared" si="21"/>
        <v>45130</v>
      </c>
      <c r="C113" s="100">
        <v>0</v>
      </c>
      <c r="D113" s="100">
        <v>0</v>
      </c>
      <c r="E113" s="100">
        <v>0</v>
      </c>
      <c r="F113" s="100">
        <v>0</v>
      </c>
      <c r="G113" s="100">
        <v>0</v>
      </c>
      <c r="H113" s="258">
        <f t="shared" si="18"/>
        <v>0</v>
      </c>
      <c r="J113" s="551">
        <f t="shared" si="20"/>
        <v>45130</v>
      </c>
      <c r="K113" s="100">
        <v>0</v>
      </c>
      <c r="L113" s="100">
        <v>0</v>
      </c>
      <c r="M113" s="100">
        <v>0</v>
      </c>
      <c r="N113" s="100">
        <v>0</v>
      </c>
      <c r="O113" s="100">
        <v>0</v>
      </c>
      <c r="P113" s="258">
        <f t="shared" si="19"/>
        <v>0</v>
      </c>
    </row>
    <row r="114" spans="2:16">
      <c r="B114" s="553">
        <f t="shared" si="21"/>
        <v>45131</v>
      </c>
      <c r="C114" s="100">
        <v>0</v>
      </c>
      <c r="D114" s="100">
        <v>0</v>
      </c>
      <c r="E114" s="100">
        <v>0</v>
      </c>
      <c r="F114" s="100">
        <v>0</v>
      </c>
      <c r="G114" s="100">
        <v>0</v>
      </c>
      <c r="H114" s="258">
        <f t="shared" si="18"/>
        <v>0</v>
      </c>
      <c r="J114" s="551">
        <f t="shared" si="20"/>
        <v>45131</v>
      </c>
      <c r="K114" s="100">
        <v>0</v>
      </c>
      <c r="L114" s="100">
        <v>0</v>
      </c>
      <c r="M114" s="100">
        <v>0</v>
      </c>
      <c r="N114" s="100">
        <v>0</v>
      </c>
      <c r="O114" s="100">
        <v>0</v>
      </c>
      <c r="P114" s="258">
        <f t="shared" si="19"/>
        <v>0</v>
      </c>
    </row>
    <row r="115" spans="2:16">
      <c r="B115" s="553">
        <f t="shared" si="21"/>
        <v>45132</v>
      </c>
      <c r="C115" s="100">
        <v>0</v>
      </c>
      <c r="D115" s="100">
        <v>0</v>
      </c>
      <c r="E115" s="100">
        <v>0</v>
      </c>
      <c r="F115" s="100">
        <v>0</v>
      </c>
      <c r="G115" s="100">
        <v>0</v>
      </c>
      <c r="H115" s="258">
        <f t="shared" si="18"/>
        <v>0</v>
      </c>
      <c r="J115" s="551">
        <f t="shared" si="20"/>
        <v>45132</v>
      </c>
      <c r="K115" s="100">
        <v>0</v>
      </c>
      <c r="L115" s="100">
        <v>0</v>
      </c>
      <c r="M115" s="100">
        <v>0</v>
      </c>
      <c r="N115" s="100">
        <v>0</v>
      </c>
      <c r="O115" s="100">
        <v>0</v>
      </c>
      <c r="P115" s="258">
        <f t="shared" si="19"/>
        <v>0</v>
      </c>
    </row>
    <row r="116" spans="2:16">
      <c r="B116" s="553">
        <f t="shared" si="21"/>
        <v>45133</v>
      </c>
      <c r="C116" s="100">
        <v>0</v>
      </c>
      <c r="D116" s="100">
        <v>0</v>
      </c>
      <c r="E116" s="100">
        <v>0</v>
      </c>
      <c r="F116" s="100">
        <v>0</v>
      </c>
      <c r="G116" s="100">
        <v>0</v>
      </c>
      <c r="H116" s="258">
        <f t="shared" si="18"/>
        <v>0</v>
      </c>
      <c r="J116" s="551">
        <f t="shared" si="20"/>
        <v>45133</v>
      </c>
      <c r="K116" s="100">
        <v>0.05</v>
      </c>
      <c r="L116" s="100">
        <v>0</v>
      </c>
      <c r="M116" s="100">
        <v>0</v>
      </c>
      <c r="N116" s="100">
        <v>0</v>
      </c>
      <c r="O116" s="100">
        <v>0</v>
      </c>
      <c r="P116" s="258">
        <f t="shared" si="19"/>
        <v>0</v>
      </c>
    </row>
    <row r="117" spans="2:16">
      <c r="B117" s="553">
        <f t="shared" si="21"/>
        <v>45134</v>
      </c>
      <c r="C117" s="100">
        <v>0</v>
      </c>
      <c r="D117" s="100">
        <v>0</v>
      </c>
      <c r="E117" s="100">
        <v>0</v>
      </c>
      <c r="F117" s="100">
        <v>0</v>
      </c>
      <c r="G117" s="100">
        <v>0</v>
      </c>
      <c r="H117" s="258">
        <f t="shared" si="18"/>
        <v>0</v>
      </c>
      <c r="J117" s="551">
        <f t="shared" si="20"/>
        <v>45134</v>
      </c>
      <c r="K117" s="100">
        <v>0</v>
      </c>
      <c r="L117" s="100">
        <v>0</v>
      </c>
      <c r="M117" s="100">
        <v>0</v>
      </c>
      <c r="N117" s="100">
        <v>0</v>
      </c>
      <c r="O117" s="100">
        <v>0</v>
      </c>
      <c r="P117" s="258">
        <f t="shared" si="19"/>
        <v>0</v>
      </c>
    </row>
    <row r="118" spans="2:16">
      <c r="B118" s="553">
        <f t="shared" si="21"/>
        <v>45135</v>
      </c>
      <c r="C118" s="100">
        <v>0</v>
      </c>
      <c r="D118" s="100">
        <v>0</v>
      </c>
      <c r="E118" s="100">
        <v>0</v>
      </c>
      <c r="F118" s="100">
        <v>0</v>
      </c>
      <c r="G118" s="100">
        <v>0</v>
      </c>
      <c r="H118" s="258">
        <f t="shared" si="18"/>
        <v>0</v>
      </c>
      <c r="J118" s="551">
        <f t="shared" si="20"/>
        <v>45135</v>
      </c>
      <c r="K118" s="100">
        <v>0</v>
      </c>
      <c r="L118" s="100">
        <v>0</v>
      </c>
      <c r="M118" s="100">
        <v>0</v>
      </c>
      <c r="N118" s="100">
        <v>0</v>
      </c>
      <c r="O118" s="100">
        <v>0</v>
      </c>
      <c r="P118" s="258">
        <f t="shared" si="19"/>
        <v>0</v>
      </c>
    </row>
    <row r="119" spans="2:16">
      <c r="B119" s="553">
        <f t="shared" si="21"/>
        <v>45136</v>
      </c>
      <c r="C119" s="100">
        <v>0</v>
      </c>
      <c r="D119" s="100">
        <v>0</v>
      </c>
      <c r="E119" s="100">
        <v>0</v>
      </c>
      <c r="F119" s="100">
        <v>0</v>
      </c>
      <c r="G119" s="100">
        <v>0</v>
      </c>
      <c r="H119" s="258">
        <f t="shared" si="18"/>
        <v>0</v>
      </c>
      <c r="J119" s="551">
        <f t="shared" si="20"/>
        <v>45136</v>
      </c>
      <c r="K119" s="100">
        <v>0</v>
      </c>
      <c r="L119" s="100">
        <v>0</v>
      </c>
      <c r="M119" s="100">
        <v>0.1</v>
      </c>
      <c r="N119" s="100">
        <v>0</v>
      </c>
      <c r="O119" s="100">
        <v>0</v>
      </c>
      <c r="P119" s="258">
        <f t="shared" si="19"/>
        <v>0</v>
      </c>
    </row>
    <row r="120" spans="2:16">
      <c r="B120" s="553">
        <f t="shared" si="21"/>
        <v>45137</v>
      </c>
      <c r="C120" s="100">
        <v>0</v>
      </c>
      <c r="D120" s="100">
        <v>0</v>
      </c>
      <c r="E120" s="100">
        <v>0</v>
      </c>
      <c r="F120" s="100">
        <v>0</v>
      </c>
      <c r="G120" s="100">
        <v>0</v>
      </c>
      <c r="H120" s="258">
        <f t="shared" si="18"/>
        <v>0</v>
      </c>
      <c r="J120" s="551">
        <f t="shared" si="20"/>
        <v>45137</v>
      </c>
      <c r="K120" s="100">
        <v>0</v>
      </c>
      <c r="L120" s="100">
        <v>0</v>
      </c>
      <c r="M120" s="100">
        <v>0</v>
      </c>
      <c r="N120" s="100">
        <v>0</v>
      </c>
      <c r="O120" s="100">
        <v>0</v>
      </c>
      <c r="P120" s="258">
        <f t="shared" si="19"/>
        <v>0</v>
      </c>
    </row>
    <row r="121" spans="2:16">
      <c r="B121" s="553">
        <f t="shared" si="21"/>
        <v>45138</v>
      </c>
      <c r="C121" s="100">
        <v>0</v>
      </c>
      <c r="D121" s="100">
        <v>0</v>
      </c>
      <c r="E121" s="100">
        <v>0</v>
      </c>
      <c r="F121" s="100">
        <v>0</v>
      </c>
      <c r="G121" s="100">
        <v>0</v>
      </c>
      <c r="H121" s="258">
        <f t="shared" si="18"/>
        <v>0</v>
      </c>
      <c r="J121" s="551">
        <f t="shared" si="20"/>
        <v>45138</v>
      </c>
      <c r="K121" s="100">
        <v>0</v>
      </c>
      <c r="L121" s="100">
        <v>0</v>
      </c>
      <c r="M121" s="100">
        <v>0</v>
      </c>
      <c r="N121" s="100">
        <v>0</v>
      </c>
      <c r="O121" s="100">
        <v>0</v>
      </c>
      <c r="P121" s="258">
        <f t="shared" si="19"/>
        <v>0</v>
      </c>
    </row>
    <row r="122" spans="2:16">
      <c r="B122" s="553">
        <f t="shared" si="21"/>
        <v>45139</v>
      </c>
      <c r="C122" s="100">
        <v>0</v>
      </c>
      <c r="D122" s="100">
        <v>0</v>
      </c>
      <c r="E122" s="100">
        <v>0</v>
      </c>
      <c r="F122" s="100">
        <v>0</v>
      </c>
      <c r="G122" s="100">
        <v>0</v>
      </c>
      <c r="H122" s="258">
        <f t="shared" si="18"/>
        <v>0</v>
      </c>
      <c r="J122" s="551">
        <f t="shared" si="20"/>
        <v>45139</v>
      </c>
      <c r="K122" s="100">
        <v>0</v>
      </c>
      <c r="L122" s="100">
        <v>0</v>
      </c>
      <c r="M122" s="100">
        <v>0</v>
      </c>
      <c r="N122" s="100">
        <v>0</v>
      </c>
      <c r="O122" s="100">
        <v>0</v>
      </c>
      <c r="P122" s="258">
        <f t="shared" si="19"/>
        <v>0</v>
      </c>
    </row>
    <row r="123" spans="2:16">
      <c r="B123" s="553">
        <f t="shared" si="21"/>
        <v>45140</v>
      </c>
      <c r="C123" s="100">
        <v>0</v>
      </c>
      <c r="D123" s="100">
        <v>0</v>
      </c>
      <c r="E123" s="100">
        <v>0</v>
      </c>
      <c r="F123" s="100">
        <v>0</v>
      </c>
      <c r="G123" s="100">
        <v>0</v>
      </c>
      <c r="H123" s="258">
        <f t="shared" si="18"/>
        <v>0</v>
      </c>
      <c r="J123" s="551">
        <f t="shared" si="20"/>
        <v>45140</v>
      </c>
      <c r="K123" s="100">
        <v>0</v>
      </c>
      <c r="L123" s="100">
        <v>0</v>
      </c>
      <c r="M123" s="100">
        <v>0</v>
      </c>
      <c r="N123" s="100">
        <v>0</v>
      </c>
      <c r="O123" s="100">
        <v>0</v>
      </c>
      <c r="P123" s="258">
        <f t="shared" si="19"/>
        <v>0</v>
      </c>
    </row>
    <row r="124" spans="2:16">
      <c r="B124" s="553">
        <f t="shared" si="21"/>
        <v>45141</v>
      </c>
      <c r="C124" s="100">
        <v>0</v>
      </c>
      <c r="D124" s="100">
        <v>0</v>
      </c>
      <c r="E124" s="100">
        <v>0</v>
      </c>
      <c r="F124" s="100">
        <v>0</v>
      </c>
      <c r="G124" s="100">
        <v>0</v>
      </c>
      <c r="H124" s="258">
        <f t="shared" si="18"/>
        <v>0</v>
      </c>
      <c r="J124" s="551">
        <f t="shared" si="20"/>
        <v>45141</v>
      </c>
      <c r="K124" s="100">
        <v>0</v>
      </c>
      <c r="L124" s="100">
        <v>0</v>
      </c>
      <c r="M124" s="100">
        <v>0</v>
      </c>
      <c r="N124" s="100">
        <v>0</v>
      </c>
      <c r="O124" s="100">
        <v>0</v>
      </c>
      <c r="P124" s="258">
        <f t="shared" si="19"/>
        <v>0</v>
      </c>
    </row>
    <row r="125" spans="2:16">
      <c r="B125" s="553">
        <f t="shared" si="21"/>
        <v>45142</v>
      </c>
      <c r="C125" s="100">
        <v>0</v>
      </c>
      <c r="D125" s="100">
        <v>0</v>
      </c>
      <c r="E125" s="100">
        <v>0</v>
      </c>
      <c r="F125" s="100">
        <v>0</v>
      </c>
      <c r="G125" s="100">
        <v>0</v>
      </c>
      <c r="H125" s="258">
        <f t="shared" si="18"/>
        <v>0</v>
      </c>
      <c r="J125" s="551">
        <f t="shared" si="20"/>
        <v>45142</v>
      </c>
      <c r="K125" s="100">
        <v>0</v>
      </c>
      <c r="L125" s="100">
        <v>0</v>
      </c>
      <c r="M125" s="100">
        <v>0</v>
      </c>
      <c r="N125" s="100">
        <v>0</v>
      </c>
      <c r="O125" s="100">
        <v>0</v>
      </c>
      <c r="P125" s="258">
        <f t="shared" si="19"/>
        <v>0</v>
      </c>
    </row>
    <row r="126" spans="2:16">
      <c r="B126" s="553">
        <f t="shared" si="21"/>
        <v>45143</v>
      </c>
      <c r="C126" s="100">
        <v>0</v>
      </c>
      <c r="D126" s="100">
        <v>0</v>
      </c>
      <c r="E126" s="100">
        <v>0</v>
      </c>
      <c r="F126" s="100">
        <v>0</v>
      </c>
      <c r="G126" s="100">
        <v>0</v>
      </c>
      <c r="H126" s="258">
        <f t="shared" si="18"/>
        <v>0</v>
      </c>
      <c r="J126" s="551">
        <f t="shared" si="20"/>
        <v>45143</v>
      </c>
      <c r="K126" s="100">
        <v>0</v>
      </c>
      <c r="L126" s="100">
        <v>0</v>
      </c>
      <c r="M126" s="100">
        <v>0</v>
      </c>
      <c r="N126" s="100">
        <v>0</v>
      </c>
      <c r="O126" s="100">
        <v>0</v>
      </c>
      <c r="P126" s="258">
        <f t="shared" si="19"/>
        <v>0</v>
      </c>
    </row>
    <row r="127" spans="2:16">
      <c r="B127" s="553">
        <f t="shared" si="21"/>
        <v>45144</v>
      </c>
      <c r="C127" s="100">
        <v>0</v>
      </c>
      <c r="D127" s="100">
        <v>0</v>
      </c>
      <c r="E127" s="100">
        <v>0</v>
      </c>
      <c r="F127" s="100">
        <v>0</v>
      </c>
      <c r="G127" s="100">
        <v>0</v>
      </c>
      <c r="H127" s="258">
        <f t="shared" si="18"/>
        <v>0</v>
      </c>
      <c r="J127" s="551">
        <f t="shared" si="20"/>
        <v>45144</v>
      </c>
      <c r="K127" s="100">
        <v>0</v>
      </c>
      <c r="L127" s="100">
        <v>0</v>
      </c>
      <c r="M127" s="100">
        <v>0.05</v>
      </c>
      <c r="N127" s="100">
        <v>0</v>
      </c>
      <c r="O127" s="100">
        <v>0</v>
      </c>
      <c r="P127" s="258">
        <f t="shared" si="19"/>
        <v>0</v>
      </c>
    </row>
    <row r="128" spans="2:16">
      <c r="B128" s="553">
        <f t="shared" si="21"/>
        <v>45145</v>
      </c>
      <c r="C128" s="100">
        <v>0</v>
      </c>
      <c r="D128" s="100">
        <v>0</v>
      </c>
      <c r="E128" s="100">
        <v>0</v>
      </c>
      <c r="F128" s="100">
        <v>0</v>
      </c>
      <c r="G128" s="100">
        <v>0</v>
      </c>
      <c r="H128" s="258">
        <f t="shared" si="18"/>
        <v>0</v>
      </c>
      <c r="J128" s="551">
        <f t="shared" si="20"/>
        <v>45145</v>
      </c>
      <c r="K128" s="100">
        <v>0</v>
      </c>
      <c r="L128" s="100">
        <v>0</v>
      </c>
      <c r="M128" s="100">
        <v>0.05</v>
      </c>
      <c r="N128" s="100">
        <v>0</v>
      </c>
      <c r="O128" s="100">
        <v>0</v>
      </c>
      <c r="P128" s="258">
        <f t="shared" si="19"/>
        <v>0</v>
      </c>
    </row>
    <row r="129" spans="2:16">
      <c r="B129" s="553">
        <f t="shared" si="21"/>
        <v>45146</v>
      </c>
      <c r="C129" s="100">
        <v>0</v>
      </c>
      <c r="D129" s="100">
        <v>0</v>
      </c>
      <c r="E129" s="100">
        <v>0</v>
      </c>
      <c r="F129" s="100">
        <v>0</v>
      </c>
      <c r="G129" s="100">
        <v>0</v>
      </c>
      <c r="H129" s="258">
        <f t="shared" si="18"/>
        <v>0</v>
      </c>
      <c r="J129" s="551">
        <f t="shared" si="20"/>
        <v>45146</v>
      </c>
      <c r="K129" s="100">
        <v>0</v>
      </c>
      <c r="L129" s="100">
        <v>0</v>
      </c>
      <c r="M129" s="100">
        <v>0</v>
      </c>
      <c r="N129" s="100">
        <v>0</v>
      </c>
      <c r="O129" s="100">
        <v>0</v>
      </c>
      <c r="P129" s="258">
        <f t="shared" si="19"/>
        <v>0</v>
      </c>
    </row>
    <row r="130" spans="2:16">
      <c r="B130" s="553">
        <f t="shared" si="21"/>
        <v>45147</v>
      </c>
      <c r="C130" s="100">
        <v>0</v>
      </c>
      <c r="D130" s="100">
        <v>0</v>
      </c>
      <c r="E130" s="100">
        <v>0</v>
      </c>
      <c r="F130" s="100">
        <v>0</v>
      </c>
      <c r="G130" s="100">
        <v>0</v>
      </c>
      <c r="H130" s="258">
        <f t="shared" si="18"/>
        <v>0</v>
      </c>
      <c r="J130" s="551">
        <f t="shared" si="20"/>
        <v>45147</v>
      </c>
      <c r="K130" s="100">
        <v>0</v>
      </c>
      <c r="L130" s="100">
        <v>0</v>
      </c>
      <c r="M130" s="100">
        <v>0</v>
      </c>
      <c r="N130" s="100">
        <v>0</v>
      </c>
      <c r="O130" s="100">
        <v>0</v>
      </c>
      <c r="P130" s="258">
        <f t="shared" si="19"/>
        <v>0</v>
      </c>
    </row>
    <row r="131" spans="2:16">
      <c r="B131" s="553">
        <f t="shared" si="21"/>
        <v>45148</v>
      </c>
      <c r="C131" s="100">
        <v>0</v>
      </c>
      <c r="D131" s="100">
        <v>0</v>
      </c>
      <c r="E131" s="100">
        <v>0</v>
      </c>
      <c r="F131" s="100">
        <v>0</v>
      </c>
      <c r="G131" s="100">
        <v>0</v>
      </c>
      <c r="H131" s="258">
        <f t="shared" si="18"/>
        <v>0</v>
      </c>
      <c r="J131" s="551">
        <f t="shared" si="20"/>
        <v>45148</v>
      </c>
      <c r="K131" s="100">
        <v>0</v>
      </c>
      <c r="L131" s="100">
        <v>0</v>
      </c>
      <c r="M131" s="100">
        <v>0</v>
      </c>
      <c r="N131" s="100">
        <v>0</v>
      </c>
      <c r="O131" s="100">
        <v>0</v>
      </c>
      <c r="P131" s="258">
        <f t="shared" si="19"/>
        <v>0</v>
      </c>
    </row>
    <row r="132" spans="2:16">
      <c r="B132" s="553">
        <f t="shared" si="21"/>
        <v>45149</v>
      </c>
      <c r="C132" s="100">
        <v>0</v>
      </c>
      <c r="D132" s="100">
        <v>0</v>
      </c>
      <c r="E132" s="100">
        <v>0</v>
      </c>
      <c r="F132" s="100">
        <v>0</v>
      </c>
      <c r="G132" s="100">
        <v>0</v>
      </c>
      <c r="H132" s="258">
        <f t="shared" si="18"/>
        <v>0</v>
      </c>
      <c r="J132" s="551">
        <f t="shared" si="20"/>
        <v>45149</v>
      </c>
      <c r="K132" s="100">
        <v>0.05</v>
      </c>
      <c r="L132" s="100">
        <v>0</v>
      </c>
      <c r="M132" s="100">
        <v>0</v>
      </c>
      <c r="N132" s="100">
        <v>0</v>
      </c>
      <c r="O132" s="100">
        <v>0.1</v>
      </c>
      <c r="P132" s="258">
        <f t="shared" si="19"/>
        <v>0</v>
      </c>
    </row>
    <row r="133" spans="2:16">
      <c r="B133" s="553">
        <f t="shared" si="21"/>
        <v>45150</v>
      </c>
      <c r="C133" s="100">
        <v>0</v>
      </c>
      <c r="D133" s="100">
        <v>0</v>
      </c>
      <c r="E133" s="100">
        <v>0</v>
      </c>
      <c r="F133" s="100">
        <v>0</v>
      </c>
      <c r="G133" s="100">
        <v>0</v>
      </c>
      <c r="H133" s="258">
        <f t="shared" si="18"/>
        <v>0</v>
      </c>
      <c r="J133" s="551">
        <f t="shared" si="20"/>
        <v>45150</v>
      </c>
      <c r="K133" s="100">
        <v>0.2</v>
      </c>
      <c r="L133" s="100">
        <v>0</v>
      </c>
      <c r="M133" s="100">
        <v>0.1</v>
      </c>
      <c r="N133" s="100">
        <v>0</v>
      </c>
      <c r="O133" s="100">
        <v>0.15</v>
      </c>
      <c r="P133" s="258">
        <f t="shared" si="19"/>
        <v>0</v>
      </c>
    </row>
    <row r="134" spans="2:16">
      <c r="B134" s="553">
        <f t="shared" si="21"/>
        <v>45151</v>
      </c>
      <c r="C134" s="100">
        <v>0</v>
      </c>
      <c r="D134" s="100">
        <v>0</v>
      </c>
      <c r="E134" s="100">
        <v>0</v>
      </c>
      <c r="F134" s="100">
        <v>0</v>
      </c>
      <c r="G134" s="100">
        <v>0</v>
      </c>
      <c r="H134" s="258">
        <f t="shared" si="18"/>
        <v>0</v>
      </c>
      <c r="J134" s="551">
        <f t="shared" si="20"/>
        <v>45151</v>
      </c>
      <c r="K134" s="100">
        <v>0.1</v>
      </c>
      <c r="L134" s="100">
        <v>0.15</v>
      </c>
      <c r="M134" s="100">
        <v>0.35</v>
      </c>
      <c r="N134" s="100">
        <v>0.05</v>
      </c>
      <c r="O134" s="100">
        <v>0.2</v>
      </c>
      <c r="P134" s="258">
        <f t="shared" si="19"/>
        <v>0</v>
      </c>
    </row>
    <row r="135" spans="2:16">
      <c r="B135" s="553">
        <f t="shared" si="21"/>
        <v>45152</v>
      </c>
      <c r="C135" s="100">
        <v>0</v>
      </c>
      <c r="D135" s="100">
        <v>0</v>
      </c>
      <c r="E135" s="100">
        <v>0</v>
      </c>
      <c r="F135" s="100">
        <v>0</v>
      </c>
      <c r="G135" s="100">
        <v>0</v>
      </c>
      <c r="H135" s="258">
        <f t="shared" si="18"/>
        <v>0</v>
      </c>
      <c r="J135" s="551">
        <f t="shared" si="20"/>
        <v>45152</v>
      </c>
      <c r="K135" s="100">
        <v>0.1</v>
      </c>
      <c r="L135" s="100">
        <v>0</v>
      </c>
      <c r="M135" s="100">
        <v>0.15</v>
      </c>
      <c r="N135" s="100">
        <v>0</v>
      </c>
      <c r="O135" s="100">
        <v>0.15</v>
      </c>
      <c r="P135" s="258">
        <f t="shared" si="19"/>
        <v>0</v>
      </c>
    </row>
    <row r="136" spans="2:16">
      <c r="B136" s="553">
        <f t="shared" si="21"/>
        <v>45153</v>
      </c>
      <c r="C136" s="100">
        <v>0</v>
      </c>
      <c r="D136" s="100">
        <v>0</v>
      </c>
      <c r="E136" s="100">
        <v>0</v>
      </c>
      <c r="F136" s="100">
        <v>0</v>
      </c>
      <c r="G136" s="100">
        <v>0</v>
      </c>
      <c r="H136" s="258">
        <f t="shared" si="18"/>
        <v>0</v>
      </c>
      <c r="J136" s="551">
        <f t="shared" si="20"/>
        <v>45153</v>
      </c>
      <c r="K136" s="100">
        <v>0</v>
      </c>
      <c r="L136" s="100">
        <v>0</v>
      </c>
      <c r="M136" s="100">
        <v>0.1</v>
      </c>
      <c r="N136" s="100">
        <v>0</v>
      </c>
      <c r="O136" s="100">
        <v>0</v>
      </c>
      <c r="P136" s="258">
        <f t="shared" si="19"/>
        <v>0</v>
      </c>
    </row>
    <row r="137" spans="2:16">
      <c r="B137" s="553">
        <f t="shared" si="21"/>
        <v>45154</v>
      </c>
      <c r="C137" s="100">
        <v>0</v>
      </c>
      <c r="D137" s="100">
        <v>0</v>
      </c>
      <c r="E137" s="100">
        <v>0</v>
      </c>
      <c r="F137" s="100">
        <v>0</v>
      </c>
      <c r="G137" s="100">
        <v>0</v>
      </c>
      <c r="H137" s="258">
        <f t="shared" si="18"/>
        <v>0</v>
      </c>
      <c r="J137" s="551">
        <f t="shared" si="20"/>
        <v>45154</v>
      </c>
      <c r="K137" s="100">
        <v>0</v>
      </c>
      <c r="L137" s="100">
        <v>0</v>
      </c>
      <c r="M137" s="100">
        <v>0</v>
      </c>
      <c r="N137" s="100">
        <v>0</v>
      </c>
      <c r="O137" s="100">
        <v>0</v>
      </c>
      <c r="P137" s="258">
        <f t="shared" si="19"/>
        <v>0</v>
      </c>
    </row>
    <row r="138" spans="2:16">
      <c r="B138" s="553">
        <f t="shared" si="21"/>
        <v>45155</v>
      </c>
      <c r="C138" s="100">
        <v>0</v>
      </c>
      <c r="D138" s="100">
        <v>0</v>
      </c>
      <c r="E138" s="100">
        <v>0</v>
      </c>
      <c r="F138" s="100">
        <v>0</v>
      </c>
      <c r="G138" s="100">
        <v>0</v>
      </c>
      <c r="H138" s="258">
        <f t="shared" si="18"/>
        <v>0</v>
      </c>
      <c r="J138" s="551">
        <f t="shared" si="20"/>
        <v>45155</v>
      </c>
      <c r="K138" s="100">
        <v>0</v>
      </c>
      <c r="L138" s="100">
        <v>0</v>
      </c>
      <c r="M138" s="100">
        <v>0</v>
      </c>
      <c r="N138" s="100">
        <v>0</v>
      </c>
      <c r="O138" s="100">
        <v>0</v>
      </c>
      <c r="P138" s="258">
        <f t="shared" si="19"/>
        <v>0</v>
      </c>
    </row>
    <row r="139" spans="2:16">
      <c r="B139" s="553">
        <f t="shared" si="21"/>
        <v>45156</v>
      </c>
      <c r="C139" s="100">
        <v>0</v>
      </c>
      <c r="D139" s="100">
        <v>0</v>
      </c>
      <c r="E139" s="100">
        <v>0</v>
      </c>
      <c r="F139" s="100">
        <v>0</v>
      </c>
      <c r="G139" s="100">
        <v>0</v>
      </c>
      <c r="H139" s="258">
        <f t="shared" si="18"/>
        <v>0</v>
      </c>
      <c r="J139" s="551">
        <f t="shared" si="20"/>
        <v>45156</v>
      </c>
      <c r="K139" s="100">
        <v>0</v>
      </c>
      <c r="L139" s="100">
        <v>0</v>
      </c>
      <c r="M139" s="100">
        <v>0</v>
      </c>
      <c r="N139" s="100">
        <v>0</v>
      </c>
      <c r="O139" s="100">
        <v>0</v>
      </c>
      <c r="P139" s="258">
        <f t="shared" si="19"/>
        <v>0</v>
      </c>
    </row>
    <row r="140" spans="2:16">
      <c r="B140" s="553">
        <f t="shared" si="21"/>
        <v>45157</v>
      </c>
      <c r="C140" s="100">
        <v>0</v>
      </c>
      <c r="D140" s="100">
        <v>0</v>
      </c>
      <c r="E140" s="100">
        <v>0</v>
      </c>
      <c r="F140" s="100">
        <v>0</v>
      </c>
      <c r="G140" s="100">
        <v>0</v>
      </c>
      <c r="H140" s="258">
        <f t="shared" ref="H140:H203" si="22">IFERROR(ROUND((C140*C$70)+(D140*D$70)+(E140*E$70)+(F140*F$70)+(G140*G$70),0),0)</f>
        <v>0</v>
      </c>
      <c r="J140" s="551">
        <f t="shared" si="20"/>
        <v>45157</v>
      </c>
      <c r="K140" s="100">
        <v>0</v>
      </c>
      <c r="L140" s="100">
        <v>0</v>
      </c>
      <c r="M140" s="100">
        <v>0</v>
      </c>
      <c r="N140" s="100">
        <v>0</v>
      </c>
      <c r="O140" s="100">
        <v>0</v>
      </c>
      <c r="P140" s="258">
        <f t="shared" ref="P140:P203" si="23">IFERROR(ROUND((K140*C$70)+(L140*D$70)+(M140*E$70)+(N140*F$70)+(O140*G$70),0),0)</f>
        <v>0</v>
      </c>
    </row>
    <row r="141" spans="2:16">
      <c r="B141" s="553">
        <f t="shared" si="21"/>
        <v>45158</v>
      </c>
      <c r="C141" s="100">
        <v>0</v>
      </c>
      <c r="D141" s="100">
        <v>0</v>
      </c>
      <c r="E141" s="100">
        <v>0</v>
      </c>
      <c r="F141" s="100">
        <v>0</v>
      </c>
      <c r="G141" s="100">
        <v>0</v>
      </c>
      <c r="H141" s="258">
        <f t="shared" si="22"/>
        <v>0</v>
      </c>
      <c r="J141" s="551">
        <f t="shared" ref="J141:J204" si="24">B141</f>
        <v>45158</v>
      </c>
      <c r="K141" s="100">
        <v>0</v>
      </c>
      <c r="L141" s="100">
        <v>0</v>
      </c>
      <c r="M141" s="100">
        <v>0</v>
      </c>
      <c r="N141" s="100">
        <v>0</v>
      </c>
      <c r="O141" s="100">
        <v>0</v>
      </c>
      <c r="P141" s="258">
        <f t="shared" si="23"/>
        <v>0</v>
      </c>
    </row>
    <row r="142" spans="2:16">
      <c r="B142" s="553">
        <f t="shared" ref="B142:B205" si="25">B141+1</f>
        <v>45159</v>
      </c>
      <c r="C142" s="100">
        <v>0</v>
      </c>
      <c r="D142" s="100">
        <v>0</v>
      </c>
      <c r="E142" s="100">
        <v>0</v>
      </c>
      <c r="F142" s="100">
        <v>0</v>
      </c>
      <c r="G142" s="100">
        <v>0</v>
      </c>
      <c r="H142" s="258">
        <f t="shared" si="22"/>
        <v>0</v>
      </c>
      <c r="J142" s="551">
        <f t="shared" si="24"/>
        <v>45159</v>
      </c>
      <c r="K142" s="100">
        <v>0</v>
      </c>
      <c r="L142" s="100">
        <v>0</v>
      </c>
      <c r="M142" s="100">
        <v>0</v>
      </c>
      <c r="N142" s="100">
        <v>0</v>
      </c>
      <c r="O142" s="100">
        <v>0</v>
      </c>
      <c r="P142" s="258">
        <f t="shared" si="23"/>
        <v>0</v>
      </c>
    </row>
    <row r="143" spans="2:16">
      <c r="B143" s="553">
        <f t="shared" si="25"/>
        <v>45160</v>
      </c>
      <c r="C143" s="100">
        <v>0</v>
      </c>
      <c r="D143" s="100">
        <v>0</v>
      </c>
      <c r="E143" s="100">
        <v>0</v>
      </c>
      <c r="F143" s="100">
        <v>0</v>
      </c>
      <c r="G143" s="100">
        <v>0</v>
      </c>
      <c r="H143" s="258">
        <f t="shared" si="22"/>
        <v>0</v>
      </c>
      <c r="J143" s="551">
        <f t="shared" si="24"/>
        <v>45160</v>
      </c>
      <c r="K143" s="100">
        <v>0</v>
      </c>
      <c r="L143" s="100">
        <v>0</v>
      </c>
      <c r="M143" s="100">
        <v>0</v>
      </c>
      <c r="N143" s="100">
        <v>0</v>
      </c>
      <c r="O143" s="100">
        <v>0</v>
      </c>
      <c r="P143" s="258">
        <f t="shared" si="23"/>
        <v>0</v>
      </c>
    </row>
    <row r="144" spans="2:16">
      <c r="B144" s="553">
        <f t="shared" si="25"/>
        <v>45161</v>
      </c>
      <c r="C144" s="100">
        <v>0</v>
      </c>
      <c r="D144" s="100">
        <v>0</v>
      </c>
      <c r="E144" s="100">
        <v>0</v>
      </c>
      <c r="F144" s="100">
        <v>0</v>
      </c>
      <c r="G144" s="100">
        <v>0</v>
      </c>
      <c r="H144" s="258">
        <f t="shared" si="22"/>
        <v>0</v>
      </c>
      <c r="J144" s="551">
        <f t="shared" si="24"/>
        <v>45161</v>
      </c>
      <c r="K144" s="100">
        <v>0</v>
      </c>
      <c r="L144" s="100">
        <v>0</v>
      </c>
      <c r="M144" s="100">
        <v>0</v>
      </c>
      <c r="N144" s="100">
        <v>0</v>
      </c>
      <c r="O144" s="100">
        <v>0</v>
      </c>
      <c r="P144" s="258">
        <f t="shared" si="23"/>
        <v>0</v>
      </c>
    </row>
    <row r="145" spans="2:16">
      <c r="B145" s="553">
        <f t="shared" si="25"/>
        <v>45162</v>
      </c>
      <c r="C145" s="100">
        <v>0</v>
      </c>
      <c r="D145" s="100">
        <v>0</v>
      </c>
      <c r="E145" s="100">
        <v>0</v>
      </c>
      <c r="F145" s="100">
        <v>0</v>
      </c>
      <c r="G145" s="100">
        <v>0</v>
      </c>
      <c r="H145" s="258">
        <f t="shared" si="22"/>
        <v>0</v>
      </c>
      <c r="J145" s="551">
        <f t="shared" si="24"/>
        <v>45162</v>
      </c>
      <c r="K145" s="100">
        <v>0.1</v>
      </c>
      <c r="L145" s="100">
        <v>0</v>
      </c>
      <c r="M145" s="100">
        <v>0</v>
      </c>
      <c r="N145" s="100">
        <v>0</v>
      </c>
      <c r="O145" s="100">
        <v>0</v>
      </c>
      <c r="P145" s="258">
        <f t="shared" si="23"/>
        <v>0</v>
      </c>
    </row>
    <row r="146" spans="2:16">
      <c r="B146" s="553">
        <f t="shared" si="25"/>
        <v>45163</v>
      </c>
      <c r="C146" s="100">
        <v>0</v>
      </c>
      <c r="D146" s="100">
        <v>0</v>
      </c>
      <c r="E146" s="100">
        <v>0</v>
      </c>
      <c r="F146" s="100">
        <v>0</v>
      </c>
      <c r="G146" s="100">
        <v>0</v>
      </c>
      <c r="H146" s="258">
        <f t="shared" si="22"/>
        <v>0</v>
      </c>
      <c r="J146" s="551">
        <f t="shared" si="24"/>
        <v>45163</v>
      </c>
      <c r="K146" s="100">
        <v>0</v>
      </c>
      <c r="L146" s="100">
        <v>0</v>
      </c>
      <c r="M146" s="100">
        <v>0</v>
      </c>
      <c r="N146" s="100">
        <v>0</v>
      </c>
      <c r="O146" s="100">
        <v>0</v>
      </c>
      <c r="P146" s="258">
        <f t="shared" si="23"/>
        <v>0</v>
      </c>
    </row>
    <row r="147" spans="2:16">
      <c r="B147" s="553">
        <f t="shared" si="25"/>
        <v>45164</v>
      </c>
      <c r="C147" s="100">
        <v>0</v>
      </c>
      <c r="D147" s="100">
        <v>0</v>
      </c>
      <c r="E147" s="100">
        <v>0</v>
      </c>
      <c r="F147" s="100">
        <v>0</v>
      </c>
      <c r="G147" s="100">
        <v>0</v>
      </c>
      <c r="H147" s="258">
        <f t="shared" si="22"/>
        <v>0</v>
      </c>
      <c r="J147" s="551">
        <f t="shared" si="24"/>
        <v>45164</v>
      </c>
      <c r="K147" s="100">
        <v>0</v>
      </c>
      <c r="L147" s="100">
        <v>0</v>
      </c>
      <c r="M147" s="100">
        <v>0</v>
      </c>
      <c r="N147" s="100">
        <v>0</v>
      </c>
      <c r="O147" s="100">
        <v>0</v>
      </c>
      <c r="P147" s="258">
        <f t="shared" si="23"/>
        <v>0</v>
      </c>
    </row>
    <row r="148" spans="2:16">
      <c r="B148" s="553">
        <f t="shared" si="25"/>
        <v>45165</v>
      </c>
      <c r="C148" s="100">
        <v>0</v>
      </c>
      <c r="D148" s="100">
        <v>0</v>
      </c>
      <c r="E148" s="100">
        <v>0</v>
      </c>
      <c r="F148" s="100">
        <v>0</v>
      </c>
      <c r="G148" s="100">
        <v>0</v>
      </c>
      <c r="H148" s="258">
        <f t="shared" si="22"/>
        <v>0</v>
      </c>
      <c r="J148" s="551">
        <f t="shared" si="24"/>
        <v>45165</v>
      </c>
      <c r="K148" s="100">
        <v>0</v>
      </c>
      <c r="L148" s="100">
        <v>0</v>
      </c>
      <c r="M148" s="100">
        <v>0</v>
      </c>
      <c r="N148" s="100">
        <v>0</v>
      </c>
      <c r="O148" s="100">
        <v>0</v>
      </c>
      <c r="P148" s="258">
        <f t="shared" si="23"/>
        <v>0</v>
      </c>
    </row>
    <row r="149" spans="2:16">
      <c r="B149" s="553">
        <f t="shared" si="25"/>
        <v>45166</v>
      </c>
      <c r="C149" s="100">
        <v>0</v>
      </c>
      <c r="D149" s="100">
        <v>0</v>
      </c>
      <c r="E149" s="100">
        <v>0</v>
      </c>
      <c r="F149" s="100">
        <v>0</v>
      </c>
      <c r="G149" s="100">
        <v>0</v>
      </c>
      <c r="H149" s="258">
        <f t="shared" si="22"/>
        <v>0</v>
      </c>
      <c r="J149" s="551">
        <f t="shared" si="24"/>
        <v>45166</v>
      </c>
      <c r="K149" s="100">
        <v>0</v>
      </c>
      <c r="L149" s="100">
        <v>0</v>
      </c>
      <c r="M149" s="100">
        <v>0</v>
      </c>
      <c r="N149" s="100">
        <v>0</v>
      </c>
      <c r="O149" s="100">
        <v>0</v>
      </c>
      <c r="P149" s="258">
        <f t="shared" si="23"/>
        <v>0</v>
      </c>
    </row>
    <row r="150" spans="2:16">
      <c r="B150" s="553">
        <f t="shared" si="25"/>
        <v>45167</v>
      </c>
      <c r="C150" s="100">
        <v>0</v>
      </c>
      <c r="D150" s="100">
        <v>0</v>
      </c>
      <c r="E150" s="100">
        <v>0</v>
      </c>
      <c r="F150" s="100">
        <v>0</v>
      </c>
      <c r="G150" s="100">
        <v>0</v>
      </c>
      <c r="H150" s="258">
        <f t="shared" si="22"/>
        <v>0</v>
      </c>
      <c r="J150" s="551">
        <f t="shared" si="24"/>
        <v>45167</v>
      </c>
      <c r="K150" s="100">
        <v>0</v>
      </c>
      <c r="L150" s="100">
        <v>0</v>
      </c>
      <c r="M150" s="100">
        <v>0</v>
      </c>
      <c r="N150" s="100">
        <v>0</v>
      </c>
      <c r="O150" s="100">
        <v>0</v>
      </c>
      <c r="P150" s="258">
        <f t="shared" si="23"/>
        <v>0</v>
      </c>
    </row>
    <row r="151" spans="2:16">
      <c r="B151" s="553">
        <f t="shared" si="25"/>
        <v>45168</v>
      </c>
      <c r="C151" s="100">
        <v>0</v>
      </c>
      <c r="D151" s="100">
        <v>0</v>
      </c>
      <c r="E151" s="100">
        <v>0</v>
      </c>
      <c r="F151" s="100">
        <v>0</v>
      </c>
      <c r="G151" s="100">
        <v>0</v>
      </c>
      <c r="H151" s="258">
        <f t="shared" si="22"/>
        <v>0</v>
      </c>
      <c r="J151" s="551">
        <f t="shared" si="24"/>
        <v>45168</v>
      </c>
      <c r="K151" s="100">
        <v>0</v>
      </c>
      <c r="L151" s="100">
        <v>0</v>
      </c>
      <c r="M151" s="100">
        <v>0</v>
      </c>
      <c r="N151" s="100">
        <v>0</v>
      </c>
      <c r="O151" s="100">
        <v>0</v>
      </c>
      <c r="P151" s="258">
        <f t="shared" si="23"/>
        <v>0</v>
      </c>
    </row>
    <row r="152" spans="2:16">
      <c r="B152" s="553">
        <f t="shared" si="25"/>
        <v>45169</v>
      </c>
      <c r="C152" s="100">
        <v>0</v>
      </c>
      <c r="D152" s="100">
        <v>0</v>
      </c>
      <c r="E152" s="100">
        <v>0</v>
      </c>
      <c r="F152" s="100">
        <v>0</v>
      </c>
      <c r="G152" s="100">
        <v>0</v>
      </c>
      <c r="H152" s="258">
        <f t="shared" si="22"/>
        <v>0</v>
      </c>
      <c r="J152" s="551">
        <f t="shared" si="24"/>
        <v>45169</v>
      </c>
      <c r="K152" s="100">
        <v>0</v>
      </c>
      <c r="L152" s="100">
        <v>0</v>
      </c>
      <c r="M152" s="100">
        <v>0.15</v>
      </c>
      <c r="N152" s="100">
        <v>0</v>
      </c>
      <c r="O152" s="100">
        <v>0</v>
      </c>
      <c r="P152" s="258">
        <f t="shared" si="23"/>
        <v>0</v>
      </c>
    </row>
    <row r="153" spans="2:16">
      <c r="B153" s="553">
        <f t="shared" si="25"/>
        <v>45170</v>
      </c>
      <c r="C153" s="100">
        <v>0</v>
      </c>
      <c r="D153" s="100">
        <v>0</v>
      </c>
      <c r="E153" s="100">
        <v>0</v>
      </c>
      <c r="F153" s="100">
        <v>0</v>
      </c>
      <c r="G153" s="100">
        <v>0</v>
      </c>
      <c r="H153" s="258">
        <f t="shared" si="22"/>
        <v>0</v>
      </c>
      <c r="J153" s="551">
        <f t="shared" si="24"/>
        <v>45170</v>
      </c>
      <c r="K153" s="100">
        <v>0</v>
      </c>
      <c r="L153" s="100">
        <v>0</v>
      </c>
      <c r="M153" s="100">
        <v>0.1</v>
      </c>
      <c r="N153" s="100">
        <v>0</v>
      </c>
      <c r="O153" s="100">
        <v>0</v>
      </c>
      <c r="P153" s="258">
        <f t="shared" si="23"/>
        <v>0</v>
      </c>
    </row>
    <row r="154" spans="2:16">
      <c r="B154" s="553">
        <f t="shared" si="25"/>
        <v>45171</v>
      </c>
      <c r="C154" s="100">
        <v>0</v>
      </c>
      <c r="D154" s="100">
        <v>0</v>
      </c>
      <c r="E154" s="100">
        <v>0</v>
      </c>
      <c r="F154" s="100">
        <v>0</v>
      </c>
      <c r="G154" s="100">
        <v>0</v>
      </c>
      <c r="H154" s="258">
        <f t="shared" si="22"/>
        <v>0</v>
      </c>
      <c r="J154" s="551">
        <f t="shared" si="24"/>
        <v>45171</v>
      </c>
      <c r="K154" s="100">
        <v>0.05</v>
      </c>
      <c r="L154" s="100">
        <v>0</v>
      </c>
      <c r="M154" s="100">
        <v>0.4</v>
      </c>
      <c r="N154" s="100">
        <v>0.25</v>
      </c>
      <c r="O154" s="100">
        <v>0</v>
      </c>
      <c r="P154" s="258">
        <f t="shared" si="23"/>
        <v>0</v>
      </c>
    </row>
    <row r="155" spans="2:16">
      <c r="B155" s="553">
        <f t="shared" si="25"/>
        <v>45172</v>
      </c>
      <c r="C155" s="100">
        <v>0</v>
      </c>
      <c r="D155" s="100">
        <v>0</v>
      </c>
      <c r="E155" s="100">
        <v>0</v>
      </c>
      <c r="F155" s="100">
        <v>0</v>
      </c>
      <c r="G155" s="100">
        <v>0</v>
      </c>
      <c r="H155" s="258">
        <f t="shared" si="22"/>
        <v>0</v>
      </c>
      <c r="J155" s="551">
        <f t="shared" si="24"/>
        <v>45172</v>
      </c>
      <c r="K155" s="100">
        <v>0</v>
      </c>
      <c r="L155" s="100">
        <v>0</v>
      </c>
      <c r="M155" s="100">
        <v>0</v>
      </c>
      <c r="N155" s="100">
        <v>0</v>
      </c>
      <c r="O155" s="100">
        <v>0</v>
      </c>
      <c r="P155" s="258">
        <f t="shared" si="23"/>
        <v>0</v>
      </c>
    </row>
    <row r="156" spans="2:16">
      <c r="B156" s="553">
        <f t="shared" si="25"/>
        <v>45173</v>
      </c>
      <c r="C156" s="100">
        <v>0</v>
      </c>
      <c r="D156" s="100">
        <v>0</v>
      </c>
      <c r="E156" s="100">
        <v>0</v>
      </c>
      <c r="F156" s="100">
        <v>0</v>
      </c>
      <c r="G156" s="100">
        <v>0</v>
      </c>
      <c r="H156" s="258">
        <f t="shared" si="22"/>
        <v>0</v>
      </c>
      <c r="J156" s="551">
        <f t="shared" si="24"/>
        <v>45173</v>
      </c>
      <c r="K156" s="100">
        <v>0</v>
      </c>
      <c r="L156" s="100">
        <v>0</v>
      </c>
      <c r="M156" s="100">
        <v>0.2</v>
      </c>
      <c r="N156" s="100">
        <v>0</v>
      </c>
      <c r="O156" s="100">
        <v>0</v>
      </c>
      <c r="P156" s="258">
        <f t="shared" si="23"/>
        <v>0</v>
      </c>
    </row>
    <row r="157" spans="2:16">
      <c r="B157" s="553">
        <f t="shared" si="25"/>
        <v>45174</v>
      </c>
      <c r="C157" s="100">
        <v>0</v>
      </c>
      <c r="D157" s="100">
        <v>0</v>
      </c>
      <c r="E157" s="100">
        <v>0</v>
      </c>
      <c r="F157" s="100">
        <v>0</v>
      </c>
      <c r="G157" s="100">
        <v>0</v>
      </c>
      <c r="H157" s="258">
        <f t="shared" si="22"/>
        <v>0</v>
      </c>
      <c r="J157" s="551">
        <f t="shared" si="24"/>
        <v>45174</v>
      </c>
      <c r="K157" s="100">
        <v>0.05</v>
      </c>
      <c r="L157" s="100">
        <v>0.1</v>
      </c>
      <c r="M157" s="100">
        <v>0.2</v>
      </c>
      <c r="N157" s="100">
        <v>0</v>
      </c>
      <c r="O157" s="100">
        <v>0</v>
      </c>
      <c r="P157" s="258">
        <f t="shared" si="23"/>
        <v>0</v>
      </c>
    </row>
    <row r="158" spans="2:16">
      <c r="B158" s="553">
        <f t="shared" si="25"/>
        <v>45175</v>
      </c>
      <c r="C158" s="100">
        <v>0</v>
      </c>
      <c r="D158" s="100">
        <v>0</v>
      </c>
      <c r="E158" s="100">
        <v>0</v>
      </c>
      <c r="F158" s="100">
        <v>0</v>
      </c>
      <c r="G158" s="100">
        <v>0</v>
      </c>
      <c r="H158" s="258">
        <f t="shared" si="22"/>
        <v>0</v>
      </c>
      <c r="J158" s="551">
        <f t="shared" si="24"/>
        <v>45175</v>
      </c>
      <c r="K158" s="100">
        <v>0.3</v>
      </c>
      <c r="L158" s="100">
        <v>0.4</v>
      </c>
      <c r="M158" s="100">
        <v>0.6</v>
      </c>
      <c r="N158" s="100">
        <v>0.3</v>
      </c>
      <c r="O158" s="100">
        <v>0.25</v>
      </c>
      <c r="P158" s="258">
        <f t="shared" si="23"/>
        <v>0</v>
      </c>
    </row>
    <row r="159" spans="2:16">
      <c r="B159" s="553">
        <f t="shared" si="25"/>
        <v>45176</v>
      </c>
      <c r="C159" s="100">
        <v>0</v>
      </c>
      <c r="D159" s="100">
        <v>0</v>
      </c>
      <c r="E159" s="100">
        <v>0</v>
      </c>
      <c r="F159" s="100">
        <v>0</v>
      </c>
      <c r="G159" s="100">
        <v>0</v>
      </c>
      <c r="H159" s="258">
        <f t="shared" si="22"/>
        <v>0</v>
      </c>
      <c r="J159" s="551">
        <f t="shared" si="24"/>
        <v>45176</v>
      </c>
      <c r="K159" s="100">
        <v>0.25</v>
      </c>
      <c r="L159" s="100">
        <v>0.15</v>
      </c>
      <c r="M159" s="100">
        <v>0.55000000000000004</v>
      </c>
      <c r="N159" s="100">
        <v>0.3</v>
      </c>
      <c r="O159" s="100">
        <v>0.2</v>
      </c>
      <c r="P159" s="258">
        <f t="shared" si="23"/>
        <v>0</v>
      </c>
    </row>
    <row r="160" spans="2:16">
      <c r="B160" s="553">
        <f t="shared" si="25"/>
        <v>45177</v>
      </c>
      <c r="C160" s="100">
        <v>0</v>
      </c>
      <c r="D160" s="100">
        <v>0</v>
      </c>
      <c r="E160" s="100">
        <v>0</v>
      </c>
      <c r="F160" s="100">
        <v>0</v>
      </c>
      <c r="G160" s="100">
        <v>0</v>
      </c>
      <c r="H160" s="258">
        <f t="shared" si="22"/>
        <v>0</v>
      </c>
      <c r="J160" s="551">
        <f t="shared" si="24"/>
        <v>45177</v>
      </c>
      <c r="K160" s="100">
        <v>0.05</v>
      </c>
      <c r="L160" s="100">
        <v>0.15</v>
      </c>
      <c r="M160" s="100">
        <v>0.45</v>
      </c>
      <c r="N160" s="100">
        <v>0.25</v>
      </c>
      <c r="O160" s="100">
        <v>0</v>
      </c>
      <c r="P160" s="258">
        <f t="shared" si="23"/>
        <v>0</v>
      </c>
    </row>
    <row r="161" spans="2:16">
      <c r="B161" s="553">
        <f t="shared" si="25"/>
        <v>45178</v>
      </c>
      <c r="C161" s="100">
        <v>0</v>
      </c>
      <c r="D161" s="100">
        <v>0</v>
      </c>
      <c r="E161" s="100">
        <v>0</v>
      </c>
      <c r="F161" s="100">
        <v>0</v>
      </c>
      <c r="G161" s="100">
        <v>0</v>
      </c>
      <c r="H161" s="258">
        <f t="shared" si="22"/>
        <v>0</v>
      </c>
      <c r="J161" s="551">
        <f t="shared" si="24"/>
        <v>45178</v>
      </c>
      <c r="K161" s="100">
        <v>0.25</v>
      </c>
      <c r="L161" s="100">
        <v>0</v>
      </c>
      <c r="M161" s="100">
        <v>0.15</v>
      </c>
      <c r="N161" s="100">
        <v>0</v>
      </c>
      <c r="O161" s="100">
        <v>0.1</v>
      </c>
      <c r="P161" s="258">
        <f t="shared" si="23"/>
        <v>0</v>
      </c>
    </row>
    <row r="162" spans="2:16">
      <c r="B162" s="553">
        <f t="shared" si="25"/>
        <v>45179</v>
      </c>
      <c r="C162" s="100">
        <v>0</v>
      </c>
      <c r="D162" s="100">
        <v>0</v>
      </c>
      <c r="E162" s="100">
        <v>0</v>
      </c>
      <c r="F162" s="100">
        <v>0</v>
      </c>
      <c r="G162" s="100">
        <v>0</v>
      </c>
      <c r="H162" s="258">
        <f t="shared" si="22"/>
        <v>0</v>
      </c>
      <c r="J162" s="551">
        <f t="shared" si="24"/>
        <v>45179</v>
      </c>
      <c r="K162" s="100">
        <v>0.05</v>
      </c>
      <c r="L162" s="100">
        <v>0</v>
      </c>
      <c r="M162" s="100">
        <v>0.3</v>
      </c>
      <c r="N162" s="100">
        <v>0.05</v>
      </c>
      <c r="O162" s="100">
        <v>0</v>
      </c>
      <c r="P162" s="258">
        <f t="shared" si="23"/>
        <v>0</v>
      </c>
    </row>
    <row r="163" spans="2:16">
      <c r="B163" s="553">
        <f t="shared" si="25"/>
        <v>45180</v>
      </c>
      <c r="C163" s="100">
        <v>0</v>
      </c>
      <c r="D163" s="100">
        <v>0</v>
      </c>
      <c r="E163" s="100">
        <v>0</v>
      </c>
      <c r="F163" s="100">
        <v>0</v>
      </c>
      <c r="G163" s="100">
        <v>0</v>
      </c>
      <c r="H163" s="258">
        <f t="shared" si="22"/>
        <v>0</v>
      </c>
      <c r="J163" s="551">
        <f t="shared" si="24"/>
        <v>45180</v>
      </c>
      <c r="K163" s="100">
        <v>0</v>
      </c>
      <c r="L163" s="100">
        <v>0.1</v>
      </c>
      <c r="M163" s="100">
        <v>0.25</v>
      </c>
      <c r="N163" s="100">
        <v>0.1</v>
      </c>
      <c r="O163" s="100">
        <v>0.05</v>
      </c>
      <c r="P163" s="258">
        <f t="shared" si="23"/>
        <v>0</v>
      </c>
    </row>
    <row r="164" spans="2:16">
      <c r="B164" s="553">
        <f t="shared" si="25"/>
        <v>45181</v>
      </c>
      <c r="C164" s="100">
        <v>0</v>
      </c>
      <c r="D164" s="100">
        <v>0</v>
      </c>
      <c r="E164" s="100">
        <v>0</v>
      </c>
      <c r="F164" s="100">
        <v>0</v>
      </c>
      <c r="G164" s="100">
        <v>0</v>
      </c>
      <c r="H164" s="258">
        <f t="shared" si="22"/>
        <v>0</v>
      </c>
      <c r="J164" s="551">
        <f t="shared" si="24"/>
        <v>45181</v>
      </c>
      <c r="K164" s="100">
        <v>0.3</v>
      </c>
      <c r="L164" s="100">
        <v>0.15</v>
      </c>
      <c r="M164" s="100">
        <v>0.2</v>
      </c>
      <c r="N164" s="100">
        <v>0.05</v>
      </c>
      <c r="O164" s="100">
        <v>0.4</v>
      </c>
      <c r="P164" s="258">
        <f t="shared" si="23"/>
        <v>0</v>
      </c>
    </row>
    <row r="165" spans="2:16">
      <c r="B165" s="553">
        <f t="shared" si="25"/>
        <v>45182</v>
      </c>
      <c r="C165" s="100">
        <v>0</v>
      </c>
      <c r="D165" s="100">
        <v>0</v>
      </c>
      <c r="E165" s="100">
        <v>0</v>
      </c>
      <c r="F165" s="100">
        <v>0</v>
      </c>
      <c r="G165" s="100">
        <v>0</v>
      </c>
      <c r="H165" s="258">
        <f t="shared" si="22"/>
        <v>0</v>
      </c>
      <c r="J165" s="551">
        <f t="shared" si="24"/>
        <v>45182</v>
      </c>
      <c r="K165" s="100">
        <v>0.65</v>
      </c>
      <c r="L165" s="100">
        <v>0.4</v>
      </c>
      <c r="M165" s="100">
        <v>0.95</v>
      </c>
      <c r="N165" s="100">
        <v>0.35</v>
      </c>
      <c r="O165" s="100">
        <v>0.65</v>
      </c>
      <c r="P165" s="258">
        <f t="shared" si="23"/>
        <v>1</v>
      </c>
    </row>
    <row r="166" spans="2:16">
      <c r="B166" s="553">
        <f t="shared" si="25"/>
        <v>45183</v>
      </c>
      <c r="C166" s="100">
        <v>0</v>
      </c>
      <c r="D166" s="100">
        <v>0</v>
      </c>
      <c r="E166" s="100">
        <v>0</v>
      </c>
      <c r="F166" s="100">
        <v>0</v>
      </c>
      <c r="G166" s="100">
        <v>0</v>
      </c>
      <c r="H166" s="258">
        <f t="shared" si="22"/>
        <v>0</v>
      </c>
      <c r="J166" s="551">
        <f t="shared" si="24"/>
        <v>45183</v>
      </c>
      <c r="K166" s="100">
        <v>0.45</v>
      </c>
      <c r="L166" s="100">
        <v>0.05</v>
      </c>
      <c r="M166" s="100">
        <v>0.75</v>
      </c>
      <c r="N166" s="100">
        <v>0.2</v>
      </c>
      <c r="O166" s="100">
        <v>0.2</v>
      </c>
      <c r="P166" s="258">
        <f t="shared" si="23"/>
        <v>0</v>
      </c>
    </row>
    <row r="167" spans="2:16">
      <c r="B167" s="553">
        <f t="shared" si="25"/>
        <v>45184</v>
      </c>
      <c r="C167" s="100">
        <v>0</v>
      </c>
      <c r="D167" s="100">
        <v>0</v>
      </c>
      <c r="E167" s="100">
        <v>0</v>
      </c>
      <c r="F167" s="100">
        <v>0</v>
      </c>
      <c r="G167" s="100">
        <v>0</v>
      </c>
      <c r="H167" s="258">
        <f t="shared" si="22"/>
        <v>0</v>
      </c>
      <c r="J167" s="551">
        <f t="shared" si="24"/>
        <v>45184</v>
      </c>
      <c r="K167" s="100">
        <v>0.7</v>
      </c>
      <c r="L167" s="100">
        <v>0.2</v>
      </c>
      <c r="M167" s="100">
        <v>0.95</v>
      </c>
      <c r="N167" s="100">
        <v>0.4</v>
      </c>
      <c r="O167" s="100">
        <v>0.75</v>
      </c>
      <c r="P167" s="258">
        <f t="shared" si="23"/>
        <v>1</v>
      </c>
    </row>
    <row r="168" spans="2:16">
      <c r="B168" s="553">
        <f t="shared" si="25"/>
        <v>45185</v>
      </c>
      <c r="C168" s="100">
        <v>0</v>
      </c>
      <c r="D168" s="100">
        <v>0</v>
      </c>
      <c r="E168" s="100">
        <v>0</v>
      </c>
      <c r="F168" s="100">
        <v>0</v>
      </c>
      <c r="G168" s="100">
        <v>0</v>
      </c>
      <c r="H168" s="258">
        <f t="shared" si="22"/>
        <v>0</v>
      </c>
      <c r="J168" s="551">
        <f t="shared" si="24"/>
        <v>45185</v>
      </c>
      <c r="K168" s="100">
        <v>0.6</v>
      </c>
      <c r="L168" s="100">
        <v>0.15</v>
      </c>
      <c r="M168" s="100">
        <v>1</v>
      </c>
      <c r="N168" s="100">
        <v>0.25</v>
      </c>
      <c r="O168" s="100">
        <v>0.4</v>
      </c>
      <c r="P168" s="258">
        <f t="shared" si="23"/>
        <v>0</v>
      </c>
    </row>
    <row r="169" spans="2:16">
      <c r="B169" s="553">
        <f t="shared" si="25"/>
        <v>45186</v>
      </c>
      <c r="C169" s="100">
        <v>0</v>
      </c>
      <c r="D169" s="100">
        <v>0</v>
      </c>
      <c r="E169" s="100">
        <v>0</v>
      </c>
      <c r="F169" s="100">
        <v>0</v>
      </c>
      <c r="G169" s="100">
        <v>0</v>
      </c>
      <c r="H169" s="258">
        <f t="shared" si="22"/>
        <v>0</v>
      </c>
      <c r="J169" s="551">
        <f t="shared" si="24"/>
        <v>45186</v>
      </c>
      <c r="K169" s="100">
        <v>0.35</v>
      </c>
      <c r="L169" s="100">
        <v>0</v>
      </c>
      <c r="M169" s="100">
        <v>0.55000000000000004</v>
      </c>
      <c r="N169" s="100">
        <v>0.1</v>
      </c>
      <c r="O169" s="100">
        <v>0.4</v>
      </c>
      <c r="P169" s="258">
        <f t="shared" si="23"/>
        <v>0</v>
      </c>
    </row>
    <row r="170" spans="2:16">
      <c r="B170" s="553">
        <f t="shared" si="25"/>
        <v>45187</v>
      </c>
      <c r="C170" s="100">
        <v>0</v>
      </c>
      <c r="D170" s="100">
        <v>0</v>
      </c>
      <c r="E170" s="100">
        <v>0</v>
      </c>
      <c r="F170" s="100">
        <v>0</v>
      </c>
      <c r="G170" s="100">
        <v>0</v>
      </c>
      <c r="H170" s="258">
        <f t="shared" si="22"/>
        <v>0</v>
      </c>
      <c r="J170" s="551">
        <f t="shared" si="24"/>
        <v>45187</v>
      </c>
      <c r="K170" s="100">
        <v>0.4</v>
      </c>
      <c r="L170" s="100">
        <v>0.15</v>
      </c>
      <c r="M170" s="100">
        <v>0.8</v>
      </c>
      <c r="N170" s="100">
        <v>0.1</v>
      </c>
      <c r="O170" s="100">
        <v>0.5</v>
      </c>
      <c r="P170" s="258">
        <f t="shared" si="23"/>
        <v>0</v>
      </c>
    </row>
    <row r="171" spans="2:16">
      <c r="B171" s="553">
        <f t="shared" si="25"/>
        <v>45188</v>
      </c>
      <c r="C171" s="100">
        <v>0</v>
      </c>
      <c r="D171" s="100">
        <v>0</v>
      </c>
      <c r="E171" s="100">
        <v>0</v>
      </c>
      <c r="F171" s="100">
        <v>0</v>
      </c>
      <c r="G171" s="100">
        <v>0</v>
      </c>
      <c r="H171" s="258">
        <f t="shared" si="22"/>
        <v>0</v>
      </c>
      <c r="J171" s="551">
        <f t="shared" si="24"/>
        <v>45188</v>
      </c>
      <c r="K171" s="100">
        <v>1</v>
      </c>
      <c r="L171" s="100">
        <v>0.25</v>
      </c>
      <c r="M171" s="100">
        <v>1.4</v>
      </c>
      <c r="N171" s="100">
        <v>0.7</v>
      </c>
      <c r="O171" s="100">
        <v>0.7</v>
      </c>
      <c r="P171" s="258">
        <f t="shared" si="23"/>
        <v>1</v>
      </c>
    </row>
    <row r="172" spans="2:16">
      <c r="B172" s="553">
        <f t="shared" si="25"/>
        <v>45189</v>
      </c>
      <c r="C172" s="100">
        <v>0</v>
      </c>
      <c r="D172" s="100">
        <v>0</v>
      </c>
      <c r="E172" s="100">
        <v>0</v>
      </c>
      <c r="F172" s="100">
        <v>0</v>
      </c>
      <c r="G172" s="100">
        <v>0</v>
      </c>
      <c r="H172" s="258">
        <f t="shared" si="22"/>
        <v>0</v>
      </c>
      <c r="J172" s="551">
        <f t="shared" si="24"/>
        <v>45189</v>
      </c>
      <c r="K172" s="100">
        <v>0.7</v>
      </c>
      <c r="L172" s="100">
        <v>0.2</v>
      </c>
      <c r="M172" s="100">
        <v>1.4</v>
      </c>
      <c r="N172" s="100">
        <v>0.75</v>
      </c>
      <c r="O172" s="100">
        <v>0.45</v>
      </c>
      <c r="P172" s="258">
        <f t="shared" si="23"/>
        <v>1</v>
      </c>
    </row>
    <row r="173" spans="2:16">
      <c r="B173" s="553">
        <f t="shared" si="25"/>
        <v>45190</v>
      </c>
      <c r="C173" s="100">
        <v>0</v>
      </c>
      <c r="D173" s="100">
        <v>0</v>
      </c>
      <c r="E173" s="100">
        <v>0</v>
      </c>
      <c r="F173" s="100">
        <v>0</v>
      </c>
      <c r="G173" s="100">
        <v>0</v>
      </c>
      <c r="H173" s="258">
        <f t="shared" si="22"/>
        <v>0</v>
      </c>
      <c r="J173" s="551">
        <f t="shared" si="24"/>
        <v>45190</v>
      </c>
      <c r="K173" s="100">
        <v>0.45</v>
      </c>
      <c r="L173" s="100">
        <v>0.05</v>
      </c>
      <c r="M173" s="100">
        <v>0.85</v>
      </c>
      <c r="N173" s="100">
        <v>0.35</v>
      </c>
      <c r="O173" s="100">
        <v>0.25</v>
      </c>
      <c r="P173" s="258">
        <f t="shared" si="23"/>
        <v>0</v>
      </c>
    </row>
    <row r="174" spans="2:16">
      <c r="B174" s="553">
        <f t="shared" si="25"/>
        <v>45191</v>
      </c>
      <c r="C174" s="100">
        <v>0</v>
      </c>
      <c r="D174" s="100">
        <v>0</v>
      </c>
      <c r="E174" s="100">
        <v>0</v>
      </c>
      <c r="F174" s="100">
        <v>0</v>
      </c>
      <c r="G174" s="100">
        <v>0</v>
      </c>
      <c r="H174" s="258">
        <f t="shared" si="22"/>
        <v>0</v>
      </c>
      <c r="J174" s="551">
        <f t="shared" si="24"/>
        <v>45191</v>
      </c>
      <c r="K174" s="100">
        <v>1.1000000000000001</v>
      </c>
      <c r="L174" s="100">
        <v>0.25</v>
      </c>
      <c r="M174" s="100">
        <v>1.45</v>
      </c>
      <c r="N174" s="100">
        <v>0.45</v>
      </c>
      <c r="O174" s="100">
        <v>0.65</v>
      </c>
      <c r="P174" s="258">
        <f t="shared" si="23"/>
        <v>1</v>
      </c>
    </row>
    <row r="175" spans="2:16">
      <c r="B175" s="553">
        <f t="shared" si="25"/>
        <v>45192</v>
      </c>
      <c r="C175" s="100">
        <v>0</v>
      </c>
      <c r="D175" s="100">
        <v>0</v>
      </c>
      <c r="E175" s="100">
        <v>0</v>
      </c>
      <c r="F175" s="100">
        <v>0</v>
      </c>
      <c r="G175" s="100">
        <v>0</v>
      </c>
      <c r="H175" s="258">
        <f t="shared" si="22"/>
        <v>0</v>
      </c>
      <c r="J175" s="551">
        <f t="shared" si="24"/>
        <v>45192</v>
      </c>
      <c r="K175" s="100">
        <v>1.9</v>
      </c>
      <c r="L175" s="100">
        <v>0.65</v>
      </c>
      <c r="M175" s="100">
        <v>2.7</v>
      </c>
      <c r="N175" s="100">
        <v>1.2</v>
      </c>
      <c r="O175" s="100">
        <v>1.35</v>
      </c>
      <c r="P175" s="258">
        <f t="shared" si="23"/>
        <v>1</v>
      </c>
    </row>
    <row r="176" spans="2:16">
      <c r="B176" s="553">
        <f t="shared" si="25"/>
        <v>45193</v>
      </c>
      <c r="C176" s="100">
        <v>0</v>
      </c>
      <c r="D176" s="100">
        <v>0</v>
      </c>
      <c r="E176" s="100">
        <v>0</v>
      </c>
      <c r="F176" s="100">
        <v>0</v>
      </c>
      <c r="G176" s="100">
        <v>0</v>
      </c>
      <c r="H176" s="258">
        <f t="shared" si="22"/>
        <v>0</v>
      </c>
      <c r="J176" s="551">
        <f t="shared" si="24"/>
        <v>45193</v>
      </c>
      <c r="K176" s="100">
        <v>1</v>
      </c>
      <c r="L176" s="100">
        <v>0.6</v>
      </c>
      <c r="M176" s="100">
        <v>1.45</v>
      </c>
      <c r="N176" s="100">
        <v>0.75</v>
      </c>
      <c r="O176" s="100">
        <v>0.75</v>
      </c>
      <c r="P176" s="258">
        <f t="shared" si="23"/>
        <v>1</v>
      </c>
    </row>
    <row r="177" spans="2:16">
      <c r="B177" s="553">
        <f t="shared" si="25"/>
        <v>45194</v>
      </c>
      <c r="C177" s="100">
        <v>0</v>
      </c>
      <c r="D177" s="100">
        <v>0</v>
      </c>
      <c r="E177" s="100">
        <v>0</v>
      </c>
      <c r="F177" s="100">
        <v>0</v>
      </c>
      <c r="G177" s="100">
        <v>0</v>
      </c>
      <c r="H177" s="258">
        <f t="shared" si="22"/>
        <v>0</v>
      </c>
      <c r="J177" s="551">
        <f t="shared" si="24"/>
        <v>45194</v>
      </c>
      <c r="K177" s="100">
        <v>0.6</v>
      </c>
      <c r="L177" s="100">
        <v>0</v>
      </c>
      <c r="M177" s="100">
        <v>0.75</v>
      </c>
      <c r="N177" s="100">
        <v>0.1</v>
      </c>
      <c r="O177" s="100">
        <v>0.55000000000000004</v>
      </c>
      <c r="P177" s="258">
        <f t="shared" si="23"/>
        <v>0</v>
      </c>
    </row>
    <row r="178" spans="2:16">
      <c r="B178" s="553">
        <f t="shared" si="25"/>
        <v>45195</v>
      </c>
      <c r="C178" s="100">
        <v>0</v>
      </c>
      <c r="D178" s="100">
        <v>0</v>
      </c>
      <c r="E178" s="100">
        <v>0</v>
      </c>
      <c r="F178" s="100">
        <v>0</v>
      </c>
      <c r="G178" s="100">
        <v>0</v>
      </c>
      <c r="H178" s="258">
        <f t="shared" si="22"/>
        <v>0</v>
      </c>
      <c r="J178" s="551">
        <f t="shared" si="24"/>
        <v>45195</v>
      </c>
      <c r="K178" s="100">
        <v>0.75</v>
      </c>
      <c r="L178" s="100">
        <v>0.05</v>
      </c>
      <c r="M178" s="100">
        <v>1.05</v>
      </c>
      <c r="N178" s="100">
        <v>0.2</v>
      </c>
      <c r="O178" s="100">
        <v>0.7</v>
      </c>
      <c r="P178" s="258">
        <f t="shared" si="23"/>
        <v>1</v>
      </c>
    </row>
    <row r="179" spans="2:16">
      <c r="B179" s="553">
        <f t="shared" si="25"/>
        <v>45196</v>
      </c>
      <c r="C179" s="100">
        <v>0</v>
      </c>
      <c r="D179" s="100">
        <v>0</v>
      </c>
      <c r="E179" s="100">
        <v>0</v>
      </c>
      <c r="F179" s="100">
        <v>0</v>
      </c>
      <c r="G179" s="100">
        <v>0</v>
      </c>
      <c r="H179" s="258">
        <f t="shared" si="22"/>
        <v>0</v>
      </c>
      <c r="J179" s="551">
        <f t="shared" si="24"/>
        <v>45196</v>
      </c>
      <c r="K179" s="100">
        <v>0.9</v>
      </c>
      <c r="L179" s="100">
        <v>0.45</v>
      </c>
      <c r="M179" s="100">
        <v>1.6</v>
      </c>
      <c r="N179" s="100">
        <v>0.6</v>
      </c>
      <c r="O179" s="100">
        <v>0.95</v>
      </c>
      <c r="P179" s="258">
        <f t="shared" si="23"/>
        <v>1</v>
      </c>
    </row>
    <row r="180" spans="2:16">
      <c r="B180" s="553">
        <f t="shared" si="25"/>
        <v>45197</v>
      </c>
      <c r="C180" s="100">
        <v>0</v>
      </c>
      <c r="D180" s="100">
        <v>0</v>
      </c>
      <c r="E180" s="100">
        <v>0</v>
      </c>
      <c r="F180" s="100">
        <v>0</v>
      </c>
      <c r="G180" s="100">
        <v>0</v>
      </c>
      <c r="H180" s="258">
        <f t="shared" si="22"/>
        <v>0</v>
      </c>
      <c r="J180" s="551">
        <f t="shared" si="24"/>
        <v>45197</v>
      </c>
      <c r="K180" s="100">
        <v>1.85</v>
      </c>
      <c r="L180" s="100">
        <v>0.75</v>
      </c>
      <c r="M180" s="100">
        <v>2.25</v>
      </c>
      <c r="N180" s="100">
        <v>1.35</v>
      </c>
      <c r="O180" s="100">
        <v>1.5</v>
      </c>
      <c r="P180" s="258">
        <f t="shared" si="23"/>
        <v>2</v>
      </c>
    </row>
    <row r="181" spans="2:16">
      <c r="B181" s="553">
        <f t="shared" si="25"/>
        <v>45198</v>
      </c>
      <c r="C181" s="100">
        <v>0</v>
      </c>
      <c r="D181" s="100">
        <v>0</v>
      </c>
      <c r="E181" s="100">
        <v>0</v>
      </c>
      <c r="F181" s="100">
        <v>0</v>
      </c>
      <c r="G181" s="100">
        <v>0</v>
      </c>
      <c r="H181" s="258">
        <f t="shared" si="22"/>
        <v>0</v>
      </c>
      <c r="J181" s="551">
        <f t="shared" si="24"/>
        <v>45198</v>
      </c>
      <c r="K181" s="100">
        <v>2.85</v>
      </c>
      <c r="L181" s="100">
        <v>1.45</v>
      </c>
      <c r="M181" s="100">
        <v>3.95</v>
      </c>
      <c r="N181" s="100">
        <v>2.4</v>
      </c>
      <c r="O181" s="100">
        <v>2.8</v>
      </c>
      <c r="P181" s="258">
        <f t="shared" si="23"/>
        <v>3</v>
      </c>
    </row>
    <row r="182" spans="2:16">
      <c r="B182" s="553">
        <f t="shared" si="25"/>
        <v>45199</v>
      </c>
      <c r="C182" s="100">
        <v>0</v>
      </c>
      <c r="D182" s="100">
        <v>0</v>
      </c>
      <c r="E182" s="100">
        <v>0</v>
      </c>
      <c r="F182" s="100">
        <v>0</v>
      </c>
      <c r="G182" s="100">
        <v>0</v>
      </c>
      <c r="H182" s="258">
        <f t="shared" si="22"/>
        <v>0</v>
      </c>
      <c r="J182" s="551">
        <f t="shared" si="24"/>
        <v>45199</v>
      </c>
      <c r="K182" s="100">
        <v>2.2999999999999998</v>
      </c>
      <c r="L182" s="100">
        <v>1.2</v>
      </c>
      <c r="M182" s="100">
        <v>3.3</v>
      </c>
      <c r="N182" s="100">
        <v>1.85</v>
      </c>
      <c r="O182" s="100">
        <v>1.7</v>
      </c>
      <c r="P182" s="258">
        <f t="shared" si="23"/>
        <v>2</v>
      </c>
    </row>
    <row r="183" spans="2:16">
      <c r="B183" s="553">
        <f t="shared" si="25"/>
        <v>45200</v>
      </c>
      <c r="C183" s="100">
        <v>0</v>
      </c>
      <c r="D183" s="100">
        <v>0</v>
      </c>
      <c r="E183" s="100">
        <v>0</v>
      </c>
      <c r="F183" s="100">
        <v>0</v>
      </c>
      <c r="G183" s="100">
        <v>0</v>
      </c>
      <c r="H183" s="258">
        <f t="shared" si="22"/>
        <v>0</v>
      </c>
      <c r="J183" s="551">
        <f t="shared" si="24"/>
        <v>45200</v>
      </c>
      <c r="K183" s="100">
        <v>2.5499999999999998</v>
      </c>
      <c r="L183" s="100">
        <v>1.3</v>
      </c>
      <c r="M183" s="100">
        <v>3.7</v>
      </c>
      <c r="N183" s="100">
        <v>1.9</v>
      </c>
      <c r="O183" s="100">
        <v>2</v>
      </c>
      <c r="P183" s="258">
        <f t="shared" si="23"/>
        <v>2</v>
      </c>
    </row>
    <row r="184" spans="2:16">
      <c r="B184" s="553">
        <f t="shared" si="25"/>
        <v>45201</v>
      </c>
      <c r="C184" s="100">
        <v>0</v>
      </c>
      <c r="D184" s="100">
        <v>0</v>
      </c>
      <c r="E184" s="100">
        <v>0</v>
      </c>
      <c r="F184" s="100">
        <v>0</v>
      </c>
      <c r="G184" s="100">
        <v>0</v>
      </c>
      <c r="H184" s="258">
        <f t="shared" si="22"/>
        <v>0</v>
      </c>
      <c r="J184" s="551">
        <f t="shared" si="24"/>
        <v>45201</v>
      </c>
      <c r="K184" s="100">
        <v>3.45</v>
      </c>
      <c r="L184" s="100">
        <v>2.15</v>
      </c>
      <c r="M184" s="100">
        <v>3.85</v>
      </c>
      <c r="N184" s="100">
        <v>2.35</v>
      </c>
      <c r="O184" s="100">
        <v>3.2</v>
      </c>
      <c r="P184" s="258">
        <f t="shared" si="23"/>
        <v>3</v>
      </c>
    </row>
    <row r="185" spans="2:16">
      <c r="B185" s="553">
        <f t="shared" si="25"/>
        <v>45202</v>
      </c>
      <c r="C185" s="100">
        <v>0</v>
      </c>
      <c r="D185" s="100">
        <v>0</v>
      </c>
      <c r="E185" s="100">
        <v>0</v>
      </c>
      <c r="F185" s="100">
        <v>0</v>
      </c>
      <c r="G185" s="100">
        <v>0</v>
      </c>
      <c r="H185" s="258">
        <f t="shared" si="22"/>
        <v>0</v>
      </c>
      <c r="J185" s="551">
        <f t="shared" si="24"/>
        <v>45202</v>
      </c>
      <c r="K185" s="100">
        <v>4.0999999999999996</v>
      </c>
      <c r="L185" s="100">
        <v>2.65</v>
      </c>
      <c r="M185" s="100">
        <v>4.5</v>
      </c>
      <c r="N185" s="100">
        <v>2.8</v>
      </c>
      <c r="O185" s="100">
        <v>3.8</v>
      </c>
      <c r="P185" s="258">
        <f t="shared" si="23"/>
        <v>4</v>
      </c>
    </row>
    <row r="186" spans="2:16">
      <c r="B186" s="553">
        <f t="shared" si="25"/>
        <v>45203</v>
      </c>
      <c r="C186" s="100">
        <v>0</v>
      </c>
      <c r="D186" s="100">
        <v>0</v>
      </c>
      <c r="E186" s="100">
        <v>0</v>
      </c>
      <c r="F186" s="100">
        <v>0</v>
      </c>
      <c r="G186" s="100">
        <v>0</v>
      </c>
      <c r="H186" s="258">
        <f t="shared" si="22"/>
        <v>0</v>
      </c>
      <c r="J186" s="551">
        <f t="shared" si="24"/>
        <v>45203</v>
      </c>
      <c r="K186" s="100">
        <v>3.6</v>
      </c>
      <c r="L186" s="100">
        <v>2.35</v>
      </c>
      <c r="M186" s="100">
        <v>3.6</v>
      </c>
      <c r="N186" s="100">
        <v>2.35</v>
      </c>
      <c r="O186" s="100">
        <v>3.9</v>
      </c>
      <c r="P186" s="258">
        <f t="shared" si="23"/>
        <v>3</v>
      </c>
    </row>
    <row r="187" spans="2:16">
      <c r="B187" s="553">
        <f t="shared" si="25"/>
        <v>45204</v>
      </c>
      <c r="C187" s="100">
        <v>0</v>
      </c>
      <c r="D187" s="100">
        <v>0</v>
      </c>
      <c r="E187" s="100">
        <v>0</v>
      </c>
      <c r="F187" s="100">
        <v>0</v>
      </c>
      <c r="G187" s="100">
        <v>0</v>
      </c>
      <c r="H187" s="258">
        <f t="shared" si="22"/>
        <v>0</v>
      </c>
      <c r="J187" s="551">
        <f t="shared" si="24"/>
        <v>45204</v>
      </c>
      <c r="K187" s="100">
        <v>3.8</v>
      </c>
      <c r="L187" s="100">
        <v>1.85</v>
      </c>
      <c r="M187" s="100">
        <v>3.7</v>
      </c>
      <c r="N187" s="100">
        <v>2.5</v>
      </c>
      <c r="O187" s="100">
        <v>3.45</v>
      </c>
      <c r="P187" s="258">
        <f t="shared" si="23"/>
        <v>3</v>
      </c>
    </row>
    <row r="188" spans="2:16">
      <c r="B188" s="553">
        <f t="shared" si="25"/>
        <v>45205</v>
      </c>
      <c r="C188" s="100">
        <v>3</v>
      </c>
      <c r="D188" s="100">
        <v>0</v>
      </c>
      <c r="E188" s="100">
        <v>0</v>
      </c>
      <c r="F188" s="100">
        <v>0</v>
      </c>
      <c r="G188" s="100">
        <v>2</v>
      </c>
      <c r="H188" s="258">
        <f t="shared" si="22"/>
        <v>1</v>
      </c>
      <c r="J188" s="551">
        <f t="shared" si="24"/>
        <v>45205</v>
      </c>
      <c r="K188" s="100">
        <v>3.55</v>
      </c>
      <c r="L188" s="100">
        <v>1.5</v>
      </c>
      <c r="M188" s="100">
        <v>3.85</v>
      </c>
      <c r="N188" s="100">
        <v>2.5</v>
      </c>
      <c r="O188" s="100">
        <v>3.15</v>
      </c>
      <c r="P188" s="258">
        <f t="shared" si="23"/>
        <v>3</v>
      </c>
    </row>
    <row r="189" spans="2:16">
      <c r="B189" s="553">
        <f t="shared" si="25"/>
        <v>45206</v>
      </c>
      <c r="C189" s="100">
        <v>11</v>
      </c>
      <c r="D189" s="100">
        <v>9</v>
      </c>
      <c r="E189" s="100">
        <v>11</v>
      </c>
      <c r="F189" s="100">
        <v>9</v>
      </c>
      <c r="G189" s="100">
        <v>11</v>
      </c>
      <c r="H189" s="258">
        <f t="shared" si="22"/>
        <v>10</v>
      </c>
      <c r="J189" s="551">
        <f t="shared" si="24"/>
        <v>45206</v>
      </c>
      <c r="K189" s="100">
        <v>3.9</v>
      </c>
      <c r="L189" s="100">
        <v>2.4</v>
      </c>
      <c r="M189" s="100">
        <v>4.45</v>
      </c>
      <c r="N189" s="100">
        <v>3.3</v>
      </c>
      <c r="O189" s="100">
        <v>3.3</v>
      </c>
      <c r="P189" s="258">
        <f t="shared" si="23"/>
        <v>3</v>
      </c>
    </row>
    <row r="190" spans="2:16">
      <c r="B190" s="553">
        <f t="shared" si="25"/>
        <v>45207</v>
      </c>
      <c r="C190" s="100">
        <v>11</v>
      </c>
      <c r="D190" s="100">
        <v>9</v>
      </c>
      <c r="E190" s="100">
        <v>13</v>
      </c>
      <c r="F190" s="100">
        <v>8</v>
      </c>
      <c r="G190" s="100">
        <v>11</v>
      </c>
      <c r="H190" s="258">
        <f t="shared" si="22"/>
        <v>11</v>
      </c>
      <c r="J190" s="551">
        <f t="shared" si="24"/>
        <v>45207</v>
      </c>
      <c r="K190" s="100">
        <v>4.4000000000000004</v>
      </c>
      <c r="L190" s="100">
        <v>2.25</v>
      </c>
      <c r="M190" s="100">
        <v>4.9000000000000004</v>
      </c>
      <c r="N190" s="100">
        <v>3.3</v>
      </c>
      <c r="O190" s="100">
        <v>4.05</v>
      </c>
      <c r="P190" s="258">
        <f t="shared" si="23"/>
        <v>4</v>
      </c>
    </row>
    <row r="191" spans="2:16">
      <c r="B191" s="553">
        <f t="shared" si="25"/>
        <v>45208</v>
      </c>
      <c r="C191" s="100">
        <v>7</v>
      </c>
      <c r="D191" s="100">
        <v>4</v>
      </c>
      <c r="E191" s="100">
        <v>8</v>
      </c>
      <c r="F191" s="100">
        <v>4</v>
      </c>
      <c r="G191" s="100">
        <v>3</v>
      </c>
      <c r="H191" s="258">
        <f t="shared" si="22"/>
        <v>5</v>
      </c>
      <c r="J191" s="551">
        <f t="shared" si="24"/>
        <v>45208</v>
      </c>
      <c r="K191" s="100">
        <v>3.4</v>
      </c>
      <c r="L191" s="100">
        <v>1.95</v>
      </c>
      <c r="M191" s="100">
        <v>4.25</v>
      </c>
      <c r="N191" s="100">
        <v>3</v>
      </c>
      <c r="O191" s="100">
        <v>3.1</v>
      </c>
      <c r="P191" s="258">
        <f t="shared" si="23"/>
        <v>3</v>
      </c>
    </row>
    <row r="192" spans="2:16">
      <c r="B192" s="553">
        <f t="shared" si="25"/>
        <v>45209</v>
      </c>
      <c r="C192" s="100">
        <v>10</v>
      </c>
      <c r="D192" s="100">
        <v>1</v>
      </c>
      <c r="E192" s="100">
        <v>9</v>
      </c>
      <c r="F192" s="100">
        <v>8</v>
      </c>
      <c r="G192" s="100">
        <v>8</v>
      </c>
      <c r="H192" s="258">
        <f t="shared" si="22"/>
        <v>7</v>
      </c>
      <c r="J192" s="551">
        <f t="shared" si="24"/>
        <v>45209</v>
      </c>
      <c r="K192" s="100">
        <v>4.0999999999999996</v>
      </c>
      <c r="L192" s="100">
        <v>2</v>
      </c>
      <c r="M192" s="100">
        <v>4.55</v>
      </c>
      <c r="N192" s="100">
        <v>3.3</v>
      </c>
      <c r="O192" s="100">
        <v>3.75</v>
      </c>
      <c r="P192" s="258">
        <f t="shared" si="23"/>
        <v>4</v>
      </c>
    </row>
    <row r="193" spans="2:16">
      <c r="B193" s="553">
        <f t="shared" si="25"/>
        <v>45210</v>
      </c>
      <c r="C193" s="100">
        <v>6</v>
      </c>
      <c r="D193" s="100">
        <v>3</v>
      </c>
      <c r="E193" s="100">
        <v>11</v>
      </c>
      <c r="F193" s="100">
        <v>7</v>
      </c>
      <c r="G193" s="100">
        <v>4</v>
      </c>
      <c r="H193" s="258">
        <f t="shared" si="22"/>
        <v>5</v>
      </c>
      <c r="J193" s="551">
        <f t="shared" si="24"/>
        <v>45210</v>
      </c>
      <c r="K193" s="100">
        <v>5.4</v>
      </c>
      <c r="L193" s="100">
        <v>2.4500000000000002</v>
      </c>
      <c r="M193" s="100">
        <v>5.25</v>
      </c>
      <c r="N193" s="100">
        <v>3.75</v>
      </c>
      <c r="O193" s="100">
        <v>5.25</v>
      </c>
      <c r="P193" s="258">
        <f t="shared" si="23"/>
        <v>5</v>
      </c>
    </row>
    <row r="194" spans="2:16">
      <c r="B194" s="553">
        <f t="shared" si="25"/>
        <v>45211</v>
      </c>
      <c r="C194" s="100">
        <v>0</v>
      </c>
      <c r="D194" s="100">
        <v>0</v>
      </c>
      <c r="E194" s="100">
        <v>0</v>
      </c>
      <c r="F194" s="100">
        <v>0</v>
      </c>
      <c r="G194" s="100">
        <v>0</v>
      </c>
      <c r="H194" s="258">
        <f t="shared" si="22"/>
        <v>0</v>
      </c>
      <c r="J194" s="551">
        <f t="shared" si="24"/>
        <v>45211</v>
      </c>
      <c r="K194" s="100">
        <v>4.8499999999999996</v>
      </c>
      <c r="L194" s="100">
        <v>3.15</v>
      </c>
      <c r="M194" s="100">
        <v>5.05</v>
      </c>
      <c r="N194" s="100">
        <v>4.05</v>
      </c>
      <c r="O194" s="100">
        <v>4.55</v>
      </c>
      <c r="P194" s="258">
        <f t="shared" si="23"/>
        <v>4</v>
      </c>
    </row>
    <row r="195" spans="2:16">
      <c r="B195" s="553">
        <f t="shared" si="25"/>
        <v>45212</v>
      </c>
      <c r="C195" s="100">
        <v>0</v>
      </c>
      <c r="D195" s="100">
        <v>0</v>
      </c>
      <c r="E195" s="100">
        <v>0</v>
      </c>
      <c r="F195" s="100">
        <v>0</v>
      </c>
      <c r="G195" s="100">
        <v>0</v>
      </c>
      <c r="H195" s="258">
        <f t="shared" si="22"/>
        <v>0</v>
      </c>
      <c r="J195" s="551">
        <f t="shared" si="24"/>
        <v>45212</v>
      </c>
      <c r="K195" s="100">
        <v>6.2</v>
      </c>
      <c r="L195" s="100">
        <v>2.85</v>
      </c>
      <c r="M195" s="100">
        <v>6.65</v>
      </c>
      <c r="N195" s="100">
        <v>4.3</v>
      </c>
      <c r="O195" s="100">
        <v>5.3</v>
      </c>
      <c r="P195" s="258">
        <f t="shared" si="23"/>
        <v>5</v>
      </c>
    </row>
    <row r="196" spans="2:16">
      <c r="B196" s="553">
        <f t="shared" si="25"/>
        <v>45213</v>
      </c>
      <c r="C196" s="100">
        <v>8</v>
      </c>
      <c r="D196" s="100">
        <v>3</v>
      </c>
      <c r="E196" s="100">
        <v>6</v>
      </c>
      <c r="F196" s="100">
        <v>4</v>
      </c>
      <c r="G196" s="100">
        <v>7</v>
      </c>
      <c r="H196" s="258">
        <f t="shared" si="22"/>
        <v>6</v>
      </c>
      <c r="J196" s="551">
        <f t="shared" si="24"/>
        <v>45213</v>
      </c>
      <c r="K196" s="100">
        <v>6.4</v>
      </c>
      <c r="L196" s="100">
        <v>2.85</v>
      </c>
      <c r="M196" s="100">
        <v>6.1</v>
      </c>
      <c r="N196" s="100">
        <v>4.3499999999999996</v>
      </c>
      <c r="O196" s="100">
        <v>5.85</v>
      </c>
      <c r="P196" s="258">
        <f t="shared" si="23"/>
        <v>5</v>
      </c>
    </row>
    <row r="197" spans="2:16">
      <c r="B197" s="553">
        <f t="shared" si="25"/>
        <v>45214</v>
      </c>
      <c r="C197" s="100">
        <v>11</v>
      </c>
      <c r="D197" s="100">
        <v>10</v>
      </c>
      <c r="E197" s="100">
        <v>12</v>
      </c>
      <c r="F197" s="100">
        <v>8</v>
      </c>
      <c r="G197" s="100">
        <v>12</v>
      </c>
      <c r="H197" s="258">
        <f t="shared" si="22"/>
        <v>11</v>
      </c>
      <c r="J197" s="551">
        <f t="shared" si="24"/>
        <v>45214</v>
      </c>
      <c r="K197" s="100">
        <v>7.3</v>
      </c>
      <c r="L197" s="100">
        <v>3.75</v>
      </c>
      <c r="M197" s="100">
        <v>7.3</v>
      </c>
      <c r="N197" s="100">
        <v>5.3</v>
      </c>
      <c r="O197" s="100">
        <v>6.3</v>
      </c>
      <c r="P197" s="258">
        <f t="shared" si="23"/>
        <v>6</v>
      </c>
    </row>
    <row r="198" spans="2:16">
      <c r="B198" s="553">
        <f t="shared" si="25"/>
        <v>45215</v>
      </c>
      <c r="C198" s="100">
        <v>13</v>
      </c>
      <c r="D198" s="100">
        <v>11</v>
      </c>
      <c r="E198" s="100">
        <v>14</v>
      </c>
      <c r="F198" s="100">
        <v>12</v>
      </c>
      <c r="G198" s="100">
        <v>11</v>
      </c>
      <c r="H198" s="258">
        <f t="shared" si="22"/>
        <v>12</v>
      </c>
      <c r="J198" s="551">
        <f t="shared" si="24"/>
        <v>45215</v>
      </c>
      <c r="K198" s="100">
        <v>10</v>
      </c>
      <c r="L198" s="100">
        <v>7</v>
      </c>
      <c r="M198" s="100">
        <v>10.45</v>
      </c>
      <c r="N198" s="100">
        <v>8.0500000000000007</v>
      </c>
      <c r="O198" s="100">
        <v>9.25</v>
      </c>
      <c r="P198" s="258">
        <f t="shared" si="23"/>
        <v>9</v>
      </c>
    </row>
    <row r="199" spans="2:16">
      <c r="B199" s="553">
        <f t="shared" si="25"/>
        <v>45216</v>
      </c>
      <c r="C199" s="100">
        <v>10</v>
      </c>
      <c r="D199" s="100">
        <v>12</v>
      </c>
      <c r="E199" s="100">
        <v>11</v>
      </c>
      <c r="F199" s="100">
        <v>12</v>
      </c>
      <c r="G199" s="100">
        <v>10</v>
      </c>
      <c r="H199" s="258">
        <f t="shared" si="22"/>
        <v>11</v>
      </c>
      <c r="J199" s="551">
        <f t="shared" si="24"/>
        <v>45216</v>
      </c>
      <c r="K199" s="100">
        <v>9.4499999999999993</v>
      </c>
      <c r="L199" s="100">
        <v>7.3</v>
      </c>
      <c r="M199" s="100">
        <v>10.7</v>
      </c>
      <c r="N199" s="100">
        <v>8.1</v>
      </c>
      <c r="O199" s="100">
        <v>8.5500000000000007</v>
      </c>
      <c r="P199" s="258">
        <f t="shared" si="23"/>
        <v>9</v>
      </c>
    </row>
    <row r="200" spans="2:16">
      <c r="B200" s="553">
        <f t="shared" si="25"/>
        <v>45217</v>
      </c>
      <c r="C200" s="100">
        <v>7</v>
      </c>
      <c r="D200" s="100">
        <v>8</v>
      </c>
      <c r="E200" s="100">
        <v>9</v>
      </c>
      <c r="F200" s="100">
        <v>8</v>
      </c>
      <c r="G200" s="100">
        <v>5</v>
      </c>
      <c r="H200" s="258">
        <f t="shared" si="22"/>
        <v>7</v>
      </c>
      <c r="J200" s="551">
        <f t="shared" si="24"/>
        <v>45217</v>
      </c>
      <c r="K200" s="100">
        <v>9</v>
      </c>
      <c r="L200" s="100">
        <v>6.8</v>
      </c>
      <c r="M200" s="100">
        <v>10.1</v>
      </c>
      <c r="N200" s="100">
        <v>8.15</v>
      </c>
      <c r="O200" s="100">
        <v>8.5</v>
      </c>
      <c r="P200" s="258">
        <f t="shared" si="23"/>
        <v>8</v>
      </c>
    </row>
    <row r="201" spans="2:16">
      <c r="B201" s="553">
        <f t="shared" si="25"/>
        <v>45218</v>
      </c>
      <c r="C201" s="100">
        <v>1</v>
      </c>
      <c r="D201" s="100">
        <v>2</v>
      </c>
      <c r="E201" s="100">
        <v>3</v>
      </c>
      <c r="F201" s="100">
        <v>5</v>
      </c>
      <c r="G201" s="100">
        <v>0</v>
      </c>
      <c r="H201" s="258">
        <f t="shared" si="22"/>
        <v>1</v>
      </c>
      <c r="J201" s="551">
        <f t="shared" si="24"/>
        <v>45218</v>
      </c>
      <c r="K201" s="100">
        <v>9.75</v>
      </c>
      <c r="L201" s="100">
        <v>7.3</v>
      </c>
      <c r="M201" s="100">
        <v>9.65</v>
      </c>
      <c r="N201" s="100">
        <v>8.25</v>
      </c>
      <c r="O201" s="100">
        <v>9.25</v>
      </c>
      <c r="P201" s="258">
        <f t="shared" si="23"/>
        <v>9</v>
      </c>
    </row>
    <row r="202" spans="2:16">
      <c r="B202" s="553">
        <f t="shared" si="25"/>
        <v>45219</v>
      </c>
      <c r="C202" s="100">
        <v>8</v>
      </c>
      <c r="D202" s="100">
        <v>2</v>
      </c>
      <c r="E202" s="100">
        <v>9</v>
      </c>
      <c r="F202" s="100">
        <v>7</v>
      </c>
      <c r="G202" s="100">
        <v>5</v>
      </c>
      <c r="H202" s="258">
        <f t="shared" si="22"/>
        <v>6</v>
      </c>
      <c r="J202" s="551">
        <f t="shared" si="24"/>
        <v>45219</v>
      </c>
      <c r="K202" s="100">
        <v>8.4499999999999993</v>
      </c>
      <c r="L202" s="100">
        <v>6.6</v>
      </c>
      <c r="M202" s="100">
        <v>9.4499999999999993</v>
      </c>
      <c r="N202" s="100">
        <v>7.4</v>
      </c>
      <c r="O202" s="100">
        <v>7.4</v>
      </c>
      <c r="P202" s="258">
        <f t="shared" si="23"/>
        <v>8</v>
      </c>
    </row>
    <row r="203" spans="2:16">
      <c r="B203" s="553">
        <f t="shared" si="25"/>
        <v>45220</v>
      </c>
      <c r="C203" s="100">
        <v>4</v>
      </c>
      <c r="D203" s="100">
        <v>1</v>
      </c>
      <c r="E203" s="100">
        <v>8</v>
      </c>
      <c r="F203" s="100">
        <v>3</v>
      </c>
      <c r="G203" s="100">
        <v>1</v>
      </c>
      <c r="H203" s="258">
        <f t="shared" si="22"/>
        <v>3</v>
      </c>
      <c r="J203" s="551">
        <f t="shared" si="24"/>
        <v>45220</v>
      </c>
      <c r="K203" s="100">
        <v>7.9</v>
      </c>
      <c r="L203" s="100">
        <v>5.4</v>
      </c>
      <c r="M203" s="100">
        <v>9</v>
      </c>
      <c r="N203" s="100">
        <v>6.45</v>
      </c>
      <c r="O203" s="100">
        <v>6.3</v>
      </c>
      <c r="P203" s="258">
        <f t="shared" si="23"/>
        <v>7</v>
      </c>
    </row>
    <row r="204" spans="2:16">
      <c r="B204" s="553">
        <f t="shared" si="25"/>
        <v>45221</v>
      </c>
      <c r="C204" s="100">
        <v>11</v>
      </c>
      <c r="D204" s="100">
        <v>4</v>
      </c>
      <c r="E204" s="100">
        <v>12</v>
      </c>
      <c r="F204" s="100">
        <v>8</v>
      </c>
      <c r="G204" s="100">
        <v>7</v>
      </c>
      <c r="H204" s="258">
        <f t="shared" ref="H204:H267" si="26">IFERROR(ROUND((C204*C$70)+(D204*D$70)+(E204*E$70)+(F204*F$70)+(G204*G$70),0),0)</f>
        <v>8</v>
      </c>
      <c r="J204" s="551">
        <f t="shared" si="24"/>
        <v>45221</v>
      </c>
      <c r="K204" s="100">
        <v>8.9</v>
      </c>
      <c r="L204" s="100">
        <v>6</v>
      </c>
      <c r="M204" s="100">
        <v>9.6999999999999993</v>
      </c>
      <c r="N204" s="100">
        <v>7.45</v>
      </c>
      <c r="O204" s="100">
        <v>7.45</v>
      </c>
      <c r="P204" s="258">
        <f t="shared" ref="P204:P267" si="27">IFERROR(ROUND((K204*C$70)+(L204*D$70)+(M204*E$70)+(N204*F$70)+(O204*G$70),0),0)</f>
        <v>8</v>
      </c>
    </row>
    <row r="205" spans="2:16">
      <c r="B205" s="553">
        <f t="shared" si="25"/>
        <v>45222</v>
      </c>
      <c r="C205" s="100">
        <v>7</v>
      </c>
      <c r="D205" s="100">
        <v>2</v>
      </c>
      <c r="E205" s="100">
        <v>9</v>
      </c>
      <c r="F205" s="100">
        <v>7</v>
      </c>
      <c r="G205" s="100">
        <v>4</v>
      </c>
      <c r="H205" s="258">
        <f t="shared" si="26"/>
        <v>5</v>
      </c>
      <c r="J205" s="551">
        <f t="shared" ref="J205:J268" si="28">B205</f>
        <v>45222</v>
      </c>
      <c r="K205" s="100">
        <v>8.4499999999999993</v>
      </c>
      <c r="L205" s="100">
        <v>5.95</v>
      </c>
      <c r="M205" s="100">
        <v>8.9</v>
      </c>
      <c r="N205" s="100">
        <v>7.1</v>
      </c>
      <c r="O205" s="100">
        <v>7.75</v>
      </c>
      <c r="P205" s="258">
        <f t="shared" si="27"/>
        <v>8</v>
      </c>
    </row>
    <row r="206" spans="2:16">
      <c r="B206" s="553">
        <f t="shared" ref="B206:B269" si="29">B205+1</f>
        <v>45223</v>
      </c>
      <c r="C206" s="100">
        <v>0</v>
      </c>
      <c r="D206" s="100">
        <v>0</v>
      </c>
      <c r="E206" s="100">
        <v>0</v>
      </c>
      <c r="F206" s="100">
        <v>0</v>
      </c>
      <c r="G206" s="100">
        <v>0</v>
      </c>
      <c r="H206" s="258">
        <f t="shared" si="26"/>
        <v>0</v>
      </c>
      <c r="J206" s="551">
        <f t="shared" si="28"/>
        <v>45223</v>
      </c>
      <c r="K206" s="100">
        <v>9.25</v>
      </c>
      <c r="L206" s="100">
        <v>7.65</v>
      </c>
      <c r="M206" s="100">
        <v>10.050000000000001</v>
      </c>
      <c r="N206" s="100">
        <v>8.3000000000000007</v>
      </c>
      <c r="O206" s="100">
        <v>8.8000000000000007</v>
      </c>
      <c r="P206" s="258">
        <f t="shared" si="27"/>
        <v>9</v>
      </c>
    </row>
    <row r="207" spans="2:16">
      <c r="B207" s="553">
        <f t="shared" si="29"/>
        <v>45224</v>
      </c>
      <c r="C207" s="100">
        <v>0</v>
      </c>
      <c r="D207" s="100">
        <v>0</v>
      </c>
      <c r="E207" s="100">
        <v>0</v>
      </c>
      <c r="F207" s="100">
        <v>0</v>
      </c>
      <c r="G207" s="100">
        <v>0</v>
      </c>
      <c r="H207" s="258">
        <f t="shared" si="26"/>
        <v>0</v>
      </c>
      <c r="J207" s="551">
        <f t="shared" si="28"/>
        <v>45224</v>
      </c>
      <c r="K207" s="100">
        <v>10.15</v>
      </c>
      <c r="L207" s="100">
        <v>7.4</v>
      </c>
      <c r="M207" s="100">
        <v>11.45</v>
      </c>
      <c r="N207" s="100">
        <v>8.9</v>
      </c>
      <c r="O207" s="100">
        <v>9.4499999999999993</v>
      </c>
      <c r="P207" s="258">
        <f t="shared" si="27"/>
        <v>9</v>
      </c>
    </row>
    <row r="208" spans="2:16">
      <c r="B208" s="553">
        <f t="shared" si="29"/>
        <v>45225</v>
      </c>
      <c r="C208" s="100">
        <v>0</v>
      </c>
      <c r="D208" s="100">
        <v>0</v>
      </c>
      <c r="E208" s="100">
        <v>0</v>
      </c>
      <c r="F208" s="100">
        <v>0</v>
      </c>
      <c r="G208" s="100">
        <v>0</v>
      </c>
      <c r="H208" s="258">
        <f t="shared" si="26"/>
        <v>0</v>
      </c>
      <c r="J208" s="551">
        <f t="shared" si="28"/>
        <v>45225</v>
      </c>
      <c r="K208" s="100">
        <v>9.9499999999999993</v>
      </c>
      <c r="L208" s="100">
        <v>7.45</v>
      </c>
      <c r="M208" s="100">
        <v>10.3</v>
      </c>
      <c r="N208" s="100">
        <v>8.35</v>
      </c>
      <c r="O208" s="100">
        <v>8.0500000000000007</v>
      </c>
      <c r="P208" s="258">
        <f t="shared" si="27"/>
        <v>9</v>
      </c>
    </row>
    <row r="209" spans="2:16">
      <c r="B209" s="553">
        <f t="shared" si="29"/>
        <v>45226</v>
      </c>
      <c r="C209" s="100">
        <v>0</v>
      </c>
      <c r="D209" s="100">
        <v>0</v>
      </c>
      <c r="E209" s="100">
        <v>0</v>
      </c>
      <c r="F209" s="100">
        <v>0</v>
      </c>
      <c r="G209" s="100">
        <v>0</v>
      </c>
      <c r="H209" s="258">
        <f t="shared" si="26"/>
        <v>0</v>
      </c>
      <c r="J209" s="551">
        <f t="shared" si="28"/>
        <v>45226</v>
      </c>
      <c r="K209" s="100">
        <v>11.25</v>
      </c>
      <c r="L209" s="100">
        <v>7.85</v>
      </c>
      <c r="M209" s="100">
        <v>12.1</v>
      </c>
      <c r="N209" s="100">
        <v>10</v>
      </c>
      <c r="O209" s="100">
        <v>10.25</v>
      </c>
      <c r="P209" s="258">
        <f t="shared" si="27"/>
        <v>10</v>
      </c>
    </row>
    <row r="210" spans="2:16">
      <c r="B210" s="553">
        <f t="shared" si="29"/>
        <v>45227</v>
      </c>
      <c r="C210" s="100">
        <v>5</v>
      </c>
      <c r="D210" s="100">
        <v>0</v>
      </c>
      <c r="E210" s="100">
        <v>0</v>
      </c>
      <c r="F210" s="100">
        <v>2</v>
      </c>
      <c r="G210" s="100">
        <v>4</v>
      </c>
      <c r="H210" s="258">
        <f t="shared" si="26"/>
        <v>3</v>
      </c>
      <c r="J210" s="551">
        <f t="shared" si="28"/>
        <v>45227</v>
      </c>
      <c r="K210" s="100">
        <v>12.8</v>
      </c>
      <c r="L210" s="100">
        <v>8.65</v>
      </c>
      <c r="M210" s="100">
        <v>12.6</v>
      </c>
      <c r="N210" s="100">
        <v>10.85</v>
      </c>
      <c r="O210" s="100">
        <v>11.8</v>
      </c>
      <c r="P210" s="258">
        <f t="shared" si="27"/>
        <v>11</v>
      </c>
    </row>
    <row r="211" spans="2:16">
      <c r="B211" s="553">
        <f t="shared" si="29"/>
        <v>45228</v>
      </c>
      <c r="C211" s="100">
        <v>15</v>
      </c>
      <c r="D211" s="100">
        <v>0</v>
      </c>
      <c r="E211" s="100">
        <v>2</v>
      </c>
      <c r="F211" s="100">
        <v>7</v>
      </c>
      <c r="G211" s="100">
        <v>16</v>
      </c>
      <c r="H211" s="258">
        <f t="shared" si="26"/>
        <v>10</v>
      </c>
      <c r="J211" s="551">
        <f t="shared" si="28"/>
        <v>45228</v>
      </c>
      <c r="K211" s="100">
        <v>13.75</v>
      </c>
      <c r="L211" s="100">
        <v>9.85</v>
      </c>
      <c r="M211" s="100">
        <v>13.55</v>
      </c>
      <c r="N211" s="100">
        <v>11.85</v>
      </c>
      <c r="O211" s="100">
        <v>12.5</v>
      </c>
      <c r="P211" s="258">
        <f t="shared" si="27"/>
        <v>12</v>
      </c>
    </row>
    <row r="212" spans="2:16">
      <c r="B212" s="553">
        <f t="shared" si="29"/>
        <v>45229</v>
      </c>
      <c r="C212" s="100">
        <v>24</v>
      </c>
      <c r="D212" s="100">
        <v>17</v>
      </c>
      <c r="E212" s="100">
        <v>17</v>
      </c>
      <c r="F212" s="100">
        <v>20</v>
      </c>
      <c r="G212" s="100">
        <v>25</v>
      </c>
      <c r="H212" s="258">
        <f t="shared" si="26"/>
        <v>22</v>
      </c>
      <c r="J212" s="551">
        <f t="shared" si="28"/>
        <v>45229</v>
      </c>
      <c r="K212" s="100">
        <v>11.85</v>
      </c>
      <c r="L212" s="100">
        <v>9.1</v>
      </c>
      <c r="M212" s="100">
        <v>12.7</v>
      </c>
      <c r="N212" s="100">
        <v>10.65</v>
      </c>
      <c r="O212" s="100">
        <v>10.9</v>
      </c>
      <c r="P212" s="258">
        <f t="shared" si="27"/>
        <v>11</v>
      </c>
    </row>
    <row r="213" spans="2:16">
      <c r="B213" s="553">
        <f t="shared" si="29"/>
        <v>45230</v>
      </c>
      <c r="C213" s="100">
        <v>29</v>
      </c>
      <c r="D213" s="100">
        <v>22</v>
      </c>
      <c r="E213" s="100">
        <v>25</v>
      </c>
      <c r="F213" s="100">
        <v>25</v>
      </c>
      <c r="G213" s="100">
        <v>27</v>
      </c>
      <c r="H213" s="258">
        <f t="shared" si="26"/>
        <v>26</v>
      </c>
      <c r="J213" s="551">
        <f t="shared" si="28"/>
        <v>45230</v>
      </c>
      <c r="K213" s="100">
        <v>12.8</v>
      </c>
      <c r="L213" s="100">
        <v>8.85</v>
      </c>
      <c r="M213" s="100">
        <v>12</v>
      </c>
      <c r="N213" s="100">
        <v>10.6</v>
      </c>
      <c r="O213" s="100">
        <v>11.3</v>
      </c>
      <c r="P213" s="258">
        <f t="shared" si="27"/>
        <v>11</v>
      </c>
    </row>
    <row r="214" spans="2:16">
      <c r="B214" s="553">
        <f t="shared" si="29"/>
        <v>45231</v>
      </c>
      <c r="C214" s="100">
        <v>26</v>
      </c>
      <c r="D214" s="100">
        <v>24</v>
      </c>
      <c r="E214" s="100">
        <v>27</v>
      </c>
      <c r="F214" s="100">
        <v>25</v>
      </c>
      <c r="G214" s="100">
        <v>26</v>
      </c>
      <c r="H214" s="258">
        <f t="shared" si="26"/>
        <v>26</v>
      </c>
      <c r="J214" s="551">
        <f t="shared" si="28"/>
        <v>45231</v>
      </c>
      <c r="K214" s="100">
        <v>15.15</v>
      </c>
      <c r="L214" s="100">
        <v>10.75</v>
      </c>
      <c r="M214" s="100">
        <v>15.15</v>
      </c>
      <c r="N214" s="100">
        <v>12.55</v>
      </c>
      <c r="O214" s="100">
        <v>13.75</v>
      </c>
      <c r="P214" s="258">
        <f t="shared" si="27"/>
        <v>14</v>
      </c>
    </row>
    <row r="215" spans="2:16">
      <c r="B215" s="553">
        <f t="shared" si="29"/>
        <v>45232</v>
      </c>
      <c r="C215" s="100">
        <v>22</v>
      </c>
      <c r="D215" s="100">
        <v>20</v>
      </c>
      <c r="E215" s="100">
        <v>22</v>
      </c>
      <c r="F215" s="100">
        <v>20</v>
      </c>
      <c r="G215" s="100">
        <v>22</v>
      </c>
      <c r="H215" s="258">
        <f t="shared" si="26"/>
        <v>21</v>
      </c>
      <c r="J215" s="551">
        <f t="shared" si="28"/>
        <v>45232</v>
      </c>
      <c r="K215" s="100">
        <v>14.2</v>
      </c>
      <c r="L215" s="100">
        <v>11.4</v>
      </c>
      <c r="M215" s="100">
        <v>15.65</v>
      </c>
      <c r="N215" s="100">
        <v>12.7</v>
      </c>
      <c r="O215" s="100">
        <v>12.95</v>
      </c>
      <c r="P215" s="258">
        <f t="shared" si="27"/>
        <v>13</v>
      </c>
    </row>
    <row r="216" spans="2:16">
      <c r="B216" s="553">
        <f t="shared" si="29"/>
        <v>45233</v>
      </c>
      <c r="C216" s="100">
        <v>16</v>
      </c>
      <c r="D216" s="100">
        <v>13</v>
      </c>
      <c r="E216" s="100">
        <v>14</v>
      </c>
      <c r="F216" s="100">
        <v>13</v>
      </c>
      <c r="G216" s="100">
        <v>17</v>
      </c>
      <c r="H216" s="258">
        <f t="shared" si="26"/>
        <v>15</v>
      </c>
      <c r="J216" s="551">
        <f t="shared" si="28"/>
        <v>45233</v>
      </c>
      <c r="K216" s="100">
        <v>13.3</v>
      </c>
      <c r="L216" s="100">
        <v>10.75</v>
      </c>
      <c r="M216" s="100">
        <v>15.35</v>
      </c>
      <c r="N216" s="100">
        <v>12.1</v>
      </c>
      <c r="O216" s="100">
        <v>12.05</v>
      </c>
      <c r="P216" s="258">
        <f t="shared" si="27"/>
        <v>12</v>
      </c>
    </row>
    <row r="217" spans="2:16">
      <c r="B217" s="553">
        <f t="shared" si="29"/>
        <v>45234</v>
      </c>
      <c r="C217" s="100">
        <v>5</v>
      </c>
      <c r="D217" s="100">
        <v>7</v>
      </c>
      <c r="E217" s="100">
        <v>7</v>
      </c>
      <c r="F217" s="100">
        <v>4</v>
      </c>
      <c r="G217" s="100">
        <v>5</v>
      </c>
      <c r="H217" s="258">
        <f t="shared" si="26"/>
        <v>6</v>
      </c>
      <c r="J217" s="551">
        <f t="shared" si="28"/>
        <v>45234</v>
      </c>
      <c r="K217" s="100">
        <v>11</v>
      </c>
      <c r="L217" s="100">
        <v>9.35</v>
      </c>
      <c r="M217" s="100">
        <v>12.3</v>
      </c>
      <c r="N217" s="100">
        <v>9.75</v>
      </c>
      <c r="O217" s="100">
        <v>10.45</v>
      </c>
      <c r="P217" s="258">
        <f t="shared" si="27"/>
        <v>11</v>
      </c>
    </row>
    <row r="218" spans="2:16">
      <c r="B218" s="553">
        <f t="shared" si="29"/>
        <v>45235</v>
      </c>
      <c r="C218" s="100">
        <v>10</v>
      </c>
      <c r="D218" s="100">
        <v>3</v>
      </c>
      <c r="E218" s="100">
        <v>12</v>
      </c>
      <c r="F218" s="100">
        <v>8</v>
      </c>
      <c r="G218" s="100">
        <v>8</v>
      </c>
      <c r="H218" s="258">
        <f t="shared" si="26"/>
        <v>8</v>
      </c>
      <c r="J218" s="551">
        <f t="shared" si="28"/>
        <v>45235</v>
      </c>
      <c r="K218" s="100">
        <v>12.35</v>
      </c>
      <c r="L218" s="100">
        <v>8.85</v>
      </c>
      <c r="M218" s="100">
        <v>12.8</v>
      </c>
      <c r="N218" s="100">
        <v>10.5</v>
      </c>
      <c r="O218" s="100">
        <v>11.4</v>
      </c>
      <c r="P218" s="258">
        <f t="shared" si="27"/>
        <v>11</v>
      </c>
    </row>
    <row r="219" spans="2:16">
      <c r="B219" s="553">
        <f t="shared" si="29"/>
        <v>45236</v>
      </c>
      <c r="C219" s="100">
        <v>4</v>
      </c>
      <c r="D219" s="100">
        <v>3</v>
      </c>
      <c r="E219" s="100">
        <v>8</v>
      </c>
      <c r="F219" s="100">
        <v>4</v>
      </c>
      <c r="G219" s="100">
        <v>3</v>
      </c>
      <c r="H219" s="258">
        <f t="shared" si="26"/>
        <v>4</v>
      </c>
      <c r="J219" s="551">
        <f t="shared" si="28"/>
        <v>45236</v>
      </c>
      <c r="K219" s="100">
        <v>13.5</v>
      </c>
      <c r="L219" s="100">
        <v>8.85</v>
      </c>
      <c r="M219" s="100">
        <v>12.75</v>
      </c>
      <c r="N219" s="100">
        <v>10.55</v>
      </c>
      <c r="O219" s="100">
        <v>12.2</v>
      </c>
      <c r="P219" s="258">
        <f t="shared" si="27"/>
        <v>12</v>
      </c>
    </row>
    <row r="220" spans="2:16">
      <c r="B220" s="553">
        <f t="shared" si="29"/>
        <v>45237</v>
      </c>
      <c r="C220" s="100">
        <v>0</v>
      </c>
      <c r="D220" s="100">
        <v>0</v>
      </c>
      <c r="E220" s="100">
        <v>0</v>
      </c>
      <c r="F220" s="100">
        <v>0</v>
      </c>
      <c r="G220" s="100">
        <v>0</v>
      </c>
      <c r="H220" s="258">
        <f t="shared" si="26"/>
        <v>0</v>
      </c>
      <c r="J220" s="551">
        <f t="shared" si="28"/>
        <v>45237</v>
      </c>
      <c r="K220" s="100">
        <v>13.55</v>
      </c>
      <c r="L220" s="100">
        <v>10.5</v>
      </c>
      <c r="M220" s="100">
        <v>14.4</v>
      </c>
      <c r="N220" s="100">
        <v>11.7</v>
      </c>
      <c r="O220" s="100">
        <v>12.2</v>
      </c>
      <c r="P220" s="258">
        <f t="shared" si="27"/>
        <v>12</v>
      </c>
    </row>
    <row r="221" spans="2:16">
      <c r="B221" s="553">
        <f t="shared" si="29"/>
        <v>45238</v>
      </c>
      <c r="C221" s="100">
        <v>0</v>
      </c>
      <c r="D221" s="100">
        <v>0</v>
      </c>
      <c r="E221" s="100">
        <v>0</v>
      </c>
      <c r="F221" s="100">
        <v>0</v>
      </c>
      <c r="G221" s="100">
        <v>0</v>
      </c>
      <c r="H221" s="258">
        <f t="shared" si="26"/>
        <v>0</v>
      </c>
      <c r="J221" s="551">
        <f t="shared" si="28"/>
        <v>45238</v>
      </c>
      <c r="K221" s="100">
        <v>13.15</v>
      </c>
      <c r="L221" s="100">
        <v>11.15</v>
      </c>
      <c r="M221" s="100">
        <v>15</v>
      </c>
      <c r="N221" s="100">
        <v>12.3</v>
      </c>
      <c r="O221" s="100">
        <v>11.85</v>
      </c>
      <c r="P221" s="258">
        <f t="shared" si="27"/>
        <v>12</v>
      </c>
    </row>
    <row r="222" spans="2:16">
      <c r="B222" s="553">
        <f t="shared" si="29"/>
        <v>45239</v>
      </c>
      <c r="C222" s="100">
        <v>3</v>
      </c>
      <c r="D222" s="100">
        <v>2</v>
      </c>
      <c r="E222" s="100">
        <v>3</v>
      </c>
      <c r="F222" s="100">
        <v>0</v>
      </c>
      <c r="G222" s="100">
        <v>5</v>
      </c>
      <c r="H222" s="258">
        <f t="shared" si="26"/>
        <v>3</v>
      </c>
      <c r="J222" s="551">
        <f t="shared" si="28"/>
        <v>45239</v>
      </c>
      <c r="K222" s="100">
        <v>13.65</v>
      </c>
      <c r="L222" s="100">
        <v>10.65</v>
      </c>
      <c r="M222" s="100">
        <v>14.65</v>
      </c>
      <c r="N222" s="100">
        <v>12.05</v>
      </c>
      <c r="O222" s="100">
        <v>12.65</v>
      </c>
      <c r="P222" s="258">
        <f t="shared" si="27"/>
        <v>13</v>
      </c>
    </row>
    <row r="223" spans="2:16">
      <c r="B223" s="553">
        <f t="shared" si="29"/>
        <v>45240</v>
      </c>
      <c r="C223" s="100">
        <v>11</v>
      </c>
      <c r="D223" s="100">
        <v>9</v>
      </c>
      <c r="E223" s="100">
        <v>15</v>
      </c>
      <c r="F223" s="100">
        <v>8</v>
      </c>
      <c r="G223" s="100">
        <v>10</v>
      </c>
      <c r="H223" s="258">
        <f t="shared" si="26"/>
        <v>11</v>
      </c>
      <c r="J223" s="551">
        <f t="shared" si="28"/>
        <v>45240</v>
      </c>
      <c r="K223" s="100">
        <v>14.75</v>
      </c>
      <c r="L223" s="100">
        <v>12.15</v>
      </c>
      <c r="M223" s="100">
        <v>15.35</v>
      </c>
      <c r="N223" s="100">
        <v>12.5</v>
      </c>
      <c r="O223" s="100">
        <v>13.35</v>
      </c>
      <c r="P223" s="258">
        <f t="shared" si="27"/>
        <v>14</v>
      </c>
    </row>
    <row r="224" spans="2:16">
      <c r="B224" s="553">
        <f t="shared" si="29"/>
        <v>45241</v>
      </c>
      <c r="C224" s="100">
        <v>19</v>
      </c>
      <c r="D224" s="100">
        <v>10</v>
      </c>
      <c r="E224" s="100">
        <v>20</v>
      </c>
      <c r="F224" s="100">
        <v>17</v>
      </c>
      <c r="G224" s="100">
        <v>16</v>
      </c>
      <c r="H224" s="258">
        <f t="shared" si="26"/>
        <v>16</v>
      </c>
      <c r="J224" s="551">
        <f t="shared" si="28"/>
        <v>45241</v>
      </c>
      <c r="K224" s="100">
        <v>17.350000000000001</v>
      </c>
      <c r="L224" s="100">
        <v>12</v>
      </c>
      <c r="M224" s="100">
        <v>16.649999999999999</v>
      </c>
      <c r="N224" s="100">
        <v>14.4</v>
      </c>
      <c r="O224" s="100">
        <v>15.35</v>
      </c>
      <c r="P224" s="258">
        <f t="shared" si="27"/>
        <v>15</v>
      </c>
    </row>
    <row r="225" spans="2:16">
      <c r="B225" s="553">
        <f t="shared" si="29"/>
        <v>45242</v>
      </c>
      <c r="C225" s="100">
        <v>14</v>
      </c>
      <c r="D225" s="100">
        <v>10</v>
      </c>
      <c r="E225" s="100">
        <v>17</v>
      </c>
      <c r="F225" s="100">
        <v>14</v>
      </c>
      <c r="G225" s="100">
        <v>14</v>
      </c>
      <c r="H225" s="258">
        <f t="shared" si="26"/>
        <v>13</v>
      </c>
      <c r="J225" s="551">
        <f t="shared" si="28"/>
        <v>45242</v>
      </c>
      <c r="K225" s="100">
        <v>19.95</v>
      </c>
      <c r="L225" s="100">
        <v>15.85</v>
      </c>
      <c r="M225" s="100">
        <v>19.899999999999999</v>
      </c>
      <c r="N225" s="100">
        <v>17.5</v>
      </c>
      <c r="O225" s="100">
        <v>18.649999999999999</v>
      </c>
      <c r="P225" s="258">
        <f t="shared" si="27"/>
        <v>18</v>
      </c>
    </row>
    <row r="226" spans="2:16">
      <c r="B226" s="553">
        <f t="shared" si="29"/>
        <v>45243</v>
      </c>
      <c r="C226" s="100">
        <v>13</v>
      </c>
      <c r="D226" s="100">
        <v>10</v>
      </c>
      <c r="E226" s="100">
        <v>15</v>
      </c>
      <c r="F226" s="100">
        <v>11</v>
      </c>
      <c r="G226" s="100">
        <v>11</v>
      </c>
      <c r="H226" s="258">
        <f t="shared" si="26"/>
        <v>12</v>
      </c>
      <c r="J226" s="551">
        <f t="shared" si="28"/>
        <v>45243</v>
      </c>
      <c r="K226" s="100">
        <v>21.85</v>
      </c>
      <c r="L226" s="100">
        <v>17.05</v>
      </c>
      <c r="M226" s="100">
        <v>21.5</v>
      </c>
      <c r="N226" s="100">
        <v>18.649999999999999</v>
      </c>
      <c r="O226" s="100">
        <v>20.6</v>
      </c>
      <c r="P226" s="258">
        <f t="shared" si="27"/>
        <v>20</v>
      </c>
    </row>
    <row r="227" spans="2:16">
      <c r="B227" s="553">
        <f t="shared" si="29"/>
        <v>45244</v>
      </c>
      <c r="C227" s="100">
        <v>17</v>
      </c>
      <c r="D227" s="100">
        <v>11</v>
      </c>
      <c r="E227" s="100">
        <v>16</v>
      </c>
      <c r="F227" s="100">
        <v>14</v>
      </c>
      <c r="G227" s="100">
        <v>14</v>
      </c>
      <c r="H227" s="258">
        <f t="shared" si="26"/>
        <v>14</v>
      </c>
      <c r="J227" s="551">
        <f t="shared" si="28"/>
        <v>45244</v>
      </c>
      <c r="K227" s="100">
        <v>20.45</v>
      </c>
      <c r="L227" s="100">
        <v>16.2</v>
      </c>
      <c r="M227" s="100">
        <v>21</v>
      </c>
      <c r="N227" s="100">
        <v>18.3</v>
      </c>
      <c r="O227" s="100">
        <v>18.8</v>
      </c>
      <c r="P227" s="258">
        <f t="shared" si="27"/>
        <v>19</v>
      </c>
    </row>
    <row r="228" spans="2:16">
      <c r="B228" s="553">
        <f t="shared" si="29"/>
        <v>45245</v>
      </c>
      <c r="C228" s="100">
        <v>13</v>
      </c>
      <c r="D228" s="100">
        <v>8</v>
      </c>
      <c r="E228" s="100">
        <v>9</v>
      </c>
      <c r="F228" s="100">
        <v>7</v>
      </c>
      <c r="G228" s="100">
        <v>12</v>
      </c>
      <c r="H228" s="258">
        <f t="shared" si="26"/>
        <v>11</v>
      </c>
      <c r="J228" s="551">
        <f t="shared" si="28"/>
        <v>45245</v>
      </c>
      <c r="K228" s="100">
        <v>20.149999999999999</v>
      </c>
      <c r="L228" s="100">
        <v>16.399999999999999</v>
      </c>
      <c r="M228" s="100">
        <v>20.2</v>
      </c>
      <c r="N228" s="100">
        <v>18.05</v>
      </c>
      <c r="O228" s="100">
        <v>17.75</v>
      </c>
      <c r="P228" s="258">
        <f t="shared" si="27"/>
        <v>18</v>
      </c>
    </row>
    <row r="229" spans="2:16">
      <c r="B229" s="553">
        <f t="shared" si="29"/>
        <v>45246</v>
      </c>
      <c r="C229" s="100">
        <v>9</v>
      </c>
      <c r="D229" s="100">
        <v>0</v>
      </c>
      <c r="E229" s="100">
        <v>9</v>
      </c>
      <c r="F229" s="100">
        <v>7</v>
      </c>
      <c r="G229" s="100">
        <v>6</v>
      </c>
      <c r="H229" s="258">
        <f t="shared" si="26"/>
        <v>6</v>
      </c>
      <c r="J229" s="551">
        <f t="shared" si="28"/>
        <v>45246</v>
      </c>
      <c r="K229" s="100">
        <v>20.45</v>
      </c>
      <c r="L229" s="100">
        <v>16</v>
      </c>
      <c r="M229" s="100">
        <v>20.350000000000001</v>
      </c>
      <c r="N229" s="100">
        <v>18.3</v>
      </c>
      <c r="O229" s="100">
        <v>18.7</v>
      </c>
      <c r="P229" s="258">
        <f t="shared" si="27"/>
        <v>19</v>
      </c>
    </row>
    <row r="230" spans="2:16">
      <c r="B230" s="553">
        <f t="shared" si="29"/>
        <v>45247</v>
      </c>
      <c r="C230" s="100">
        <v>9</v>
      </c>
      <c r="D230" s="100">
        <v>1</v>
      </c>
      <c r="E230" s="100">
        <v>4</v>
      </c>
      <c r="F230" s="100">
        <v>5</v>
      </c>
      <c r="G230" s="100">
        <v>7</v>
      </c>
      <c r="H230" s="258">
        <f t="shared" si="26"/>
        <v>6</v>
      </c>
      <c r="J230" s="551">
        <f t="shared" si="28"/>
        <v>45247</v>
      </c>
      <c r="K230" s="100">
        <v>19.7</v>
      </c>
      <c r="L230" s="100">
        <v>15.6</v>
      </c>
      <c r="M230" s="100">
        <v>19.850000000000001</v>
      </c>
      <c r="N230" s="100">
        <v>18.350000000000001</v>
      </c>
      <c r="O230" s="100">
        <v>17.899999999999999</v>
      </c>
      <c r="P230" s="258">
        <f t="shared" si="27"/>
        <v>18</v>
      </c>
    </row>
    <row r="231" spans="2:16">
      <c r="B231" s="553">
        <f t="shared" si="29"/>
        <v>45248</v>
      </c>
      <c r="C231" s="100">
        <v>20</v>
      </c>
      <c r="D231" s="100">
        <v>13</v>
      </c>
      <c r="E231" s="100">
        <v>20</v>
      </c>
      <c r="F231" s="100">
        <v>17</v>
      </c>
      <c r="G231" s="100">
        <v>18</v>
      </c>
      <c r="H231" s="258">
        <f t="shared" si="26"/>
        <v>18</v>
      </c>
      <c r="J231" s="551">
        <f t="shared" si="28"/>
        <v>45248</v>
      </c>
      <c r="K231" s="100">
        <v>21.7</v>
      </c>
      <c r="L231" s="100">
        <v>17.05</v>
      </c>
      <c r="M231" s="100">
        <v>21.35</v>
      </c>
      <c r="N231" s="100">
        <v>18.850000000000001</v>
      </c>
      <c r="O231" s="100">
        <v>20.45</v>
      </c>
      <c r="P231" s="258">
        <f t="shared" si="27"/>
        <v>20</v>
      </c>
    </row>
    <row r="232" spans="2:16">
      <c r="B232" s="553">
        <f t="shared" si="29"/>
        <v>45249</v>
      </c>
      <c r="C232" s="100">
        <v>21</v>
      </c>
      <c r="D232" s="100">
        <v>16</v>
      </c>
      <c r="E232" s="100">
        <v>19</v>
      </c>
      <c r="F232" s="100">
        <v>17</v>
      </c>
      <c r="G232" s="100">
        <v>19</v>
      </c>
      <c r="H232" s="258">
        <f t="shared" si="26"/>
        <v>19</v>
      </c>
      <c r="J232" s="551">
        <f t="shared" si="28"/>
        <v>45249</v>
      </c>
      <c r="K232" s="100">
        <v>21.7</v>
      </c>
      <c r="L232" s="100">
        <v>17.100000000000001</v>
      </c>
      <c r="M232" s="100">
        <v>21.8</v>
      </c>
      <c r="N232" s="100">
        <v>19.600000000000001</v>
      </c>
      <c r="O232" s="100">
        <v>19.649999999999999</v>
      </c>
      <c r="P232" s="258">
        <f t="shared" si="27"/>
        <v>20</v>
      </c>
    </row>
    <row r="233" spans="2:16">
      <c r="B233" s="553">
        <f t="shared" si="29"/>
        <v>45250</v>
      </c>
      <c r="C233" s="100">
        <v>13</v>
      </c>
      <c r="D233" s="100">
        <v>8</v>
      </c>
      <c r="E233" s="100">
        <v>13</v>
      </c>
      <c r="F233" s="100">
        <v>13</v>
      </c>
      <c r="G233" s="100">
        <v>10</v>
      </c>
      <c r="H233" s="258">
        <f t="shared" si="26"/>
        <v>11</v>
      </c>
      <c r="J233" s="551">
        <f t="shared" si="28"/>
        <v>45250</v>
      </c>
      <c r="K233" s="100">
        <v>21.15</v>
      </c>
      <c r="L233" s="100">
        <v>16.7</v>
      </c>
      <c r="M233" s="100">
        <v>21.2</v>
      </c>
      <c r="N233" s="100">
        <v>18.75</v>
      </c>
      <c r="O233" s="100">
        <v>19.3</v>
      </c>
      <c r="P233" s="258">
        <f t="shared" si="27"/>
        <v>19</v>
      </c>
    </row>
    <row r="234" spans="2:16">
      <c r="B234" s="553">
        <f t="shared" si="29"/>
        <v>45251</v>
      </c>
      <c r="C234" s="100">
        <v>16</v>
      </c>
      <c r="D234" s="100">
        <v>12</v>
      </c>
      <c r="E234" s="100">
        <v>15</v>
      </c>
      <c r="F234" s="100">
        <v>13</v>
      </c>
      <c r="G234" s="100">
        <v>15</v>
      </c>
      <c r="H234" s="258">
        <f t="shared" si="26"/>
        <v>14</v>
      </c>
      <c r="J234" s="551">
        <f t="shared" si="28"/>
        <v>45251</v>
      </c>
      <c r="K234" s="100">
        <v>20.399999999999999</v>
      </c>
      <c r="L234" s="100">
        <v>15.2</v>
      </c>
      <c r="M234" s="100">
        <v>19.100000000000001</v>
      </c>
      <c r="N234" s="100">
        <v>17.25</v>
      </c>
      <c r="O234" s="100">
        <v>18.8</v>
      </c>
      <c r="P234" s="258">
        <f t="shared" si="27"/>
        <v>18</v>
      </c>
    </row>
    <row r="235" spans="2:16">
      <c r="B235" s="553">
        <f t="shared" si="29"/>
        <v>45252</v>
      </c>
      <c r="C235" s="100">
        <v>25</v>
      </c>
      <c r="D235" s="100">
        <v>22</v>
      </c>
      <c r="E235" s="100">
        <v>22</v>
      </c>
      <c r="F235" s="100">
        <v>18</v>
      </c>
      <c r="G235" s="100">
        <v>25</v>
      </c>
      <c r="H235" s="258">
        <f t="shared" si="26"/>
        <v>24</v>
      </c>
      <c r="J235" s="551">
        <f t="shared" si="28"/>
        <v>45252</v>
      </c>
      <c r="K235" s="100">
        <v>21.75</v>
      </c>
      <c r="L235" s="100">
        <v>17.100000000000001</v>
      </c>
      <c r="M235" s="100">
        <v>21.2</v>
      </c>
      <c r="N235" s="100">
        <v>18.850000000000001</v>
      </c>
      <c r="O235" s="100">
        <v>20.25</v>
      </c>
      <c r="P235" s="258">
        <f t="shared" si="27"/>
        <v>20</v>
      </c>
    </row>
    <row r="236" spans="2:16">
      <c r="B236" s="553">
        <f t="shared" si="29"/>
        <v>45253</v>
      </c>
      <c r="C236" s="100">
        <v>20</v>
      </c>
      <c r="D236" s="100">
        <v>20</v>
      </c>
      <c r="E236" s="100">
        <v>22</v>
      </c>
      <c r="F236" s="100">
        <v>19</v>
      </c>
      <c r="G236" s="100">
        <v>19</v>
      </c>
      <c r="H236" s="258">
        <f t="shared" si="26"/>
        <v>20</v>
      </c>
      <c r="J236" s="551">
        <f t="shared" si="28"/>
        <v>45253</v>
      </c>
      <c r="K236" s="100">
        <v>22.15</v>
      </c>
      <c r="L236" s="100">
        <v>18.5</v>
      </c>
      <c r="M236" s="100">
        <v>22.85</v>
      </c>
      <c r="N236" s="100">
        <v>20.2</v>
      </c>
      <c r="O236" s="100">
        <v>20.65</v>
      </c>
      <c r="P236" s="258">
        <f t="shared" si="27"/>
        <v>21</v>
      </c>
    </row>
    <row r="237" spans="2:16">
      <c r="B237" s="553">
        <f t="shared" si="29"/>
        <v>45254</v>
      </c>
      <c r="C237" s="100">
        <v>24</v>
      </c>
      <c r="D237" s="100">
        <v>13</v>
      </c>
      <c r="E237" s="100">
        <v>23</v>
      </c>
      <c r="F237" s="100">
        <v>22</v>
      </c>
      <c r="G237" s="100">
        <v>21</v>
      </c>
      <c r="H237" s="258">
        <f t="shared" si="26"/>
        <v>20</v>
      </c>
      <c r="J237" s="551">
        <f t="shared" si="28"/>
        <v>45254</v>
      </c>
      <c r="K237" s="100">
        <v>21.45</v>
      </c>
      <c r="L237" s="100">
        <v>17.55</v>
      </c>
      <c r="M237" s="100">
        <v>21.8</v>
      </c>
      <c r="N237" s="100">
        <v>20.3</v>
      </c>
      <c r="O237" s="100">
        <v>19.850000000000001</v>
      </c>
      <c r="P237" s="258">
        <f t="shared" si="27"/>
        <v>20</v>
      </c>
    </row>
    <row r="238" spans="2:16">
      <c r="B238" s="553">
        <f t="shared" si="29"/>
        <v>45255</v>
      </c>
      <c r="C238" s="100">
        <v>24</v>
      </c>
      <c r="D238" s="100">
        <v>17</v>
      </c>
      <c r="E238" s="100">
        <v>25</v>
      </c>
      <c r="F238" s="100">
        <v>23</v>
      </c>
      <c r="G238" s="100">
        <v>24</v>
      </c>
      <c r="H238" s="258">
        <f t="shared" si="26"/>
        <v>22</v>
      </c>
      <c r="J238" s="551">
        <f t="shared" si="28"/>
        <v>45255</v>
      </c>
      <c r="K238" s="100">
        <v>21.85</v>
      </c>
      <c r="L238" s="100">
        <v>17.25</v>
      </c>
      <c r="M238" s="100">
        <v>21.2</v>
      </c>
      <c r="N238" s="100">
        <v>19.45</v>
      </c>
      <c r="O238" s="100">
        <v>20.350000000000001</v>
      </c>
      <c r="P238" s="258">
        <f t="shared" si="27"/>
        <v>20</v>
      </c>
    </row>
    <row r="239" spans="2:16">
      <c r="B239" s="553">
        <f t="shared" si="29"/>
        <v>45256</v>
      </c>
      <c r="C239" s="100">
        <v>27</v>
      </c>
      <c r="D239" s="100">
        <v>20</v>
      </c>
      <c r="E239" s="100">
        <v>19</v>
      </c>
      <c r="F239" s="100">
        <v>22</v>
      </c>
      <c r="G239" s="100">
        <v>26</v>
      </c>
      <c r="H239" s="258">
        <f t="shared" si="26"/>
        <v>24</v>
      </c>
      <c r="J239" s="551">
        <f t="shared" si="28"/>
        <v>45256</v>
      </c>
      <c r="K239" s="100">
        <v>22.45</v>
      </c>
      <c r="L239" s="100">
        <v>18.2</v>
      </c>
      <c r="M239" s="100">
        <v>21.8</v>
      </c>
      <c r="N239" s="100">
        <v>20.25</v>
      </c>
      <c r="O239" s="100">
        <v>20.8</v>
      </c>
      <c r="P239" s="258">
        <f t="shared" si="27"/>
        <v>21</v>
      </c>
    </row>
    <row r="240" spans="2:16">
      <c r="B240" s="553">
        <f t="shared" si="29"/>
        <v>45257</v>
      </c>
      <c r="C240" s="100">
        <v>31</v>
      </c>
      <c r="D240" s="100">
        <v>24</v>
      </c>
      <c r="E240" s="100">
        <v>29</v>
      </c>
      <c r="F240" s="100">
        <v>28</v>
      </c>
      <c r="G240" s="100">
        <v>30</v>
      </c>
      <c r="H240" s="258">
        <f t="shared" si="26"/>
        <v>29</v>
      </c>
      <c r="J240" s="551">
        <f t="shared" si="28"/>
        <v>45257</v>
      </c>
      <c r="K240" s="100">
        <v>22.8</v>
      </c>
      <c r="L240" s="100">
        <v>19.399999999999999</v>
      </c>
      <c r="M240" s="100">
        <v>22.45</v>
      </c>
      <c r="N240" s="100">
        <v>20.2</v>
      </c>
      <c r="O240" s="100">
        <v>21.15</v>
      </c>
      <c r="P240" s="258">
        <f t="shared" si="27"/>
        <v>21</v>
      </c>
    </row>
    <row r="241" spans="2:16">
      <c r="B241" s="553">
        <f t="shared" si="29"/>
        <v>45258</v>
      </c>
      <c r="C241" s="100">
        <v>36</v>
      </c>
      <c r="D241" s="100">
        <v>31</v>
      </c>
      <c r="E241" s="100">
        <v>38</v>
      </c>
      <c r="F241" s="100">
        <v>34</v>
      </c>
      <c r="G241" s="100">
        <v>32</v>
      </c>
      <c r="H241" s="258">
        <f t="shared" si="26"/>
        <v>34</v>
      </c>
      <c r="J241" s="551">
        <f t="shared" si="28"/>
        <v>45258</v>
      </c>
      <c r="K241" s="100">
        <v>23.5</v>
      </c>
      <c r="L241" s="100">
        <v>19.5</v>
      </c>
      <c r="M241" s="100">
        <v>23.35</v>
      </c>
      <c r="N241" s="100">
        <v>21.25</v>
      </c>
      <c r="O241" s="100">
        <v>22.05</v>
      </c>
      <c r="P241" s="258">
        <f t="shared" si="27"/>
        <v>22</v>
      </c>
    </row>
    <row r="242" spans="2:16">
      <c r="B242" s="553">
        <f t="shared" si="29"/>
        <v>45259</v>
      </c>
      <c r="C242" s="100">
        <v>27</v>
      </c>
      <c r="D242" s="100">
        <v>24</v>
      </c>
      <c r="E242" s="100">
        <v>31</v>
      </c>
      <c r="F242" s="100">
        <v>27</v>
      </c>
      <c r="G242" s="100">
        <v>22</v>
      </c>
      <c r="H242" s="258">
        <f t="shared" si="26"/>
        <v>25</v>
      </c>
      <c r="J242" s="551">
        <f t="shared" si="28"/>
        <v>45259</v>
      </c>
      <c r="K242" s="100">
        <v>20.399999999999999</v>
      </c>
      <c r="L242" s="100">
        <v>17.149999999999999</v>
      </c>
      <c r="M242" s="100">
        <v>21.4</v>
      </c>
      <c r="N242" s="100">
        <v>19</v>
      </c>
      <c r="O242" s="100">
        <v>19.2</v>
      </c>
      <c r="P242" s="258">
        <f t="shared" si="27"/>
        <v>19</v>
      </c>
    </row>
    <row r="243" spans="2:16">
      <c r="B243" s="553">
        <f t="shared" si="29"/>
        <v>45260</v>
      </c>
      <c r="C243" s="100">
        <v>19</v>
      </c>
      <c r="D243" s="100">
        <v>13</v>
      </c>
      <c r="E243" s="100">
        <v>16</v>
      </c>
      <c r="F243" s="100">
        <v>15</v>
      </c>
      <c r="G243" s="100">
        <v>13</v>
      </c>
      <c r="H243" s="258">
        <f t="shared" si="26"/>
        <v>15</v>
      </c>
      <c r="J243" s="551">
        <f t="shared" si="28"/>
        <v>45260</v>
      </c>
      <c r="K243" s="100">
        <v>20.9</v>
      </c>
      <c r="L243" s="100">
        <v>15.15</v>
      </c>
      <c r="M243" s="100">
        <v>19</v>
      </c>
      <c r="N243" s="100">
        <v>17.2</v>
      </c>
      <c r="O243" s="100">
        <v>19.75</v>
      </c>
      <c r="P243" s="258">
        <f t="shared" si="27"/>
        <v>19</v>
      </c>
    </row>
    <row r="244" spans="2:16">
      <c r="B244" s="553">
        <f t="shared" si="29"/>
        <v>45261</v>
      </c>
      <c r="C244" s="100">
        <v>16</v>
      </c>
      <c r="D244" s="100">
        <v>12</v>
      </c>
      <c r="E244" s="100">
        <v>14</v>
      </c>
      <c r="F244" s="100">
        <v>14</v>
      </c>
      <c r="G244" s="100">
        <v>14</v>
      </c>
      <c r="H244" s="258">
        <f t="shared" si="26"/>
        <v>14</v>
      </c>
      <c r="J244" s="551">
        <f t="shared" si="28"/>
        <v>45261</v>
      </c>
      <c r="K244" s="100">
        <v>23.95</v>
      </c>
      <c r="L244" s="100">
        <v>18.600000000000001</v>
      </c>
      <c r="M244" s="100">
        <v>23.15</v>
      </c>
      <c r="N244" s="100">
        <v>20.9</v>
      </c>
      <c r="O244" s="100">
        <v>22.85</v>
      </c>
      <c r="P244" s="258">
        <f t="shared" si="27"/>
        <v>22</v>
      </c>
    </row>
    <row r="245" spans="2:16">
      <c r="B245" s="553">
        <f t="shared" si="29"/>
        <v>45262</v>
      </c>
      <c r="C245" s="100">
        <v>20</v>
      </c>
      <c r="D245" s="100">
        <v>8</v>
      </c>
      <c r="E245" s="100">
        <v>9</v>
      </c>
      <c r="F245" s="100">
        <v>11</v>
      </c>
      <c r="G245" s="100">
        <v>24</v>
      </c>
      <c r="H245" s="258">
        <f t="shared" si="26"/>
        <v>17</v>
      </c>
      <c r="J245" s="551">
        <f t="shared" si="28"/>
        <v>45262</v>
      </c>
      <c r="K245" s="100">
        <v>23.5</v>
      </c>
      <c r="L245" s="100">
        <v>18.399999999999999</v>
      </c>
      <c r="M245" s="100">
        <v>22.95</v>
      </c>
      <c r="N245" s="100">
        <v>21.05</v>
      </c>
      <c r="O245" s="100">
        <v>22.7</v>
      </c>
      <c r="P245" s="258">
        <f t="shared" si="27"/>
        <v>22</v>
      </c>
    </row>
    <row r="246" spans="2:16">
      <c r="B246" s="553">
        <f t="shared" si="29"/>
        <v>45263</v>
      </c>
      <c r="C246" s="100">
        <v>21</v>
      </c>
      <c r="D246" s="100">
        <v>15</v>
      </c>
      <c r="E246" s="100">
        <v>19</v>
      </c>
      <c r="F246" s="100">
        <v>18</v>
      </c>
      <c r="G246" s="100">
        <v>18</v>
      </c>
      <c r="H246" s="258">
        <f t="shared" si="26"/>
        <v>18</v>
      </c>
      <c r="J246" s="551">
        <f t="shared" si="28"/>
        <v>45263</v>
      </c>
      <c r="K246" s="100">
        <v>23.8</v>
      </c>
      <c r="L246" s="100">
        <v>19.3</v>
      </c>
      <c r="M246" s="100">
        <v>23.65</v>
      </c>
      <c r="N246" s="100">
        <v>22</v>
      </c>
      <c r="O246" s="100">
        <v>22.05</v>
      </c>
      <c r="P246" s="258">
        <f t="shared" si="27"/>
        <v>22</v>
      </c>
    </row>
    <row r="247" spans="2:16">
      <c r="B247" s="553">
        <f t="shared" si="29"/>
        <v>45264</v>
      </c>
      <c r="C247" s="100">
        <v>23</v>
      </c>
      <c r="D247" s="100">
        <v>16</v>
      </c>
      <c r="E247" s="100">
        <v>25</v>
      </c>
      <c r="F247" s="100">
        <v>21</v>
      </c>
      <c r="G247" s="100">
        <v>24</v>
      </c>
      <c r="H247" s="258">
        <f t="shared" si="26"/>
        <v>22</v>
      </c>
      <c r="J247" s="551">
        <f t="shared" si="28"/>
        <v>45264</v>
      </c>
      <c r="K247" s="100">
        <v>24.65</v>
      </c>
      <c r="L247" s="100">
        <v>18.3</v>
      </c>
      <c r="M247" s="100">
        <v>24.65</v>
      </c>
      <c r="N247" s="100">
        <v>22.65</v>
      </c>
      <c r="O247" s="100">
        <v>22.35</v>
      </c>
      <c r="P247" s="258">
        <f t="shared" si="27"/>
        <v>22</v>
      </c>
    </row>
    <row r="248" spans="2:16">
      <c r="B248" s="553">
        <f t="shared" si="29"/>
        <v>45265</v>
      </c>
      <c r="C248" s="100">
        <v>21</v>
      </c>
      <c r="D248" s="100">
        <v>18</v>
      </c>
      <c r="E248" s="100">
        <v>24</v>
      </c>
      <c r="F248" s="100">
        <v>21</v>
      </c>
      <c r="G248" s="100">
        <v>21</v>
      </c>
      <c r="H248" s="258">
        <f t="shared" si="26"/>
        <v>21</v>
      </c>
      <c r="J248" s="551">
        <f t="shared" si="28"/>
        <v>45265</v>
      </c>
      <c r="K248" s="100">
        <v>26.7</v>
      </c>
      <c r="L248" s="100">
        <v>21.15</v>
      </c>
      <c r="M248" s="100">
        <v>26.5</v>
      </c>
      <c r="N248" s="100">
        <v>24.15</v>
      </c>
      <c r="O248" s="100">
        <v>24.55</v>
      </c>
      <c r="P248" s="258">
        <f t="shared" si="27"/>
        <v>25</v>
      </c>
    </row>
    <row r="249" spans="2:16">
      <c r="B249" s="553">
        <f t="shared" si="29"/>
        <v>45266</v>
      </c>
      <c r="C249" s="100">
        <v>27</v>
      </c>
      <c r="D249" s="100">
        <v>24</v>
      </c>
      <c r="E249" s="100">
        <v>27</v>
      </c>
      <c r="F249" s="100">
        <v>23</v>
      </c>
      <c r="G249" s="100">
        <v>26</v>
      </c>
      <c r="H249" s="258">
        <f t="shared" si="26"/>
        <v>26</v>
      </c>
      <c r="J249" s="551">
        <f t="shared" si="28"/>
        <v>45266</v>
      </c>
      <c r="K249" s="100">
        <v>27.15</v>
      </c>
      <c r="L249" s="100">
        <v>21.75</v>
      </c>
      <c r="M249" s="100">
        <v>27.3</v>
      </c>
      <c r="N249" s="100">
        <v>25.35</v>
      </c>
      <c r="O249" s="100">
        <v>24.75</v>
      </c>
      <c r="P249" s="258">
        <f t="shared" si="27"/>
        <v>25</v>
      </c>
    </row>
    <row r="250" spans="2:16">
      <c r="B250" s="553">
        <f t="shared" si="29"/>
        <v>45267</v>
      </c>
      <c r="C250" s="100">
        <v>19</v>
      </c>
      <c r="D250" s="100">
        <v>19</v>
      </c>
      <c r="E250" s="100">
        <v>21</v>
      </c>
      <c r="F250" s="100">
        <v>19</v>
      </c>
      <c r="G250" s="100">
        <v>18</v>
      </c>
      <c r="H250" s="258">
        <f t="shared" si="26"/>
        <v>19</v>
      </c>
      <c r="J250" s="551">
        <f t="shared" si="28"/>
        <v>45267</v>
      </c>
      <c r="K250" s="100">
        <v>29.45</v>
      </c>
      <c r="L250" s="100">
        <v>23.1</v>
      </c>
      <c r="M250" s="100">
        <v>28.65</v>
      </c>
      <c r="N250" s="100">
        <v>27.45</v>
      </c>
      <c r="O250" s="100">
        <v>27.5</v>
      </c>
      <c r="P250" s="258">
        <f t="shared" si="27"/>
        <v>27</v>
      </c>
    </row>
    <row r="251" spans="2:16">
      <c r="B251" s="553">
        <f t="shared" si="29"/>
        <v>45268</v>
      </c>
      <c r="C251" s="100">
        <v>12</v>
      </c>
      <c r="D251" s="100">
        <v>12</v>
      </c>
      <c r="E251" s="100">
        <v>12</v>
      </c>
      <c r="F251" s="100">
        <v>9</v>
      </c>
      <c r="G251" s="100">
        <v>10</v>
      </c>
      <c r="H251" s="258">
        <f t="shared" si="26"/>
        <v>11</v>
      </c>
      <c r="J251" s="551">
        <f t="shared" si="28"/>
        <v>45268</v>
      </c>
      <c r="K251" s="100">
        <v>27.75</v>
      </c>
      <c r="L251" s="100">
        <v>22.05</v>
      </c>
      <c r="M251" s="100">
        <v>28.75</v>
      </c>
      <c r="N251" s="100">
        <v>26.55</v>
      </c>
      <c r="O251" s="100">
        <v>26.5</v>
      </c>
      <c r="P251" s="258">
        <f t="shared" si="27"/>
        <v>26</v>
      </c>
    </row>
    <row r="252" spans="2:16">
      <c r="B252" s="553">
        <f t="shared" si="29"/>
        <v>45269</v>
      </c>
      <c r="C252" s="100">
        <v>11</v>
      </c>
      <c r="D252" s="100">
        <v>5</v>
      </c>
      <c r="E252" s="100">
        <v>8</v>
      </c>
      <c r="F252" s="100">
        <v>10</v>
      </c>
      <c r="G252" s="100">
        <v>12</v>
      </c>
      <c r="H252" s="258">
        <f t="shared" si="26"/>
        <v>9</v>
      </c>
      <c r="J252" s="551">
        <f t="shared" si="28"/>
        <v>45269</v>
      </c>
      <c r="K252" s="100">
        <v>25.6</v>
      </c>
      <c r="L252" s="100">
        <v>19.55</v>
      </c>
      <c r="M252" s="100">
        <v>24.65</v>
      </c>
      <c r="N252" s="100">
        <v>23.1</v>
      </c>
      <c r="O252" s="100">
        <v>24.7</v>
      </c>
      <c r="P252" s="258">
        <f t="shared" si="27"/>
        <v>24</v>
      </c>
    </row>
    <row r="253" spans="2:16">
      <c r="B253" s="553">
        <f t="shared" si="29"/>
        <v>45270</v>
      </c>
      <c r="C253" s="100">
        <v>30</v>
      </c>
      <c r="D253" s="100">
        <v>24</v>
      </c>
      <c r="E253" s="100">
        <v>22</v>
      </c>
      <c r="F253" s="100">
        <v>23</v>
      </c>
      <c r="G253" s="100">
        <v>27</v>
      </c>
      <c r="H253" s="258">
        <f t="shared" si="26"/>
        <v>26</v>
      </c>
      <c r="J253" s="551">
        <f t="shared" si="28"/>
        <v>45270</v>
      </c>
      <c r="K253" s="100">
        <v>28.7</v>
      </c>
      <c r="L253" s="100">
        <v>21.85</v>
      </c>
      <c r="M253" s="100">
        <v>26.15</v>
      </c>
      <c r="N253" s="100">
        <v>24.75</v>
      </c>
      <c r="O253" s="100">
        <v>26.85</v>
      </c>
      <c r="P253" s="258">
        <f t="shared" si="27"/>
        <v>26</v>
      </c>
    </row>
    <row r="254" spans="2:16">
      <c r="B254" s="553">
        <f t="shared" si="29"/>
        <v>45271</v>
      </c>
      <c r="C254" s="100">
        <v>33</v>
      </c>
      <c r="D254" s="100">
        <v>27</v>
      </c>
      <c r="E254" s="100">
        <v>29</v>
      </c>
      <c r="F254" s="100">
        <v>26</v>
      </c>
      <c r="G254" s="100">
        <v>28</v>
      </c>
      <c r="H254" s="258">
        <f t="shared" si="26"/>
        <v>29</v>
      </c>
      <c r="J254" s="551">
        <f t="shared" si="28"/>
        <v>45271</v>
      </c>
      <c r="K254" s="100">
        <v>25.75</v>
      </c>
      <c r="L254" s="100">
        <v>21.85</v>
      </c>
      <c r="M254" s="100">
        <v>25.75</v>
      </c>
      <c r="N254" s="100">
        <v>23.5</v>
      </c>
      <c r="O254" s="100">
        <v>23.75</v>
      </c>
      <c r="P254" s="258">
        <f t="shared" si="27"/>
        <v>24</v>
      </c>
    </row>
    <row r="255" spans="2:16">
      <c r="B255" s="553">
        <f t="shared" si="29"/>
        <v>45272</v>
      </c>
      <c r="C255" s="100">
        <v>22</v>
      </c>
      <c r="D255" s="100">
        <v>21</v>
      </c>
      <c r="E255" s="100">
        <v>24</v>
      </c>
      <c r="F255" s="100">
        <v>22</v>
      </c>
      <c r="G255" s="100">
        <v>21</v>
      </c>
      <c r="H255" s="258">
        <f t="shared" si="26"/>
        <v>22</v>
      </c>
      <c r="J255" s="551">
        <f t="shared" si="28"/>
        <v>45272</v>
      </c>
      <c r="K255" s="100">
        <v>26.55</v>
      </c>
      <c r="L255" s="100">
        <v>22.1</v>
      </c>
      <c r="M255" s="100">
        <v>26.45</v>
      </c>
      <c r="N255" s="100">
        <v>24.3</v>
      </c>
      <c r="O255" s="100">
        <v>24.35</v>
      </c>
      <c r="P255" s="258">
        <f t="shared" si="27"/>
        <v>25</v>
      </c>
    </row>
    <row r="256" spans="2:16">
      <c r="B256" s="553">
        <f t="shared" si="29"/>
        <v>45273</v>
      </c>
      <c r="C256" s="100">
        <v>23</v>
      </c>
      <c r="D256" s="100">
        <v>19</v>
      </c>
      <c r="E256" s="100">
        <v>24</v>
      </c>
      <c r="F256" s="100">
        <v>23</v>
      </c>
      <c r="G256" s="100">
        <v>21</v>
      </c>
      <c r="H256" s="258">
        <f t="shared" si="26"/>
        <v>22</v>
      </c>
      <c r="J256" s="551">
        <f t="shared" si="28"/>
        <v>45273</v>
      </c>
      <c r="K256" s="100">
        <v>25.9</v>
      </c>
      <c r="L256" s="100">
        <v>21.85</v>
      </c>
      <c r="M256" s="100">
        <v>25.7</v>
      </c>
      <c r="N256" s="100">
        <v>23.6</v>
      </c>
      <c r="O256" s="100">
        <v>23.9</v>
      </c>
      <c r="P256" s="258">
        <f t="shared" si="27"/>
        <v>24</v>
      </c>
    </row>
    <row r="257" spans="2:16">
      <c r="B257" s="553">
        <f t="shared" si="29"/>
        <v>45274</v>
      </c>
      <c r="C257" s="100">
        <v>23</v>
      </c>
      <c r="D257" s="100">
        <v>18</v>
      </c>
      <c r="E257" s="100">
        <v>24</v>
      </c>
      <c r="F257" s="100">
        <v>21</v>
      </c>
      <c r="G257" s="100">
        <v>19</v>
      </c>
      <c r="H257" s="258">
        <f t="shared" si="26"/>
        <v>21</v>
      </c>
      <c r="J257" s="551">
        <f t="shared" si="28"/>
        <v>45274</v>
      </c>
      <c r="K257" s="100">
        <v>24.1</v>
      </c>
      <c r="L257" s="100">
        <v>20.149999999999999</v>
      </c>
      <c r="M257" s="100">
        <v>24.05</v>
      </c>
      <c r="N257" s="100">
        <v>22.1</v>
      </c>
      <c r="O257" s="100">
        <v>22.35</v>
      </c>
      <c r="P257" s="258">
        <f t="shared" si="27"/>
        <v>22</v>
      </c>
    </row>
    <row r="258" spans="2:16">
      <c r="B258" s="553">
        <f t="shared" si="29"/>
        <v>45275</v>
      </c>
      <c r="C258" s="100">
        <v>20</v>
      </c>
      <c r="D258" s="100">
        <v>18</v>
      </c>
      <c r="E258" s="100">
        <v>21</v>
      </c>
      <c r="F258" s="100">
        <v>19</v>
      </c>
      <c r="G258" s="100">
        <v>18</v>
      </c>
      <c r="H258" s="258">
        <f t="shared" si="26"/>
        <v>19</v>
      </c>
      <c r="J258" s="551">
        <f t="shared" si="28"/>
        <v>45275</v>
      </c>
      <c r="K258" s="100">
        <v>25.8</v>
      </c>
      <c r="L258" s="100">
        <v>21.1</v>
      </c>
      <c r="M258" s="100">
        <v>25.85</v>
      </c>
      <c r="N258" s="100">
        <v>24.05</v>
      </c>
      <c r="O258" s="100">
        <v>23.85</v>
      </c>
      <c r="P258" s="258">
        <f t="shared" si="27"/>
        <v>24</v>
      </c>
    </row>
    <row r="259" spans="2:16">
      <c r="B259" s="553">
        <f t="shared" si="29"/>
        <v>45276</v>
      </c>
      <c r="C259" s="100">
        <v>16</v>
      </c>
      <c r="D259" s="100">
        <v>14</v>
      </c>
      <c r="E259" s="100">
        <v>14</v>
      </c>
      <c r="F259" s="100">
        <v>16</v>
      </c>
      <c r="G259" s="100">
        <v>12</v>
      </c>
      <c r="H259" s="258">
        <f t="shared" si="26"/>
        <v>14</v>
      </c>
      <c r="J259" s="551">
        <f t="shared" si="28"/>
        <v>45276</v>
      </c>
      <c r="K259" s="100">
        <v>27.3</v>
      </c>
      <c r="L259" s="100">
        <v>21.25</v>
      </c>
      <c r="M259" s="100">
        <v>25.75</v>
      </c>
      <c r="N259" s="100">
        <v>25.15</v>
      </c>
      <c r="O259" s="100">
        <v>25.95</v>
      </c>
      <c r="P259" s="258">
        <f t="shared" si="27"/>
        <v>25</v>
      </c>
    </row>
    <row r="260" spans="2:16">
      <c r="B260" s="553">
        <f t="shared" si="29"/>
        <v>45277</v>
      </c>
      <c r="C260" s="100">
        <v>29</v>
      </c>
      <c r="D260" s="100">
        <v>17</v>
      </c>
      <c r="E260" s="100">
        <v>17</v>
      </c>
      <c r="F260" s="100">
        <v>17</v>
      </c>
      <c r="G260" s="100">
        <v>25</v>
      </c>
      <c r="H260" s="258">
        <f t="shared" si="26"/>
        <v>23</v>
      </c>
      <c r="J260" s="551">
        <f t="shared" si="28"/>
        <v>45277</v>
      </c>
      <c r="K260" s="100">
        <v>29.3</v>
      </c>
      <c r="L260" s="100">
        <v>23.6</v>
      </c>
      <c r="M260" s="100">
        <v>28.4</v>
      </c>
      <c r="N260" s="100">
        <v>25.631578947368421</v>
      </c>
      <c r="O260" s="100">
        <v>27.8</v>
      </c>
      <c r="P260" s="258">
        <f t="shared" si="27"/>
        <v>27</v>
      </c>
    </row>
    <row r="261" spans="2:16">
      <c r="B261" s="553">
        <f t="shared" si="29"/>
        <v>45278</v>
      </c>
      <c r="C261" s="100">
        <v>28</v>
      </c>
      <c r="D261" s="100">
        <v>26</v>
      </c>
      <c r="E261" s="100">
        <v>31</v>
      </c>
      <c r="F261" s="100">
        <v>29</v>
      </c>
      <c r="G261" s="100">
        <v>30</v>
      </c>
      <c r="H261" s="258">
        <f t="shared" si="26"/>
        <v>29</v>
      </c>
      <c r="J261" s="551">
        <f t="shared" si="28"/>
        <v>45278</v>
      </c>
      <c r="K261" s="100">
        <v>28.85</v>
      </c>
      <c r="L261" s="100">
        <v>24.65</v>
      </c>
      <c r="M261" s="100">
        <v>29.1</v>
      </c>
      <c r="N261" s="100">
        <v>27.05</v>
      </c>
      <c r="O261" s="100">
        <v>27.15</v>
      </c>
      <c r="P261" s="258">
        <f t="shared" si="27"/>
        <v>27</v>
      </c>
    </row>
    <row r="262" spans="2:16">
      <c r="B262" s="553">
        <f t="shared" si="29"/>
        <v>45279</v>
      </c>
      <c r="C262" s="100">
        <v>36</v>
      </c>
      <c r="D262" s="100">
        <v>31</v>
      </c>
      <c r="E262" s="100">
        <v>37</v>
      </c>
      <c r="F262" s="100">
        <v>34</v>
      </c>
      <c r="G262" s="100">
        <v>33</v>
      </c>
      <c r="H262" s="258">
        <f t="shared" si="26"/>
        <v>34</v>
      </c>
      <c r="J262" s="551">
        <f t="shared" si="28"/>
        <v>45279</v>
      </c>
      <c r="K262" s="100">
        <v>29.1</v>
      </c>
      <c r="L262" s="100">
        <v>24.2</v>
      </c>
      <c r="M262" s="100">
        <v>27.3</v>
      </c>
      <c r="N262" s="100">
        <v>26.15</v>
      </c>
      <c r="O262" s="100">
        <v>28.35</v>
      </c>
      <c r="P262" s="258">
        <f t="shared" si="27"/>
        <v>27</v>
      </c>
    </row>
    <row r="263" spans="2:16">
      <c r="B263" s="553">
        <f t="shared" si="29"/>
        <v>45280</v>
      </c>
      <c r="C263" s="100">
        <v>24</v>
      </c>
      <c r="D263" s="100">
        <v>26</v>
      </c>
      <c r="E263" s="100">
        <v>27</v>
      </c>
      <c r="F263" s="100">
        <v>25</v>
      </c>
      <c r="G263" s="100">
        <v>23</v>
      </c>
      <c r="H263" s="258">
        <f t="shared" si="26"/>
        <v>25</v>
      </c>
      <c r="J263" s="551">
        <f t="shared" si="28"/>
        <v>45280</v>
      </c>
      <c r="K263" s="100">
        <v>31.3</v>
      </c>
      <c r="L263" s="100">
        <v>25.35</v>
      </c>
      <c r="M263" s="100">
        <v>29.5</v>
      </c>
      <c r="N263" s="100">
        <v>28.3</v>
      </c>
      <c r="O263" s="100">
        <v>29.4</v>
      </c>
      <c r="P263" s="258">
        <f t="shared" si="27"/>
        <v>29</v>
      </c>
    </row>
    <row r="264" spans="2:16">
      <c r="B264" s="553">
        <f t="shared" si="29"/>
        <v>45281</v>
      </c>
      <c r="C264" s="100">
        <v>23</v>
      </c>
      <c r="D264" s="100">
        <v>21</v>
      </c>
      <c r="E264" s="100">
        <v>21</v>
      </c>
      <c r="F264" s="100">
        <v>20</v>
      </c>
      <c r="G264" s="100">
        <v>21</v>
      </c>
      <c r="H264" s="258">
        <f t="shared" si="26"/>
        <v>21</v>
      </c>
      <c r="J264" s="551">
        <f t="shared" si="28"/>
        <v>45281</v>
      </c>
      <c r="K264" s="100">
        <v>33.15</v>
      </c>
      <c r="L264" s="100">
        <v>26.9</v>
      </c>
      <c r="M264" s="100">
        <v>31.25</v>
      </c>
      <c r="N264" s="100">
        <v>30.55</v>
      </c>
      <c r="O264" s="100">
        <v>31.1</v>
      </c>
      <c r="P264" s="258">
        <f t="shared" si="27"/>
        <v>31</v>
      </c>
    </row>
    <row r="265" spans="2:16">
      <c r="B265" s="553">
        <f t="shared" si="29"/>
        <v>45282</v>
      </c>
      <c r="C265" s="100">
        <v>19</v>
      </c>
      <c r="D265" s="100">
        <v>19</v>
      </c>
      <c r="E265" s="100">
        <v>20</v>
      </c>
      <c r="F265" s="100">
        <v>19</v>
      </c>
      <c r="G265" s="100">
        <v>18</v>
      </c>
      <c r="H265" s="258">
        <f t="shared" si="26"/>
        <v>19</v>
      </c>
      <c r="J265" s="551">
        <f t="shared" si="28"/>
        <v>45282</v>
      </c>
      <c r="K265" s="100">
        <v>32.450000000000003</v>
      </c>
      <c r="L265" s="100">
        <v>27.2</v>
      </c>
      <c r="M265" s="100">
        <v>32.1</v>
      </c>
      <c r="N265" s="100">
        <v>30.7</v>
      </c>
      <c r="O265" s="100">
        <v>29.5</v>
      </c>
      <c r="P265" s="258">
        <f t="shared" si="27"/>
        <v>30</v>
      </c>
    </row>
    <row r="266" spans="2:16">
      <c r="B266" s="553">
        <f t="shared" si="29"/>
        <v>45283</v>
      </c>
      <c r="C266" s="100">
        <v>12</v>
      </c>
      <c r="D266" s="100">
        <v>14</v>
      </c>
      <c r="E266" s="100">
        <v>15</v>
      </c>
      <c r="F266" s="100">
        <v>14</v>
      </c>
      <c r="G266" s="100">
        <v>9</v>
      </c>
      <c r="H266" s="258">
        <f t="shared" si="26"/>
        <v>12</v>
      </c>
      <c r="J266" s="551">
        <f t="shared" si="28"/>
        <v>45283</v>
      </c>
      <c r="K266" s="100">
        <v>30.3</v>
      </c>
      <c r="L266" s="100">
        <v>25.5</v>
      </c>
      <c r="M266" s="100">
        <v>30.6</v>
      </c>
      <c r="N266" s="100">
        <v>29.15</v>
      </c>
      <c r="O266" s="100">
        <v>28.5</v>
      </c>
      <c r="P266" s="258">
        <f t="shared" si="27"/>
        <v>29</v>
      </c>
    </row>
    <row r="267" spans="2:16">
      <c r="B267" s="553">
        <f t="shared" si="29"/>
        <v>45284</v>
      </c>
      <c r="C267" s="100">
        <v>7</v>
      </c>
      <c r="D267" s="100">
        <v>7</v>
      </c>
      <c r="E267" s="100">
        <v>7</v>
      </c>
      <c r="F267" s="100">
        <v>6</v>
      </c>
      <c r="G267" s="100">
        <v>8</v>
      </c>
      <c r="H267" s="258">
        <f t="shared" si="26"/>
        <v>7</v>
      </c>
      <c r="J267" s="551">
        <f t="shared" si="28"/>
        <v>45284</v>
      </c>
      <c r="K267" s="100">
        <v>28.95</v>
      </c>
      <c r="L267" s="100">
        <v>23.75</v>
      </c>
      <c r="M267" s="100">
        <v>28.8</v>
      </c>
      <c r="N267" s="100">
        <v>26.7</v>
      </c>
      <c r="O267" s="100">
        <v>27.25</v>
      </c>
      <c r="P267" s="258">
        <f t="shared" si="27"/>
        <v>27</v>
      </c>
    </row>
    <row r="268" spans="2:16">
      <c r="B268" s="553">
        <f t="shared" si="29"/>
        <v>45285</v>
      </c>
      <c r="C268" s="100">
        <v>10</v>
      </c>
      <c r="D268" s="100">
        <v>7</v>
      </c>
      <c r="E268" s="100">
        <v>10</v>
      </c>
      <c r="F268" s="100">
        <v>10</v>
      </c>
      <c r="G268" s="100">
        <v>11</v>
      </c>
      <c r="H268" s="258">
        <f t="shared" ref="H268:H331" si="30">IFERROR(ROUND((C268*C$70)+(D268*D$70)+(E268*E$70)+(F268*F$70)+(G268*G$70),0),0)</f>
        <v>10</v>
      </c>
      <c r="J268" s="551">
        <f t="shared" si="28"/>
        <v>45285</v>
      </c>
      <c r="K268" s="100">
        <v>27.6</v>
      </c>
      <c r="L268" s="100">
        <v>21.75</v>
      </c>
      <c r="M268" s="100">
        <v>27.65</v>
      </c>
      <c r="N268" s="100">
        <v>25.8</v>
      </c>
      <c r="O268" s="100">
        <v>24.9</v>
      </c>
      <c r="P268" s="258">
        <f t="shared" ref="P268:P331" si="31">IFERROR(ROUND((K268*C$70)+(L268*D$70)+(M268*E$70)+(N268*F$70)+(O268*G$70),0),0)</f>
        <v>25</v>
      </c>
    </row>
    <row r="269" spans="2:16">
      <c r="B269" s="553">
        <f t="shared" si="29"/>
        <v>45286</v>
      </c>
      <c r="C269" s="100">
        <v>22</v>
      </c>
      <c r="D269" s="100">
        <v>19</v>
      </c>
      <c r="E269" s="100">
        <v>15</v>
      </c>
      <c r="F269" s="100">
        <v>17</v>
      </c>
      <c r="G269" s="100">
        <v>25</v>
      </c>
      <c r="H269" s="258">
        <f t="shared" si="30"/>
        <v>21</v>
      </c>
      <c r="J269" s="551">
        <f t="shared" ref="J269:J332" si="32">B269</f>
        <v>45286</v>
      </c>
      <c r="K269" s="100">
        <v>25.45</v>
      </c>
      <c r="L269" s="100">
        <v>19.8</v>
      </c>
      <c r="M269" s="100">
        <v>24.7</v>
      </c>
      <c r="N269" s="100">
        <v>23.35</v>
      </c>
      <c r="O269" s="100">
        <v>23.1</v>
      </c>
      <c r="P269" s="258">
        <f t="shared" si="31"/>
        <v>23</v>
      </c>
    </row>
    <row r="270" spans="2:16">
      <c r="B270" s="553">
        <f t="shared" ref="B270:B333" si="33">B269+1</f>
        <v>45287</v>
      </c>
      <c r="C270" s="100">
        <v>26</v>
      </c>
      <c r="D270" s="100">
        <v>22</v>
      </c>
      <c r="E270" s="100">
        <v>22</v>
      </c>
      <c r="F270" s="100">
        <v>21</v>
      </c>
      <c r="G270" s="100">
        <v>25</v>
      </c>
      <c r="H270" s="258">
        <f t="shared" si="30"/>
        <v>24</v>
      </c>
      <c r="J270" s="551">
        <f t="shared" si="32"/>
        <v>45287</v>
      </c>
      <c r="K270" s="100">
        <v>25.5</v>
      </c>
      <c r="L270" s="100">
        <v>20.45</v>
      </c>
      <c r="M270" s="100">
        <v>24.65</v>
      </c>
      <c r="N270" s="100">
        <v>22.8</v>
      </c>
      <c r="O270" s="100">
        <v>23.9</v>
      </c>
      <c r="P270" s="258">
        <f t="shared" si="31"/>
        <v>24</v>
      </c>
    </row>
    <row r="271" spans="2:16">
      <c r="B271" s="553">
        <f t="shared" si="33"/>
        <v>45288</v>
      </c>
      <c r="C271" s="100">
        <v>30</v>
      </c>
      <c r="D271" s="100">
        <v>27</v>
      </c>
      <c r="E271" s="100">
        <v>26</v>
      </c>
      <c r="F271" s="100">
        <v>24</v>
      </c>
      <c r="G271" s="100">
        <v>28</v>
      </c>
      <c r="H271" s="258">
        <f t="shared" si="30"/>
        <v>28</v>
      </c>
      <c r="J271" s="551">
        <f t="shared" si="32"/>
        <v>45288</v>
      </c>
      <c r="K271" s="100">
        <v>31.4</v>
      </c>
      <c r="L271" s="100">
        <v>25.15</v>
      </c>
      <c r="M271" s="100">
        <v>29.9</v>
      </c>
      <c r="N271" s="100">
        <v>28.15</v>
      </c>
      <c r="O271" s="100">
        <v>29.4</v>
      </c>
      <c r="P271" s="258">
        <f t="shared" si="31"/>
        <v>29</v>
      </c>
    </row>
    <row r="272" spans="2:16">
      <c r="B272" s="553">
        <f t="shared" si="33"/>
        <v>45289</v>
      </c>
      <c r="C272" s="100">
        <v>29</v>
      </c>
      <c r="D272" s="100">
        <v>26</v>
      </c>
      <c r="E272" s="100">
        <v>29</v>
      </c>
      <c r="F272" s="100">
        <v>27</v>
      </c>
      <c r="G272" s="100">
        <v>28</v>
      </c>
      <c r="H272" s="258">
        <f t="shared" si="30"/>
        <v>28</v>
      </c>
      <c r="J272" s="551">
        <f t="shared" si="32"/>
        <v>45289</v>
      </c>
      <c r="K272" s="100">
        <v>32.75</v>
      </c>
      <c r="L272" s="100">
        <v>26.05</v>
      </c>
      <c r="M272" s="100">
        <v>32</v>
      </c>
      <c r="N272" s="100">
        <v>30.05</v>
      </c>
      <c r="O272" s="100">
        <v>30.55</v>
      </c>
      <c r="P272" s="258">
        <f t="shared" si="31"/>
        <v>30</v>
      </c>
    </row>
    <row r="273" spans="2:16">
      <c r="B273" s="553">
        <f t="shared" si="33"/>
        <v>45290</v>
      </c>
      <c r="C273" s="100">
        <v>24</v>
      </c>
      <c r="D273" s="100">
        <v>29</v>
      </c>
      <c r="E273" s="100">
        <v>27</v>
      </c>
      <c r="F273" s="100">
        <v>25</v>
      </c>
      <c r="G273" s="100">
        <v>22</v>
      </c>
      <c r="H273" s="258">
        <f t="shared" si="30"/>
        <v>25</v>
      </c>
      <c r="J273" s="551">
        <f t="shared" si="32"/>
        <v>45290</v>
      </c>
      <c r="K273" s="100">
        <v>33.1</v>
      </c>
      <c r="L273" s="100">
        <v>27.1</v>
      </c>
      <c r="M273" s="100">
        <v>32.35</v>
      </c>
      <c r="N273" s="100">
        <v>31.2</v>
      </c>
      <c r="O273" s="100">
        <v>31.2</v>
      </c>
      <c r="P273" s="258">
        <f t="shared" si="31"/>
        <v>31</v>
      </c>
    </row>
    <row r="274" spans="2:16">
      <c r="B274" s="553">
        <f t="shared" si="33"/>
        <v>45291</v>
      </c>
      <c r="C274" s="100">
        <v>27</v>
      </c>
      <c r="D274" s="100">
        <v>19</v>
      </c>
      <c r="E274" s="100">
        <v>24</v>
      </c>
      <c r="F274" s="100">
        <v>25</v>
      </c>
      <c r="G274" s="100">
        <v>23</v>
      </c>
      <c r="H274" s="258">
        <f t="shared" si="30"/>
        <v>23</v>
      </c>
      <c r="J274" s="551">
        <f t="shared" si="32"/>
        <v>45291</v>
      </c>
      <c r="K274" s="100">
        <v>26.85</v>
      </c>
      <c r="L274" s="100">
        <v>20</v>
      </c>
      <c r="M274" s="100">
        <v>25.15</v>
      </c>
      <c r="N274" s="100">
        <v>24</v>
      </c>
      <c r="O274" s="100">
        <v>24.9</v>
      </c>
      <c r="P274" s="258">
        <f t="shared" si="31"/>
        <v>24</v>
      </c>
    </row>
    <row r="275" spans="2:16">
      <c r="B275" s="553">
        <f t="shared" si="33"/>
        <v>45292</v>
      </c>
      <c r="C275" s="100">
        <v>29</v>
      </c>
      <c r="D275" s="100">
        <v>28</v>
      </c>
      <c r="E275" s="100">
        <v>30</v>
      </c>
      <c r="F275" s="100">
        <v>29</v>
      </c>
      <c r="G275" s="100">
        <v>27</v>
      </c>
      <c r="H275" s="258">
        <f t="shared" si="30"/>
        <v>28</v>
      </c>
      <c r="J275" s="551">
        <f t="shared" si="32"/>
        <v>45292</v>
      </c>
      <c r="K275" s="100">
        <v>28.2</v>
      </c>
      <c r="L275" s="100">
        <v>21.35</v>
      </c>
      <c r="M275" s="100">
        <v>26.5</v>
      </c>
      <c r="N275" s="100">
        <v>24.6</v>
      </c>
      <c r="O275" s="100">
        <v>26.4</v>
      </c>
      <c r="P275" s="258">
        <f t="shared" si="31"/>
        <v>26</v>
      </c>
    </row>
    <row r="276" spans="2:16">
      <c r="B276" s="553">
        <f t="shared" si="33"/>
        <v>45293</v>
      </c>
      <c r="C276" s="100">
        <v>31</v>
      </c>
      <c r="D276" s="100">
        <v>26</v>
      </c>
      <c r="E276" s="100">
        <v>31</v>
      </c>
      <c r="F276" s="100">
        <v>28</v>
      </c>
      <c r="G276" s="100">
        <v>31</v>
      </c>
      <c r="H276" s="258">
        <f t="shared" si="30"/>
        <v>30</v>
      </c>
      <c r="J276" s="551">
        <f t="shared" si="32"/>
        <v>45293</v>
      </c>
      <c r="K276" s="100">
        <v>29.4</v>
      </c>
      <c r="L276" s="100">
        <v>24.2</v>
      </c>
      <c r="M276" s="100">
        <v>29</v>
      </c>
      <c r="N276" s="100">
        <v>27.25</v>
      </c>
      <c r="O276" s="100">
        <v>27.3</v>
      </c>
      <c r="P276" s="258">
        <f t="shared" si="31"/>
        <v>27</v>
      </c>
    </row>
    <row r="277" spans="2:16">
      <c r="B277" s="553">
        <f t="shared" si="33"/>
        <v>45294</v>
      </c>
      <c r="C277" s="100">
        <v>30</v>
      </c>
      <c r="D277" s="100">
        <v>32</v>
      </c>
      <c r="E277" s="100">
        <v>34</v>
      </c>
      <c r="F277" s="100">
        <v>29</v>
      </c>
      <c r="G277" s="100">
        <v>29</v>
      </c>
      <c r="H277" s="258">
        <f t="shared" si="30"/>
        <v>31</v>
      </c>
      <c r="J277" s="551">
        <f t="shared" si="32"/>
        <v>45294</v>
      </c>
      <c r="K277" s="100">
        <v>29.05</v>
      </c>
      <c r="L277" s="100">
        <v>24.2</v>
      </c>
      <c r="M277" s="100">
        <v>29.55</v>
      </c>
      <c r="N277" s="100">
        <v>27.05</v>
      </c>
      <c r="O277" s="100">
        <v>26.7</v>
      </c>
      <c r="P277" s="258">
        <f t="shared" si="31"/>
        <v>27</v>
      </c>
    </row>
    <row r="278" spans="2:16">
      <c r="B278" s="553">
        <f t="shared" si="33"/>
        <v>45295</v>
      </c>
      <c r="C278" s="100">
        <v>28</v>
      </c>
      <c r="D278" s="100">
        <v>27</v>
      </c>
      <c r="E278" s="100">
        <v>31</v>
      </c>
      <c r="F278" s="100">
        <v>30</v>
      </c>
      <c r="G278" s="100">
        <v>29</v>
      </c>
      <c r="H278" s="258">
        <f t="shared" si="30"/>
        <v>29</v>
      </c>
      <c r="J278" s="551">
        <f t="shared" si="32"/>
        <v>45295</v>
      </c>
      <c r="K278" s="100">
        <v>26.5</v>
      </c>
      <c r="L278" s="100">
        <v>23.2</v>
      </c>
      <c r="M278" s="100">
        <v>28.5</v>
      </c>
      <c r="N278" s="100">
        <v>25.55</v>
      </c>
      <c r="O278" s="100">
        <v>25.1</v>
      </c>
      <c r="P278" s="258">
        <f t="shared" si="31"/>
        <v>25</v>
      </c>
    </row>
    <row r="279" spans="2:16">
      <c r="B279" s="553">
        <f t="shared" si="33"/>
        <v>45296</v>
      </c>
      <c r="C279" s="100">
        <v>32</v>
      </c>
      <c r="D279" s="100">
        <v>27</v>
      </c>
      <c r="E279" s="100">
        <v>30</v>
      </c>
      <c r="F279" s="100">
        <v>30</v>
      </c>
      <c r="G279" s="100">
        <v>32</v>
      </c>
      <c r="H279" s="258">
        <f t="shared" si="30"/>
        <v>30</v>
      </c>
      <c r="J279" s="551">
        <f t="shared" si="32"/>
        <v>45296</v>
      </c>
      <c r="K279" s="100">
        <v>24.3</v>
      </c>
      <c r="L279" s="100">
        <v>19.649999999999999</v>
      </c>
      <c r="M279" s="100">
        <v>24.8</v>
      </c>
      <c r="N279" s="100">
        <v>22.7</v>
      </c>
      <c r="O279" s="100">
        <v>23.25</v>
      </c>
      <c r="P279" s="258">
        <f t="shared" si="31"/>
        <v>23</v>
      </c>
    </row>
    <row r="280" spans="2:16">
      <c r="B280" s="553">
        <f t="shared" si="33"/>
        <v>45297</v>
      </c>
      <c r="C280" s="100">
        <v>25</v>
      </c>
      <c r="D280" s="100">
        <v>22</v>
      </c>
      <c r="E280" s="100">
        <v>26</v>
      </c>
      <c r="F280" s="100">
        <v>25</v>
      </c>
      <c r="G280" s="100">
        <v>25</v>
      </c>
      <c r="H280" s="258">
        <f t="shared" si="30"/>
        <v>24</v>
      </c>
      <c r="J280" s="551">
        <f t="shared" si="32"/>
        <v>45297</v>
      </c>
      <c r="K280" s="100">
        <v>26.4</v>
      </c>
      <c r="L280" s="100">
        <v>21.05</v>
      </c>
      <c r="M280" s="100">
        <v>25.25</v>
      </c>
      <c r="N280" s="100">
        <v>23.95</v>
      </c>
      <c r="O280" s="100">
        <v>23.842105263157894</v>
      </c>
      <c r="P280" s="258">
        <f t="shared" si="31"/>
        <v>24</v>
      </c>
    </row>
    <row r="281" spans="2:16">
      <c r="B281" s="553">
        <f t="shared" si="33"/>
        <v>45298</v>
      </c>
      <c r="C281" s="100">
        <v>29</v>
      </c>
      <c r="D281" s="100">
        <v>25</v>
      </c>
      <c r="E281" s="100">
        <v>27</v>
      </c>
      <c r="F281" s="100">
        <v>26</v>
      </c>
      <c r="G281" s="100">
        <v>27</v>
      </c>
      <c r="H281" s="258">
        <f t="shared" si="30"/>
        <v>27</v>
      </c>
      <c r="J281" s="551">
        <f t="shared" si="32"/>
        <v>45298</v>
      </c>
      <c r="K281" s="100">
        <v>25.210526315789473</v>
      </c>
      <c r="L281" s="100">
        <v>21.7</v>
      </c>
      <c r="M281" s="100">
        <v>25.75</v>
      </c>
      <c r="N281" s="100">
        <v>24.35</v>
      </c>
      <c r="O281" s="100">
        <v>24.7</v>
      </c>
      <c r="P281" s="258">
        <f t="shared" si="31"/>
        <v>24</v>
      </c>
    </row>
    <row r="282" spans="2:16">
      <c r="B282" s="553">
        <f t="shared" si="33"/>
        <v>45299</v>
      </c>
      <c r="C282" s="100">
        <v>29</v>
      </c>
      <c r="D282" s="100">
        <v>24</v>
      </c>
      <c r="E282" s="100">
        <v>28</v>
      </c>
      <c r="F282" s="100">
        <v>27</v>
      </c>
      <c r="G282" s="100">
        <v>29</v>
      </c>
      <c r="H282" s="258">
        <f t="shared" si="30"/>
        <v>28</v>
      </c>
      <c r="J282" s="551">
        <f t="shared" si="32"/>
        <v>45299</v>
      </c>
      <c r="K282" s="100">
        <v>27.55</v>
      </c>
      <c r="L282" s="100">
        <v>21.15</v>
      </c>
      <c r="M282" s="100">
        <v>24.684210526315791</v>
      </c>
      <c r="N282" s="100">
        <v>24.95</v>
      </c>
      <c r="O282" s="100">
        <v>25.5</v>
      </c>
      <c r="P282" s="258">
        <f t="shared" si="31"/>
        <v>25</v>
      </c>
    </row>
    <row r="283" spans="2:16">
      <c r="B283" s="553">
        <f t="shared" si="33"/>
        <v>45300</v>
      </c>
      <c r="C283" s="100">
        <v>23</v>
      </c>
      <c r="D283" s="100">
        <v>20</v>
      </c>
      <c r="E283" s="100">
        <v>20</v>
      </c>
      <c r="F283" s="100">
        <v>21</v>
      </c>
      <c r="G283" s="100">
        <v>23</v>
      </c>
      <c r="H283" s="258">
        <f t="shared" si="30"/>
        <v>22</v>
      </c>
      <c r="J283" s="551">
        <f t="shared" si="32"/>
        <v>45300</v>
      </c>
      <c r="K283" s="100">
        <v>27.8</v>
      </c>
      <c r="L283" s="100">
        <v>22.7</v>
      </c>
      <c r="M283" s="100">
        <v>27.7</v>
      </c>
      <c r="N283" s="100">
        <v>26.5</v>
      </c>
      <c r="O283" s="100">
        <v>26.45</v>
      </c>
      <c r="P283" s="258">
        <f t="shared" si="31"/>
        <v>26</v>
      </c>
    </row>
    <row r="284" spans="2:16">
      <c r="B284" s="553">
        <f t="shared" si="33"/>
        <v>45301</v>
      </c>
      <c r="C284" s="100">
        <v>29</v>
      </c>
      <c r="D284" s="100">
        <v>23</v>
      </c>
      <c r="E284" s="100">
        <v>30</v>
      </c>
      <c r="F284" s="100">
        <v>30</v>
      </c>
      <c r="G284" s="100">
        <v>26</v>
      </c>
      <c r="H284" s="258">
        <f t="shared" si="30"/>
        <v>27</v>
      </c>
      <c r="J284" s="551">
        <f t="shared" si="32"/>
        <v>45301</v>
      </c>
      <c r="K284" s="100">
        <v>26.45</v>
      </c>
      <c r="L284" s="100">
        <v>22.15</v>
      </c>
      <c r="M284" s="100">
        <v>25.5</v>
      </c>
      <c r="N284" s="100">
        <v>24.75</v>
      </c>
      <c r="O284" s="100">
        <v>24.3</v>
      </c>
      <c r="P284" s="258">
        <f t="shared" si="31"/>
        <v>24</v>
      </c>
    </row>
    <row r="285" spans="2:16">
      <c r="B285" s="553">
        <f t="shared" si="33"/>
        <v>45302</v>
      </c>
      <c r="C285" s="100">
        <v>23</v>
      </c>
      <c r="D285" s="100">
        <v>17</v>
      </c>
      <c r="E285" s="100">
        <v>22</v>
      </c>
      <c r="F285" s="100">
        <v>23</v>
      </c>
      <c r="G285" s="100">
        <v>20</v>
      </c>
      <c r="H285" s="258">
        <f t="shared" si="30"/>
        <v>20</v>
      </c>
      <c r="J285" s="551">
        <f t="shared" si="32"/>
        <v>45302</v>
      </c>
      <c r="K285" s="100">
        <v>25.7</v>
      </c>
      <c r="L285" s="100">
        <v>19.95</v>
      </c>
      <c r="M285" s="100">
        <v>24.1</v>
      </c>
      <c r="N285" s="100">
        <v>23.05</v>
      </c>
      <c r="O285" s="100">
        <v>24.15</v>
      </c>
      <c r="P285" s="258">
        <f t="shared" si="31"/>
        <v>23</v>
      </c>
    </row>
    <row r="286" spans="2:16">
      <c r="B286" s="553">
        <f t="shared" si="33"/>
        <v>45303</v>
      </c>
      <c r="C286" s="100">
        <v>27</v>
      </c>
      <c r="D286" s="100">
        <v>20</v>
      </c>
      <c r="E286" s="100">
        <v>21</v>
      </c>
      <c r="F286" s="100">
        <v>21</v>
      </c>
      <c r="G286" s="100">
        <v>26</v>
      </c>
      <c r="H286" s="258">
        <f t="shared" si="30"/>
        <v>24</v>
      </c>
      <c r="J286" s="551">
        <f t="shared" si="32"/>
        <v>45303</v>
      </c>
      <c r="K286" s="100">
        <v>25.5</v>
      </c>
      <c r="L286" s="100">
        <v>20.8</v>
      </c>
      <c r="M286" s="100">
        <v>24.75</v>
      </c>
      <c r="N286" s="100">
        <v>23.2</v>
      </c>
      <c r="O286" s="100">
        <v>24.75</v>
      </c>
      <c r="P286" s="258">
        <f t="shared" si="31"/>
        <v>24</v>
      </c>
    </row>
    <row r="287" spans="2:16">
      <c r="B287" s="553">
        <f t="shared" si="33"/>
        <v>45304</v>
      </c>
      <c r="C287" s="100">
        <v>41</v>
      </c>
      <c r="D287" s="100">
        <v>28</v>
      </c>
      <c r="E287" s="100">
        <v>33</v>
      </c>
      <c r="F287" s="100">
        <v>36</v>
      </c>
      <c r="G287" s="100">
        <v>37</v>
      </c>
      <c r="H287" s="258">
        <f t="shared" si="30"/>
        <v>35</v>
      </c>
      <c r="J287" s="551">
        <f t="shared" si="32"/>
        <v>45304</v>
      </c>
      <c r="K287" s="100">
        <v>26.2</v>
      </c>
      <c r="L287" s="100">
        <v>21.05</v>
      </c>
      <c r="M287" s="100">
        <v>25.4</v>
      </c>
      <c r="N287" s="100">
        <v>23.65</v>
      </c>
      <c r="O287" s="100">
        <v>24.05</v>
      </c>
      <c r="P287" s="258">
        <f t="shared" si="31"/>
        <v>24</v>
      </c>
    </row>
    <row r="288" spans="2:16">
      <c r="B288" s="553">
        <f t="shared" si="33"/>
        <v>45305</v>
      </c>
      <c r="C288" s="100">
        <v>53</v>
      </c>
      <c r="D288" s="100">
        <v>38</v>
      </c>
      <c r="E288" s="100">
        <v>45</v>
      </c>
      <c r="F288" s="100">
        <v>47</v>
      </c>
      <c r="G288" s="100">
        <v>51</v>
      </c>
      <c r="H288" s="258">
        <f t="shared" si="30"/>
        <v>47</v>
      </c>
      <c r="J288" s="551">
        <f t="shared" si="32"/>
        <v>45305</v>
      </c>
      <c r="K288" s="100">
        <v>25.35</v>
      </c>
      <c r="L288" s="100">
        <v>19.850000000000001</v>
      </c>
      <c r="M288" s="100">
        <v>24.2</v>
      </c>
      <c r="N288" s="100">
        <v>23</v>
      </c>
      <c r="O288" s="100">
        <v>23.1</v>
      </c>
      <c r="P288" s="258">
        <f t="shared" si="31"/>
        <v>23</v>
      </c>
    </row>
    <row r="289" spans="2:16">
      <c r="B289" s="553">
        <f t="shared" si="33"/>
        <v>45306</v>
      </c>
      <c r="C289" s="100">
        <v>56</v>
      </c>
      <c r="D289" s="100">
        <v>50</v>
      </c>
      <c r="E289" s="100">
        <v>52</v>
      </c>
      <c r="F289" s="100">
        <v>54</v>
      </c>
      <c r="G289" s="100">
        <v>57</v>
      </c>
      <c r="H289" s="258">
        <f t="shared" si="30"/>
        <v>54</v>
      </c>
      <c r="J289" s="551">
        <f t="shared" si="32"/>
        <v>45306</v>
      </c>
      <c r="K289" s="100">
        <v>25.15</v>
      </c>
      <c r="L289" s="100">
        <v>19.8</v>
      </c>
      <c r="M289" s="100">
        <v>25</v>
      </c>
      <c r="N289" s="100">
        <v>23.15</v>
      </c>
      <c r="O289" s="100">
        <v>22.95</v>
      </c>
      <c r="P289" s="258">
        <f t="shared" si="31"/>
        <v>23</v>
      </c>
    </row>
    <row r="290" spans="2:16">
      <c r="B290" s="553">
        <f t="shared" si="33"/>
        <v>45307</v>
      </c>
      <c r="C290" s="100">
        <v>54</v>
      </c>
      <c r="D290" s="100">
        <v>52</v>
      </c>
      <c r="E290" s="100">
        <v>54</v>
      </c>
      <c r="F290" s="100">
        <v>50</v>
      </c>
      <c r="G290" s="100">
        <v>54</v>
      </c>
      <c r="H290" s="258">
        <f t="shared" si="30"/>
        <v>53</v>
      </c>
      <c r="J290" s="551">
        <f t="shared" si="32"/>
        <v>45307</v>
      </c>
      <c r="K290" s="100">
        <v>32.85</v>
      </c>
      <c r="L290" s="100">
        <v>28.55</v>
      </c>
      <c r="M290" s="100">
        <v>33.6</v>
      </c>
      <c r="N290" s="100">
        <v>31.95</v>
      </c>
      <c r="O290" s="100">
        <v>30.8</v>
      </c>
      <c r="P290" s="258">
        <f t="shared" si="31"/>
        <v>31</v>
      </c>
    </row>
    <row r="291" spans="2:16">
      <c r="B291" s="553">
        <f t="shared" si="33"/>
        <v>45308</v>
      </c>
      <c r="C291" s="100">
        <v>47</v>
      </c>
      <c r="D291" s="100">
        <v>52</v>
      </c>
      <c r="E291" s="100">
        <v>51</v>
      </c>
      <c r="F291" s="100">
        <v>46</v>
      </c>
      <c r="G291" s="100">
        <v>49</v>
      </c>
      <c r="H291" s="258">
        <f t="shared" si="30"/>
        <v>49</v>
      </c>
      <c r="J291" s="551">
        <f t="shared" si="32"/>
        <v>45308</v>
      </c>
      <c r="K291" s="100">
        <v>31.75</v>
      </c>
      <c r="L291" s="100">
        <v>27.3</v>
      </c>
      <c r="M291" s="100">
        <v>32.299999999999997</v>
      </c>
      <c r="N291" s="100">
        <v>30.45</v>
      </c>
      <c r="O291" s="100">
        <v>29.7</v>
      </c>
      <c r="P291" s="258">
        <f t="shared" si="31"/>
        <v>30</v>
      </c>
    </row>
    <row r="292" spans="2:16">
      <c r="B292" s="553">
        <f t="shared" si="33"/>
        <v>45309</v>
      </c>
      <c r="C292" s="100">
        <v>35</v>
      </c>
      <c r="D292" s="100">
        <v>40</v>
      </c>
      <c r="E292" s="100">
        <v>39</v>
      </c>
      <c r="F292" s="100">
        <v>36</v>
      </c>
      <c r="G292" s="100">
        <v>38</v>
      </c>
      <c r="H292" s="258">
        <f t="shared" si="30"/>
        <v>38</v>
      </c>
      <c r="J292" s="551">
        <f t="shared" si="32"/>
        <v>45309</v>
      </c>
      <c r="K292" s="100">
        <v>31.65</v>
      </c>
      <c r="L292" s="100">
        <v>27.05</v>
      </c>
      <c r="M292" s="100">
        <v>33.299999999999997</v>
      </c>
      <c r="N292" s="100">
        <v>30.85</v>
      </c>
      <c r="O292" s="100">
        <v>29.65</v>
      </c>
      <c r="P292" s="258">
        <f t="shared" si="31"/>
        <v>30</v>
      </c>
    </row>
    <row r="293" spans="2:16">
      <c r="B293" s="553">
        <f t="shared" si="33"/>
        <v>45310</v>
      </c>
      <c r="C293" s="100">
        <v>47</v>
      </c>
      <c r="D293" s="100">
        <v>41</v>
      </c>
      <c r="E293" s="100">
        <v>44</v>
      </c>
      <c r="F293" s="100">
        <v>45</v>
      </c>
      <c r="G293" s="100">
        <v>43</v>
      </c>
      <c r="H293" s="258">
        <f t="shared" si="30"/>
        <v>44</v>
      </c>
      <c r="J293" s="551">
        <f t="shared" si="32"/>
        <v>45310</v>
      </c>
      <c r="K293" s="100">
        <v>30.75</v>
      </c>
      <c r="L293" s="100">
        <v>24.65</v>
      </c>
      <c r="M293" s="100">
        <v>30.45</v>
      </c>
      <c r="N293" s="100">
        <v>29.15</v>
      </c>
      <c r="O293" s="100">
        <v>27.65</v>
      </c>
      <c r="P293" s="258">
        <f t="shared" si="31"/>
        <v>28</v>
      </c>
    </row>
    <row r="294" spans="2:16">
      <c r="B294" s="553">
        <f t="shared" si="33"/>
        <v>45311</v>
      </c>
      <c r="C294" s="100">
        <v>54</v>
      </c>
      <c r="D294" s="100">
        <v>53</v>
      </c>
      <c r="E294" s="100">
        <v>57</v>
      </c>
      <c r="F294" s="100">
        <v>53</v>
      </c>
      <c r="G294" s="100">
        <v>51</v>
      </c>
      <c r="H294" s="258">
        <f t="shared" si="30"/>
        <v>53</v>
      </c>
      <c r="J294" s="551">
        <f t="shared" si="32"/>
        <v>45311</v>
      </c>
      <c r="K294" s="100">
        <v>33.15</v>
      </c>
      <c r="L294" s="100">
        <v>26.2</v>
      </c>
      <c r="M294" s="100">
        <v>33.1</v>
      </c>
      <c r="N294" s="100">
        <v>31.3</v>
      </c>
      <c r="O294" s="100">
        <v>30.25</v>
      </c>
      <c r="P294" s="258">
        <f t="shared" si="31"/>
        <v>30</v>
      </c>
    </row>
    <row r="295" spans="2:16">
      <c r="B295" s="553">
        <f t="shared" si="33"/>
        <v>45312</v>
      </c>
      <c r="C295" s="100">
        <v>49</v>
      </c>
      <c r="D295" s="100">
        <v>47</v>
      </c>
      <c r="E295" s="100">
        <v>55</v>
      </c>
      <c r="F295" s="100">
        <v>49</v>
      </c>
      <c r="G295" s="100">
        <v>48</v>
      </c>
      <c r="H295" s="258">
        <f t="shared" si="30"/>
        <v>49</v>
      </c>
      <c r="J295" s="551">
        <f t="shared" si="32"/>
        <v>45312</v>
      </c>
      <c r="K295" s="100">
        <v>33.65</v>
      </c>
      <c r="L295" s="100">
        <v>26.9</v>
      </c>
      <c r="M295" s="100">
        <v>34.700000000000003</v>
      </c>
      <c r="N295" s="100">
        <v>32.200000000000003</v>
      </c>
      <c r="O295" s="100">
        <v>30.95</v>
      </c>
      <c r="P295" s="258">
        <f t="shared" si="31"/>
        <v>31</v>
      </c>
    </row>
    <row r="296" spans="2:16">
      <c r="B296" s="553">
        <f t="shared" si="33"/>
        <v>45313</v>
      </c>
      <c r="C296" s="100">
        <v>33</v>
      </c>
      <c r="D296" s="100">
        <v>32</v>
      </c>
      <c r="E296" s="100">
        <v>35</v>
      </c>
      <c r="F296" s="100">
        <v>31</v>
      </c>
      <c r="G296" s="100">
        <v>29</v>
      </c>
      <c r="H296" s="258">
        <f t="shared" si="30"/>
        <v>32</v>
      </c>
      <c r="J296" s="551">
        <f t="shared" si="32"/>
        <v>45313</v>
      </c>
      <c r="K296" s="100">
        <v>31.7</v>
      </c>
      <c r="L296" s="100">
        <v>26.25</v>
      </c>
      <c r="M296" s="100">
        <v>33.25</v>
      </c>
      <c r="N296" s="100">
        <v>30.95</v>
      </c>
      <c r="O296" s="100">
        <v>29.5</v>
      </c>
      <c r="P296" s="258">
        <f t="shared" si="31"/>
        <v>30</v>
      </c>
    </row>
    <row r="297" spans="2:16">
      <c r="B297" s="553">
        <f t="shared" si="33"/>
        <v>45314</v>
      </c>
      <c r="C297" s="100">
        <v>20</v>
      </c>
      <c r="D297" s="100">
        <v>15</v>
      </c>
      <c r="E297" s="100">
        <v>20</v>
      </c>
      <c r="F297" s="100">
        <v>19</v>
      </c>
      <c r="G297" s="100">
        <v>18</v>
      </c>
      <c r="H297" s="258">
        <f t="shared" si="30"/>
        <v>18</v>
      </c>
      <c r="J297" s="551">
        <f t="shared" si="32"/>
        <v>45314</v>
      </c>
      <c r="K297" s="100">
        <v>30.45</v>
      </c>
      <c r="L297" s="100">
        <v>26.3</v>
      </c>
      <c r="M297" s="100">
        <v>31.7</v>
      </c>
      <c r="N297" s="100">
        <v>29</v>
      </c>
      <c r="O297" s="100">
        <v>28.95</v>
      </c>
      <c r="P297" s="258">
        <f t="shared" si="31"/>
        <v>29</v>
      </c>
    </row>
    <row r="298" spans="2:16">
      <c r="B298" s="553">
        <f t="shared" si="33"/>
        <v>45315</v>
      </c>
      <c r="C298" s="100">
        <v>12</v>
      </c>
      <c r="D298" s="100">
        <v>8</v>
      </c>
      <c r="E298" s="100">
        <v>9</v>
      </c>
      <c r="F298" s="100">
        <v>10</v>
      </c>
      <c r="G298" s="100">
        <v>9</v>
      </c>
      <c r="H298" s="258">
        <f t="shared" si="30"/>
        <v>10</v>
      </c>
      <c r="J298" s="551">
        <f t="shared" si="32"/>
        <v>45315</v>
      </c>
      <c r="K298" s="100">
        <v>30.9</v>
      </c>
      <c r="L298" s="100">
        <v>25.7</v>
      </c>
      <c r="M298" s="100">
        <v>32.9</v>
      </c>
      <c r="N298" s="100">
        <v>29.9</v>
      </c>
      <c r="O298" s="100">
        <v>29.05</v>
      </c>
      <c r="P298" s="258">
        <f t="shared" si="31"/>
        <v>29</v>
      </c>
    </row>
    <row r="299" spans="2:16">
      <c r="B299" s="553">
        <f t="shared" si="33"/>
        <v>45316</v>
      </c>
      <c r="C299" s="100">
        <v>15</v>
      </c>
      <c r="D299" s="100">
        <v>5</v>
      </c>
      <c r="E299" s="100">
        <v>4</v>
      </c>
      <c r="F299" s="100">
        <v>6</v>
      </c>
      <c r="G299" s="100">
        <v>12</v>
      </c>
      <c r="H299" s="258">
        <f t="shared" si="30"/>
        <v>10</v>
      </c>
      <c r="J299" s="551">
        <f t="shared" si="32"/>
        <v>45316</v>
      </c>
      <c r="K299" s="100">
        <v>31</v>
      </c>
      <c r="L299" s="100">
        <v>24.5</v>
      </c>
      <c r="M299" s="100">
        <v>30.4</v>
      </c>
      <c r="N299" s="100">
        <v>29.25</v>
      </c>
      <c r="O299" s="100">
        <v>28.7</v>
      </c>
      <c r="P299" s="258">
        <f t="shared" si="31"/>
        <v>29</v>
      </c>
    </row>
    <row r="300" spans="2:16">
      <c r="B300" s="553">
        <f t="shared" si="33"/>
        <v>45317</v>
      </c>
      <c r="C300" s="100">
        <v>20</v>
      </c>
      <c r="D300" s="100">
        <v>8</v>
      </c>
      <c r="E300" s="100">
        <v>11</v>
      </c>
      <c r="F300" s="100">
        <v>12</v>
      </c>
      <c r="G300" s="100">
        <v>17</v>
      </c>
      <c r="H300" s="258">
        <f t="shared" si="30"/>
        <v>15</v>
      </c>
      <c r="J300" s="551">
        <f t="shared" si="32"/>
        <v>45317</v>
      </c>
      <c r="K300" s="100">
        <v>30.2</v>
      </c>
      <c r="L300" s="100">
        <v>24.3</v>
      </c>
      <c r="M300" s="100">
        <v>30.05</v>
      </c>
      <c r="N300" s="100">
        <v>28.45</v>
      </c>
      <c r="O300" s="100">
        <v>27.9</v>
      </c>
      <c r="P300" s="258">
        <f t="shared" si="31"/>
        <v>28</v>
      </c>
    </row>
    <row r="301" spans="2:16">
      <c r="B301" s="553">
        <f t="shared" si="33"/>
        <v>45318</v>
      </c>
      <c r="C301" s="100">
        <v>23</v>
      </c>
      <c r="D301" s="100">
        <v>13</v>
      </c>
      <c r="E301" s="100">
        <v>17</v>
      </c>
      <c r="F301" s="100">
        <v>20</v>
      </c>
      <c r="G301" s="100">
        <v>23</v>
      </c>
      <c r="H301" s="258">
        <f t="shared" si="30"/>
        <v>20</v>
      </c>
      <c r="J301" s="551">
        <f t="shared" si="32"/>
        <v>45318</v>
      </c>
      <c r="K301" s="100">
        <v>31.35</v>
      </c>
      <c r="L301" s="100">
        <v>24.45</v>
      </c>
      <c r="M301" s="100">
        <v>31.2</v>
      </c>
      <c r="N301" s="100">
        <v>28.85</v>
      </c>
      <c r="O301" s="100">
        <v>28.45</v>
      </c>
      <c r="P301" s="258">
        <f t="shared" si="31"/>
        <v>29</v>
      </c>
    </row>
    <row r="302" spans="2:16">
      <c r="B302" s="553">
        <f t="shared" si="33"/>
        <v>45319</v>
      </c>
      <c r="C302" s="100">
        <v>28</v>
      </c>
      <c r="D302" s="100">
        <v>24</v>
      </c>
      <c r="E302" s="100">
        <v>21</v>
      </c>
      <c r="F302" s="100">
        <v>22</v>
      </c>
      <c r="G302" s="100">
        <v>25</v>
      </c>
      <c r="H302" s="258">
        <f t="shared" si="30"/>
        <v>25</v>
      </c>
      <c r="J302" s="551">
        <f t="shared" si="32"/>
        <v>45319</v>
      </c>
      <c r="K302" s="100">
        <v>30.85</v>
      </c>
      <c r="L302" s="100">
        <v>25.65</v>
      </c>
      <c r="M302" s="100">
        <v>31.75</v>
      </c>
      <c r="N302" s="100">
        <v>28.9</v>
      </c>
      <c r="O302" s="100">
        <v>28.45</v>
      </c>
      <c r="P302" s="258">
        <f t="shared" si="31"/>
        <v>29</v>
      </c>
    </row>
    <row r="303" spans="2:16">
      <c r="B303" s="553">
        <f t="shared" si="33"/>
        <v>45320</v>
      </c>
      <c r="C303" s="100">
        <v>30</v>
      </c>
      <c r="D303" s="100">
        <v>29</v>
      </c>
      <c r="E303" s="100">
        <v>28</v>
      </c>
      <c r="F303" s="100">
        <v>27</v>
      </c>
      <c r="G303" s="100">
        <v>27</v>
      </c>
      <c r="H303" s="258">
        <f t="shared" si="30"/>
        <v>28</v>
      </c>
      <c r="J303" s="551">
        <f t="shared" si="32"/>
        <v>45320</v>
      </c>
      <c r="K303" s="100">
        <v>30.5</v>
      </c>
      <c r="L303" s="100">
        <v>26.25</v>
      </c>
      <c r="M303" s="100">
        <v>30.94736842105263</v>
      </c>
      <c r="N303" s="100">
        <v>29.65</v>
      </c>
      <c r="O303" s="100">
        <v>28.7</v>
      </c>
      <c r="P303" s="258">
        <f t="shared" si="31"/>
        <v>29</v>
      </c>
    </row>
    <row r="304" spans="2:16">
      <c r="B304" s="553">
        <f t="shared" si="33"/>
        <v>45321</v>
      </c>
      <c r="C304" s="100">
        <v>27</v>
      </c>
      <c r="D304" s="100">
        <v>21</v>
      </c>
      <c r="E304" s="100">
        <v>28</v>
      </c>
      <c r="F304" s="100">
        <v>27</v>
      </c>
      <c r="G304" s="100">
        <v>24</v>
      </c>
      <c r="H304" s="258">
        <f t="shared" si="30"/>
        <v>25</v>
      </c>
      <c r="J304" s="551">
        <f t="shared" si="32"/>
        <v>45321</v>
      </c>
      <c r="K304" s="100">
        <v>32.450000000000003</v>
      </c>
      <c r="L304" s="100">
        <v>25.95</v>
      </c>
      <c r="M304" s="100">
        <v>32.950000000000003</v>
      </c>
      <c r="N304" s="100">
        <v>30.65</v>
      </c>
      <c r="O304" s="100">
        <v>29.75</v>
      </c>
      <c r="P304" s="258">
        <f t="shared" si="31"/>
        <v>30</v>
      </c>
    </row>
    <row r="305" spans="2:16">
      <c r="B305" s="553">
        <f t="shared" si="33"/>
        <v>45322</v>
      </c>
      <c r="C305" s="100">
        <v>23</v>
      </c>
      <c r="D305" s="100">
        <v>24</v>
      </c>
      <c r="E305" s="100">
        <v>24</v>
      </c>
      <c r="F305" s="100">
        <v>23</v>
      </c>
      <c r="G305" s="100">
        <v>23</v>
      </c>
      <c r="H305" s="258">
        <f t="shared" si="30"/>
        <v>23</v>
      </c>
      <c r="J305" s="551">
        <f t="shared" si="32"/>
        <v>45322</v>
      </c>
      <c r="K305" s="100">
        <v>30.55</v>
      </c>
      <c r="L305" s="100">
        <v>23.9</v>
      </c>
      <c r="M305" s="100">
        <v>31.5</v>
      </c>
      <c r="N305" s="100">
        <v>28.8</v>
      </c>
      <c r="O305" s="100">
        <v>27.25</v>
      </c>
      <c r="P305" s="258">
        <f t="shared" si="31"/>
        <v>28</v>
      </c>
    </row>
    <row r="306" spans="2:16">
      <c r="B306" s="553">
        <f t="shared" si="33"/>
        <v>45323</v>
      </c>
      <c r="C306" s="100">
        <v>20</v>
      </c>
      <c r="D306" s="100">
        <v>22</v>
      </c>
      <c r="E306" s="100">
        <v>21</v>
      </c>
      <c r="F306" s="100">
        <v>19</v>
      </c>
      <c r="G306" s="100">
        <v>19</v>
      </c>
      <c r="H306" s="258">
        <f t="shared" si="30"/>
        <v>20</v>
      </c>
      <c r="J306" s="551">
        <f t="shared" si="32"/>
        <v>45323</v>
      </c>
      <c r="K306" s="100">
        <v>26.85</v>
      </c>
      <c r="L306" s="100">
        <v>21.7</v>
      </c>
      <c r="M306" s="100">
        <v>26.8</v>
      </c>
      <c r="N306" s="100">
        <v>24.6</v>
      </c>
      <c r="O306" s="100">
        <v>24.4</v>
      </c>
      <c r="P306" s="258">
        <f t="shared" si="31"/>
        <v>25</v>
      </c>
    </row>
    <row r="307" spans="2:16">
      <c r="B307" s="553">
        <f t="shared" si="33"/>
        <v>45324</v>
      </c>
      <c r="C307" s="100">
        <v>17</v>
      </c>
      <c r="D307" s="100">
        <v>9</v>
      </c>
      <c r="E307" s="100">
        <v>19</v>
      </c>
      <c r="F307" s="100">
        <v>16</v>
      </c>
      <c r="G307" s="100">
        <v>9</v>
      </c>
      <c r="H307" s="258">
        <f t="shared" si="30"/>
        <v>13</v>
      </c>
      <c r="J307" s="551">
        <f t="shared" si="32"/>
        <v>45324</v>
      </c>
      <c r="K307" s="100">
        <v>29.15</v>
      </c>
      <c r="L307" s="100">
        <v>22.55</v>
      </c>
      <c r="M307" s="100">
        <v>28.1</v>
      </c>
      <c r="N307" s="100">
        <v>26.1</v>
      </c>
      <c r="O307" s="100">
        <v>26.9</v>
      </c>
      <c r="P307" s="258">
        <f t="shared" si="31"/>
        <v>27</v>
      </c>
    </row>
    <row r="308" spans="2:16">
      <c r="B308" s="553">
        <f t="shared" si="33"/>
        <v>45325</v>
      </c>
      <c r="C308" s="100">
        <v>20</v>
      </c>
      <c r="D308" s="100">
        <v>11</v>
      </c>
      <c r="E308" s="100">
        <v>22</v>
      </c>
      <c r="F308" s="100">
        <v>19</v>
      </c>
      <c r="G308" s="100">
        <v>12</v>
      </c>
      <c r="H308" s="258">
        <f t="shared" si="30"/>
        <v>15</v>
      </c>
      <c r="J308" s="551">
        <f t="shared" si="32"/>
        <v>45325</v>
      </c>
      <c r="K308" s="100">
        <v>30.55</v>
      </c>
      <c r="L308" s="100">
        <v>24.45</v>
      </c>
      <c r="M308" s="100">
        <v>30.3</v>
      </c>
      <c r="N308" s="100">
        <v>27.75</v>
      </c>
      <c r="O308" s="100">
        <v>28.25</v>
      </c>
      <c r="P308" s="258">
        <f t="shared" si="31"/>
        <v>28</v>
      </c>
    </row>
    <row r="309" spans="2:16">
      <c r="B309" s="553">
        <f t="shared" si="33"/>
        <v>45326</v>
      </c>
      <c r="C309" s="100">
        <v>17</v>
      </c>
      <c r="D309" s="100">
        <v>12</v>
      </c>
      <c r="E309" s="100">
        <v>19</v>
      </c>
      <c r="F309" s="100">
        <v>18</v>
      </c>
      <c r="G309" s="100">
        <v>14</v>
      </c>
      <c r="H309" s="258">
        <f t="shared" si="30"/>
        <v>15</v>
      </c>
      <c r="J309" s="551">
        <f t="shared" si="32"/>
        <v>45326</v>
      </c>
      <c r="K309" s="100">
        <v>29.7</v>
      </c>
      <c r="L309" s="100">
        <v>23.9</v>
      </c>
      <c r="M309" s="100">
        <v>30.65</v>
      </c>
      <c r="N309" s="100">
        <v>27.9</v>
      </c>
      <c r="O309" s="100">
        <v>26.95</v>
      </c>
      <c r="P309" s="258">
        <f t="shared" si="31"/>
        <v>27</v>
      </c>
    </row>
    <row r="310" spans="2:16">
      <c r="B310" s="553">
        <f t="shared" si="33"/>
        <v>45327</v>
      </c>
      <c r="C310" s="100">
        <v>19</v>
      </c>
      <c r="D310" s="100">
        <v>11</v>
      </c>
      <c r="E310" s="100">
        <v>18</v>
      </c>
      <c r="F310" s="100">
        <v>18</v>
      </c>
      <c r="G310" s="100">
        <v>17</v>
      </c>
      <c r="H310" s="258">
        <f t="shared" si="30"/>
        <v>16</v>
      </c>
      <c r="J310" s="551">
        <f t="shared" si="32"/>
        <v>45327</v>
      </c>
      <c r="K310" s="100">
        <v>30.75</v>
      </c>
      <c r="L310" s="100">
        <v>22.55</v>
      </c>
      <c r="M310" s="100">
        <v>30.2</v>
      </c>
      <c r="N310" s="100">
        <v>28.25</v>
      </c>
      <c r="O310" s="100">
        <v>27.95</v>
      </c>
      <c r="P310" s="258">
        <f t="shared" si="31"/>
        <v>28</v>
      </c>
    </row>
    <row r="311" spans="2:16">
      <c r="B311" s="553">
        <f t="shared" si="33"/>
        <v>45328</v>
      </c>
      <c r="C311" s="100">
        <v>26</v>
      </c>
      <c r="D311" s="100">
        <v>17</v>
      </c>
      <c r="E311" s="100">
        <v>22</v>
      </c>
      <c r="F311" s="100">
        <v>23</v>
      </c>
      <c r="G311" s="100">
        <v>19</v>
      </c>
      <c r="H311" s="258">
        <f t="shared" si="30"/>
        <v>21</v>
      </c>
      <c r="J311" s="551">
        <f t="shared" si="32"/>
        <v>45328</v>
      </c>
      <c r="K311" s="100">
        <v>28.65</v>
      </c>
      <c r="L311" s="100">
        <v>21.85</v>
      </c>
      <c r="M311" s="100">
        <v>28.45</v>
      </c>
      <c r="N311" s="100">
        <v>26.7</v>
      </c>
      <c r="O311" s="100">
        <v>25.5</v>
      </c>
      <c r="P311" s="258">
        <f t="shared" si="31"/>
        <v>26</v>
      </c>
    </row>
    <row r="312" spans="2:16">
      <c r="B312" s="553">
        <f t="shared" si="33"/>
        <v>45329</v>
      </c>
      <c r="C312" s="100">
        <v>21</v>
      </c>
      <c r="D312" s="100">
        <v>15</v>
      </c>
      <c r="E312" s="100">
        <v>18</v>
      </c>
      <c r="F312" s="100">
        <v>17</v>
      </c>
      <c r="G312" s="100">
        <v>19</v>
      </c>
      <c r="H312" s="258">
        <f t="shared" si="30"/>
        <v>18</v>
      </c>
      <c r="J312" s="551">
        <f t="shared" si="32"/>
        <v>45329</v>
      </c>
      <c r="K312" s="100">
        <v>27.75</v>
      </c>
      <c r="L312" s="100">
        <v>21.55</v>
      </c>
      <c r="M312" s="100">
        <v>26.6</v>
      </c>
      <c r="N312" s="100">
        <v>25.45</v>
      </c>
      <c r="O312" s="100">
        <v>25.7</v>
      </c>
      <c r="P312" s="258">
        <f t="shared" si="31"/>
        <v>25</v>
      </c>
    </row>
    <row r="313" spans="2:16">
      <c r="B313" s="553">
        <f t="shared" si="33"/>
        <v>45330</v>
      </c>
      <c r="C313" s="100">
        <v>13</v>
      </c>
      <c r="D313" s="100">
        <v>10</v>
      </c>
      <c r="E313" s="100">
        <v>11</v>
      </c>
      <c r="F313" s="100">
        <v>10</v>
      </c>
      <c r="G313" s="100">
        <v>10</v>
      </c>
      <c r="H313" s="258">
        <f t="shared" si="30"/>
        <v>11</v>
      </c>
      <c r="J313" s="551">
        <f t="shared" si="32"/>
        <v>45330</v>
      </c>
      <c r="K313" s="100">
        <v>29.65</v>
      </c>
      <c r="L313" s="100">
        <v>22.15</v>
      </c>
      <c r="M313" s="100">
        <v>28.6</v>
      </c>
      <c r="N313" s="100">
        <v>26.75</v>
      </c>
      <c r="O313" s="100">
        <v>26.5</v>
      </c>
      <c r="P313" s="258">
        <f t="shared" si="31"/>
        <v>27</v>
      </c>
    </row>
    <row r="314" spans="2:16">
      <c r="B314" s="553">
        <f t="shared" si="33"/>
        <v>45331</v>
      </c>
      <c r="C314" s="100">
        <v>6</v>
      </c>
      <c r="D314" s="100">
        <v>8</v>
      </c>
      <c r="E314" s="100">
        <v>12</v>
      </c>
      <c r="F314" s="100">
        <v>7</v>
      </c>
      <c r="G314" s="100">
        <v>4</v>
      </c>
      <c r="H314" s="258">
        <f t="shared" si="30"/>
        <v>7</v>
      </c>
      <c r="J314" s="551">
        <f t="shared" si="32"/>
        <v>45331</v>
      </c>
      <c r="K314" s="100">
        <v>29.9</v>
      </c>
      <c r="L314" s="100">
        <v>23.6</v>
      </c>
      <c r="M314" s="100">
        <v>29.7</v>
      </c>
      <c r="N314" s="100">
        <v>27.85</v>
      </c>
      <c r="O314" s="100">
        <v>28.05</v>
      </c>
      <c r="P314" s="258">
        <f t="shared" si="31"/>
        <v>28</v>
      </c>
    </row>
    <row r="315" spans="2:16">
      <c r="B315" s="553">
        <f t="shared" si="33"/>
        <v>45332</v>
      </c>
      <c r="C315" s="100">
        <v>14</v>
      </c>
      <c r="D315" s="100">
        <v>8</v>
      </c>
      <c r="E315" s="100">
        <v>11</v>
      </c>
      <c r="F315" s="100">
        <v>10</v>
      </c>
      <c r="G315" s="100">
        <v>12</v>
      </c>
      <c r="H315" s="258">
        <f t="shared" si="30"/>
        <v>11</v>
      </c>
      <c r="J315" s="551">
        <f t="shared" si="32"/>
        <v>45332</v>
      </c>
      <c r="K315" s="100">
        <v>31.15</v>
      </c>
      <c r="L315" s="100">
        <v>23.95</v>
      </c>
      <c r="M315" s="100">
        <v>31.45</v>
      </c>
      <c r="N315" s="100">
        <v>29.35</v>
      </c>
      <c r="O315" s="100">
        <v>29.5</v>
      </c>
      <c r="P315" s="258">
        <f t="shared" si="31"/>
        <v>29</v>
      </c>
    </row>
    <row r="316" spans="2:16">
      <c r="B316" s="553">
        <f t="shared" si="33"/>
        <v>45333</v>
      </c>
      <c r="C316" s="100">
        <v>21</v>
      </c>
      <c r="D316" s="100">
        <v>14</v>
      </c>
      <c r="E316" s="100">
        <v>20</v>
      </c>
      <c r="F316" s="100">
        <v>18</v>
      </c>
      <c r="G316" s="100">
        <v>18</v>
      </c>
      <c r="H316" s="258">
        <f t="shared" si="30"/>
        <v>18</v>
      </c>
      <c r="J316" s="551">
        <f t="shared" si="32"/>
        <v>45333</v>
      </c>
      <c r="K316" s="100">
        <v>30.5</v>
      </c>
      <c r="L316" s="100">
        <v>23.5</v>
      </c>
      <c r="M316" s="100">
        <v>30.7</v>
      </c>
      <c r="N316" s="100">
        <v>28.15</v>
      </c>
      <c r="O316" s="100">
        <v>28.25</v>
      </c>
      <c r="P316" s="258">
        <f t="shared" si="31"/>
        <v>28</v>
      </c>
    </row>
    <row r="317" spans="2:16">
      <c r="B317" s="553">
        <f t="shared" si="33"/>
        <v>45334</v>
      </c>
      <c r="C317" s="100">
        <v>22</v>
      </c>
      <c r="D317" s="100">
        <v>22</v>
      </c>
      <c r="E317" s="100">
        <v>21</v>
      </c>
      <c r="F317" s="100">
        <v>19</v>
      </c>
      <c r="G317" s="100">
        <v>19</v>
      </c>
      <c r="H317" s="258">
        <f t="shared" si="30"/>
        <v>21</v>
      </c>
      <c r="J317" s="551">
        <f t="shared" si="32"/>
        <v>45334</v>
      </c>
      <c r="K317" s="100">
        <v>30.55</v>
      </c>
      <c r="L317" s="100">
        <v>24.6</v>
      </c>
      <c r="M317" s="100">
        <v>30.45</v>
      </c>
      <c r="N317" s="100">
        <v>28.5</v>
      </c>
      <c r="O317" s="100">
        <v>29.55</v>
      </c>
      <c r="P317" s="258">
        <f t="shared" si="31"/>
        <v>29</v>
      </c>
    </row>
    <row r="318" spans="2:16">
      <c r="B318" s="553">
        <f t="shared" si="33"/>
        <v>45335</v>
      </c>
      <c r="C318" s="100">
        <v>24</v>
      </c>
      <c r="D318" s="100">
        <v>20</v>
      </c>
      <c r="E318" s="100">
        <v>23</v>
      </c>
      <c r="F318" s="100">
        <v>20</v>
      </c>
      <c r="G318" s="100">
        <v>23</v>
      </c>
      <c r="H318" s="258">
        <f t="shared" si="30"/>
        <v>22</v>
      </c>
      <c r="J318" s="551">
        <f t="shared" si="32"/>
        <v>45335</v>
      </c>
      <c r="K318" s="100">
        <v>32.25</v>
      </c>
      <c r="L318" s="100">
        <v>26.25</v>
      </c>
      <c r="M318" s="100">
        <v>32.450000000000003</v>
      </c>
      <c r="N318" s="100">
        <v>30.45</v>
      </c>
      <c r="O318" s="100">
        <v>30.5</v>
      </c>
      <c r="P318" s="258">
        <f t="shared" si="31"/>
        <v>30</v>
      </c>
    </row>
    <row r="319" spans="2:16">
      <c r="B319" s="553">
        <f t="shared" si="33"/>
        <v>45336</v>
      </c>
      <c r="C319" s="100">
        <v>17</v>
      </c>
      <c r="D319" s="100">
        <v>16</v>
      </c>
      <c r="E319" s="100">
        <v>19</v>
      </c>
      <c r="F319" s="100">
        <v>16</v>
      </c>
      <c r="G319" s="100">
        <v>14</v>
      </c>
      <c r="H319" s="258">
        <f t="shared" si="30"/>
        <v>16</v>
      </c>
      <c r="J319" s="551">
        <f t="shared" si="32"/>
        <v>45336</v>
      </c>
      <c r="K319" s="100">
        <v>29.45</v>
      </c>
      <c r="L319" s="100">
        <v>23.7</v>
      </c>
      <c r="M319" s="100">
        <v>29.2</v>
      </c>
      <c r="N319" s="100">
        <v>27.25</v>
      </c>
      <c r="O319" s="100">
        <v>26.25</v>
      </c>
      <c r="P319" s="258">
        <f t="shared" si="31"/>
        <v>27</v>
      </c>
    </row>
    <row r="320" spans="2:16">
      <c r="B320" s="553">
        <f t="shared" si="33"/>
        <v>45337</v>
      </c>
      <c r="C320" s="100">
        <v>16</v>
      </c>
      <c r="D320" s="100">
        <v>11</v>
      </c>
      <c r="E320" s="100">
        <v>14</v>
      </c>
      <c r="F320" s="100">
        <v>12</v>
      </c>
      <c r="G320" s="100">
        <v>13</v>
      </c>
      <c r="H320" s="258">
        <f t="shared" si="30"/>
        <v>13</v>
      </c>
      <c r="J320" s="551">
        <f t="shared" si="32"/>
        <v>45337</v>
      </c>
      <c r="K320" s="100">
        <v>27.7</v>
      </c>
      <c r="L320" s="100">
        <v>22.25</v>
      </c>
      <c r="M320" s="100">
        <v>27.2</v>
      </c>
      <c r="N320" s="100">
        <v>25.35</v>
      </c>
      <c r="O320" s="100">
        <v>25.45</v>
      </c>
      <c r="P320" s="258">
        <f t="shared" si="31"/>
        <v>25</v>
      </c>
    </row>
    <row r="321" spans="2:16">
      <c r="B321" s="553">
        <f t="shared" si="33"/>
        <v>45338</v>
      </c>
      <c r="C321" s="100">
        <v>32</v>
      </c>
      <c r="D321" s="100">
        <v>14</v>
      </c>
      <c r="E321" s="100">
        <v>26</v>
      </c>
      <c r="F321" s="100">
        <v>27</v>
      </c>
      <c r="G321" s="100">
        <v>28</v>
      </c>
      <c r="H321" s="258">
        <f t="shared" si="30"/>
        <v>25</v>
      </c>
      <c r="J321" s="551">
        <f t="shared" si="32"/>
        <v>45338</v>
      </c>
      <c r="K321" s="100">
        <v>28.45</v>
      </c>
      <c r="L321" s="100">
        <v>21.35</v>
      </c>
      <c r="M321" s="100">
        <v>27.8</v>
      </c>
      <c r="N321" s="100">
        <v>25.85</v>
      </c>
      <c r="O321" s="100">
        <v>26.4</v>
      </c>
      <c r="P321" s="258">
        <f t="shared" si="31"/>
        <v>26</v>
      </c>
    </row>
    <row r="322" spans="2:16">
      <c r="B322" s="553">
        <f t="shared" si="33"/>
        <v>45339</v>
      </c>
      <c r="C322" s="100">
        <v>45</v>
      </c>
      <c r="D322" s="100">
        <v>33</v>
      </c>
      <c r="E322" s="100">
        <v>41</v>
      </c>
      <c r="F322" s="100">
        <v>39</v>
      </c>
      <c r="G322" s="100">
        <v>38</v>
      </c>
      <c r="H322" s="258">
        <f t="shared" si="30"/>
        <v>39</v>
      </c>
      <c r="J322" s="551">
        <f t="shared" si="32"/>
        <v>45339</v>
      </c>
      <c r="K322" s="100">
        <v>30.5</v>
      </c>
      <c r="L322" s="100">
        <v>23.5</v>
      </c>
      <c r="M322" s="100">
        <v>29.1</v>
      </c>
      <c r="N322" s="100">
        <v>27.7</v>
      </c>
      <c r="O322" s="100">
        <v>27.45</v>
      </c>
      <c r="P322" s="258">
        <f t="shared" si="31"/>
        <v>27</v>
      </c>
    </row>
    <row r="323" spans="2:16">
      <c r="B323" s="553">
        <f t="shared" si="33"/>
        <v>45340</v>
      </c>
      <c r="C323" s="100">
        <v>32</v>
      </c>
      <c r="D323" s="100">
        <v>29</v>
      </c>
      <c r="E323" s="100">
        <v>34</v>
      </c>
      <c r="F323" s="100">
        <v>31</v>
      </c>
      <c r="G323" s="100">
        <v>31</v>
      </c>
      <c r="H323" s="258">
        <f t="shared" si="30"/>
        <v>31</v>
      </c>
      <c r="J323" s="551">
        <f t="shared" si="32"/>
        <v>45340</v>
      </c>
      <c r="K323" s="100">
        <v>29.65</v>
      </c>
      <c r="L323" s="100">
        <v>23.7</v>
      </c>
      <c r="M323" s="100">
        <v>29.15</v>
      </c>
      <c r="N323" s="100">
        <v>27.4</v>
      </c>
      <c r="O323" s="100">
        <v>25.894736842105264</v>
      </c>
      <c r="P323" s="258">
        <f t="shared" si="31"/>
        <v>27</v>
      </c>
    </row>
    <row r="324" spans="2:16">
      <c r="B324" s="553">
        <f t="shared" si="33"/>
        <v>45341</v>
      </c>
      <c r="C324" s="100">
        <v>25</v>
      </c>
      <c r="D324" s="100">
        <v>22</v>
      </c>
      <c r="E324" s="100">
        <v>27</v>
      </c>
      <c r="F324" s="100">
        <v>24</v>
      </c>
      <c r="G324" s="100">
        <v>24</v>
      </c>
      <c r="H324" s="258">
        <f t="shared" si="30"/>
        <v>24</v>
      </c>
      <c r="J324" s="551">
        <f t="shared" si="32"/>
        <v>45341</v>
      </c>
      <c r="K324" s="100">
        <v>29.6</v>
      </c>
      <c r="L324" s="100">
        <v>22.8</v>
      </c>
      <c r="M324" s="100">
        <v>30.2</v>
      </c>
      <c r="N324" s="100">
        <v>27.65</v>
      </c>
      <c r="O324" s="100">
        <v>26.75</v>
      </c>
      <c r="P324" s="258">
        <f t="shared" si="31"/>
        <v>27</v>
      </c>
    </row>
    <row r="325" spans="2:16">
      <c r="B325" s="553">
        <f t="shared" si="33"/>
        <v>45342</v>
      </c>
      <c r="C325" s="100">
        <v>20</v>
      </c>
      <c r="D325" s="100">
        <v>15</v>
      </c>
      <c r="E325" s="100">
        <v>22</v>
      </c>
      <c r="F325" s="100">
        <v>19</v>
      </c>
      <c r="G325" s="100">
        <v>16</v>
      </c>
      <c r="H325" s="258">
        <f t="shared" si="30"/>
        <v>18</v>
      </c>
      <c r="J325" s="551">
        <f t="shared" si="32"/>
        <v>45342</v>
      </c>
      <c r="K325" s="100">
        <v>24.05</v>
      </c>
      <c r="L325" s="100">
        <v>18.399999999999999</v>
      </c>
      <c r="M325" s="100">
        <v>25.7</v>
      </c>
      <c r="N325" s="100">
        <v>22.75</v>
      </c>
      <c r="O325" s="100">
        <v>20.85</v>
      </c>
      <c r="P325" s="258">
        <f t="shared" si="31"/>
        <v>22</v>
      </c>
    </row>
    <row r="326" spans="2:16">
      <c r="B326" s="553">
        <f t="shared" si="33"/>
        <v>45343</v>
      </c>
      <c r="C326" s="100">
        <v>13</v>
      </c>
      <c r="D326" s="100">
        <v>12</v>
      </c>
      <c r="E326" s="100">
        <v>14</v>
      </c>
      <c r="F326" s="100">
        <v>13</v>
      </c>
      <c r="G326" s="100">
        <v>10</v>
      </c>
      <c r="H326" s="258">
        <f t="shared" si="30"/>
        <v>12</v>
      </c>
      <c r="J326" s="551">
        <f t="shared" si="32"/>
        <v>45343</v>
      </c>
      <c r="K326" s="100">
        <v>21.95</v>
      </c>
      <c r="L326" s="100">
        <v>14.95</v>
      </c>
      <c r="M326" s="100">
        <v>21.45</v>
      </c>
      <c r="N326" s="100">
        <v>20.399999999999999</v>
      </c>
      <c r="O326" s="100">
        <v>19.600000000000001</v>
      </c>
      <c r="P326" s="258">
        <f t="shared" si="31"/>
        <v>19</v>
      </c>
    </row>
    <row r="327" spans="2:16">
      <c r="B327" s="553">
        <f t="shared" si="33"/>
        <v>45344</v>
      </c>
      <c r="C327" s="100">
        <v>9</v>
      </c>
      <c r="D327" s="100">
        <v>6</v>
      </c>
      <c r="E327" s="100">
        <v>9</v>
      </c>
      <c r="F327" s="100">
        <v>8</v>
      </c>
      <c r="G327" s="100">
        <v>9</v>
      </c>
      <c r="H327" s="258">
        <f t="shared" si="30"/>
        <v>8</v>
      </c>
      <c r="J327" s="551">
        <f t="shared" si="32"/>
        <v>45344</v>
      </c>
      <c r="K327" s="100">
        <v>22.4</v>
      </c>
      <c r="L327" s="100">
        <v>15.75</v>
      </c>
      <c r="M327" s="100">
        <v>21.25</v>
      </c>
      <c r="N327" s="100">
        <v>19.95</v>
      </c>
      <c r="O327" s="100">
        <v>20.7</v>
      </c>
      <c r="P327" s="258">
        <f t="shared" si="31"/>
        <v>20</v>
      </c>
    </row>
    <row r="328" spans="2:16">
      <c r="B328" s="553">
        <f t="shared" si="33"/>
        <v>45345</v>
      </c>
      <c r="C328" s="100">
        <v>19</v>
      </c>
      <c r="D328" s="100">
        <v>10</v>
      </c>
      <c r="E328" s="100">
        <v>13</v>
      </c>
      <c r="F328" s="100">
        <v>14</v>
      </c>
      <c r="G328" s="100">
        <v>15</v>
      </c>
      <c r="H328" s="258">
        <f t="shared" si="30"/>
        <v>14</v>
      </c>
      <c r="J328" s="551">
        <f t="shared" si="32"/>
        <v>45345</v>
      </c>
      <c r="K328" s="100">
        <v>24.3</v>
      </c>
      <c r="L328" s="100">
        <v>16.3</v>
      </c>
      <c r="M328" s="100">
        <v>22.05</v>
      </c>
      <c r="N328" s="100">
        <v>21.2</v>
      </c>
      <c r="O328" s="100">
        <v>22</v>
      </c>
      <c r="P328" s="258">
        <f t="shared" si="31"/>
        <v>21</v>
      </c>
    </row>
    <row r="329" spans="2:16">
      <c r="B329" s="553">
        <f t="shared" si="33"/>
        <v>45346</v>
      </c>
      <c r="C329" s="100">
        <v>26</v>
      </c>
      <c r="D329" s="100">
        <v>23</v>
      </c>
      <c r="E329" s="100">
        <v>28</v>
      </c>
      <c r="F329" s="100">
        <v>25</v>
      </c>
      <c r="G329" s="100">
        <v>23</v>
      </c>
      <c r="H329" s="258">
        <f t="shared" si="30"/>
        <v>25</v>
      </c>
      <c r="J329" s="551">
        <f t="shared" si="32"/>
        <v>45346</v>
      </c>
      <c r="K329" s="100">
        <v>25</v>
      </c>
      <c r="L329" s="100">
        <v>18.2</v>
      </c>
      <c r="M329" s="100">
        <v>24.9</v>
      </c>
      <c r="N329" s="100">
        <v>23.3</v>
      </c>
      <c r="O329" s="100">
        <v>23.05</v>
      </c>
      <c r="P329" s="258">
        <f t="shared" si="31"/>
        <v>23</v>
      </c>
    </row>
    <row r="330" spans="2:16">
      <c r="B330" s="553">
        <f t="shared" si="33"/>
        <v>45347</v>
      </c>
      <c r="C330" s="100">
        <v>17</v>
      </c>
      <c r="D330" s="100">
        <v>17</v>
      </c>
      <c r="E330" s="100">
        <v>23</v>
      </c>
      <c r="F330" s="100">
        <v>20</v>
      </c>
      <c r="G330" s="100">
        <v>12</v>
      </c>
      <c r="H330" s="258">
        <f t="shared" si="30"/>
        <v>16</v>
      </c>
      <c r="J330" s="551">
        <f t="shared" si="32"/>
        <v>45347</v>
      </c>
      <c r="K330" s="100">
        <v>26.25</v>
      </c>
      <c r="L330" s="100">
        <v>20.2</v>
      </c>
      <c r="M330" s="100">
        <v>25.65</v>
      </c>
      <c r="N330" s="100">
        <v>24.3</v>
      </c>
      <c r="O330" s="100">
        <v>24.15</v>
      </c>
      <c r="P330" s="258">
        <f t="shared" si="31"/>
        <v>24</v>
      </c>
    </row>
    <row r="331" spans="2:16">
      <c r="B331" s="553">
        <f t="shared" si="33"/>
        <v>45348</v>
      </c>
      <c r="C331" s="100">
        <v>6</v>
      </c>
      <c r="D331" s="100">
        <v>0</v>
      </c>
      <c r="E331" s="100">
        <v>4</v>
      </c>
      <c r="F331" s="100">
        <v>3</v>
      </c>
      <c r="G331" s="100">
        <v>0</v>
      </c>
      <c r="H331" s="258">
        <f t="shared" si="30"/>
        <v>2</v>
      </c>
      <c r="J331" s="551">
        <f t="shared" si="32"/>
        <v>45348</v>
      </c>
      <c r="K331" s="100">
        <v>26.15</v>
      </c>
      <c r="L331" s="100">
        <v>20.399999999999999</v>
      </c>
      <c r="M331" s="100">
        <v>26.15</v>
      </c>
      <c r="N331" s="100">
        <v>24.3</v>
      </c>
      <c r="O331" s="100">
        <v>23.6</v>
      </c>
      <c r="P331" s="258">
        <f t="shared" si="31"/>
        <v>24</v>
      </c>
    </row>
    <row r="332" spans="2:16">
      <c r="B332" s="553">
        <f t="shared" si="33"/>
        <v>45349</v>
      </c>
      <c r="C332" s="100">
        <v>0</v>
      </c>
      <c r="D332" s="100">
        <v>0</v>
      </c>
      <c r="E332" s="100">
        <v>2</v>
      </c>
      <c r="F332" s="100">
        <v>0</v>
      </c>
      <c r="G332" s="100">
        <v>0</v>
      </c>
      <c r="H332" s="258">
        <f t="shared" ref="H332:H395" si="34">IFERROR(ROUND((C332*C$70)+(D332*D$70)+(E332*E$70)+(F332*F$70)+(G332*G$70),0),0)</f>
        <v>0</v>
      </c>
      <c r="J332" s="551">
        <f t="shared" si="32"/>
        <v>45349</v>
      </c>
      <c r="K332" s="100">
        <v>22.8</v>
      </c>
      <c r="L332" s="100">
        <v>17.399999999999999</v>
      </c>
      <c r="M332" s="100">
        <v>23.6</v>
      </c>
      <c r="N332" s="100">
        <v>21.05</v>
      </c>
      <c r="O332" s="100">
        <v>20.100000000000001</v>
      </c>
      <c r="P332" s="258">
        <f t="shared" ref="P332:P395" si="35">IFERROR(ROUND((K332*C$70)+(L332*D$70)+(M332*E$70)+(N332*F$70)+(O332*G$70),0),0)</f>
        <v>21</v>
      </c>
    </row>
    <row r="333" spans="2:16">
      <c r="B333" s="553">
        <f t="shared" si="33"/>
        <v>45350</v>
      </c>
      <c r="C333" s="100">
        <v>16</v>
      </c>
      <c r="D333" s="100">
        <v>11</v>
      </c>
      <c r="E333" s="100">
        <v>15</v>
      </c>
      <c r="F333" s="100">
        <v>12</v>
      </c>
      <c r="G333" s="100">
        <v>13</v>
      </c>
      <c r="H333" s="258">
        <f t="shared" si="34"/>
        <v>13</v>
      </c>
      <c r="J333" s="551">
        <f t="shared" ref="J333:J396" si="36">B333</f>
        <v>45350</v>
      </c>
      <c r="K333" s="100">
        <v>21.5</v>
      </c>
      <c r="L333" s="100">
        <v>16.350000000000001</v>
      </c>
      <c r="M333" s="100">
        <v>22.75</v>
      </c>
      <c r="N333" s="100">
        <v>20.100000000000001</v>
      </c>
      <c r="O333" s="100">
        <v>18.55</v>
      </c>
      <c r="P333" s="258">
        <f t="shared" si="35"/>
        <v>19</v>
      </c>
    </row>
    <row r="334" spans="2:16">
      <c r="B334" s="553">
        <f t="shared" ref="B334:B397" si="37">B333+1</f>
        <v>45351</v>
      </c>
      <c r="C334" s="100">
        <v>32</v>
      </c>
      <c r="D334" s="100">
        <v>25</v>
      </c>
      <c r="E334" s="100">
        <v>31</v>
      </c>
      <c r="F334" s="100">
        <v>28</v>
      </c>
      <c r="G334" s="100">
        <v>29</v>
      </c>
      <c r="H334" s="258">
        <f t="shared" si="34"/>
        <v>29</v>
      </c>
      <c r="J334" s="551">
        <f t="shared" si="36"/>
        <v>45351</v>
      </c>
      <c r="K334" s="100">
        <v>21</v>
      </c>
      <c r="L334" s="100">
        <v>15.2</v>
      </c>
      <c r="M334" s="100">
        <v>23</v>
      </c>
      <c r="N334" s="100">
        <v>19.2</v>
      </c>
      <c r="O334" s="100">
        <v>18.399999999999999</v>
      </c>
      <c r="P334" s="258">
        <f t="shared" si="35"/>
        <v>19</v>
      </c>
    </row>
    <row r="335" spans="2:16">
      <c r="B335" s="553">
        <f t="shared" si="37"/>
        <v>45352</v>
      </c>
      <c r="C335" s="100">
        <v>26</v>
      </c>
      <c r="D335" s="100">
        <v>20</v>
      </c>
      <c r="E335" s="100">
        <v>25</v>
      </c>
      <c r="F335" s="100">
        <v>25</v>
      </c>
      <c r="G335" s="100">
        <v>23</v>
      </c>
      <c r="H335" s="258">
        <f t="shared" si="34"/>
        <v>23</v>
      </c>
      <c r="J335" s="551">
        <f t="shared" si="36"/>
        <v>45352</v>
      </c>
      <c r="K335" s="100">
        <v>21.5</v>
      </c>
      <c r="L335" s="100">
        <v>16.45</v>
      </c>
      <c r="M335" s="100">
        <v>20.6</v>
      </c>
      <c r="N335" s="100">
        <v>18.899999999999999</v>
      </c>
      <c r="O335" s="100">
        <v>19</v>
      </c>
      <c r="P335" s="258">
        <f t="shared" si="35"/>
        <v>19</v>
      </c>
    </row>
    <row r="336" spans="2:16">
      <c r="B336" s="553">
        <f t="shared" si="37"/>
        <v>45353</v>
      </c>
      <c r="C336" s="100">
        <v>17</v>
      </c>
      <c r="D336" s="100">
        <v>12</v>
      </c>
      <c r="E336" s="100">
        <v>16</v>
      </c>
      <c r="F336" s="100">
        <v>16</v>
      </c>
      <c r="G336" s="100">
        <v>19</v>
      </c>
      <c r="H336" s="258">
        <f t="shared" si="34"/>
        <v>16</v>
      </c>
      <c r="J336" s="551">
        <f t="shared" si="36"/>
        <v>45353</v>
      </c>
      <c r="K336" s="100">
        <v>22.95</v>
      </c>
      <c r="L336" s="100">
        <v>17.55</v>
      </c>
      <c r="M336" s="100">
        <v>23.65</v>
      </c>
      <c r="N336" s="100">
        <v>21.45</v>
      </c>
      <c r="O336" s="100">
        <v>20.75</v>
      </c>
      <c r="P336" s="258">
        <f t="shared" si="35"/>
        <v>21</v>
      </c>
    </row>
    <row r="337" spans="2:16">
      <c r="B337" s="553">
        <f t="shared" si="37"/>
        <v>45354</v>
      </c>
      <c r="C337" s="100">
        <v>8</v>
      </c>
      <c r="D337" s="100">
        <v>10</v>
      </c>
      <c r="E337" s="100">
        <v>9</v>
      </c>
      <c r="F337" s="100">
        <v>9</v>
      </c>
      <c r="G337" s="100">
        <v>8</v>
      </c>
      <c r="H337" s="258">
        <f t="shared" si="34"/>
        <v>9</v>
      </c>
      <c r="J337" s="551">
        <f t="shared" si="36"/>
        <v>45354</v>
      </c>
      <c r="K337" s="100">
        <v>25.25</v>
      </c>
      <c r="L337" s="100">
        <v>19.5</v>
      </c>
      <c r="M337" s="100">
        <v>26</v>
      </c>
      <c r="N337" s="100">
        <v>23.1</v>
      </c>
      <c r="O337" s="100">
        <v>23</v>
      </c>
      <c r="P337" s="258">
        <f t="shared" si="35"/>
        <v>23</v>
      </c>
    </row>
    <row r="338" spans="2:16">
      <c r="B338" s="553">
        <f t="shared" si="37"/>
        <v>45355</v>
      </c>
      <c r="C338" s="100">
        <v>0</v>
      </c>
      <c r="D338" s="100">
        <v>0</v>
      </c>
      <c r="E338" s="100">
        <v>0</v>
      </c>
      <c r="F338" s="100">
        <v>0</v>
      </c>
      <c r="G338" s="100">
        <v>0</v>
      </c>
      <c r="H338" s="258">
        <f t="shared" si="34"/>
        <v>0</v>
      </c>
      <c r="J338" s="551">
        <f t="shared" si="36"/>
        <v>45355</v>
      </c>
      <c r="K338" s="100">
        <v>24.15</v>
      </c>
      <c r="L338" s="100">
        <v>18.100000000000001</v>
      </c>
      <c r="M338" s="100">
        <v>25.85</v>
      </c>
      <c r="N338" s="100">
        <v>23.05</v>
      </c>
      <c r="O338" s="100">
        <v>21.6</v>
      </c>
      <c r="P338" s="258">
        <f t="shared" si="35"/>
        <v>22</v>
      </c>
    </row>
    <row r="339" spans="2:16">
      <c r="B339" s="553">
        <f t="shared" si="37"/>
        <v>45356</v>
      </c>
      <c r="C339" s="100">
        <v>0</v>
      </c>
      <c r="D339" s="100">
        <v>4</v>
      </c>
      <c r="E339" s="100">
        <v>3</v>
      </c>
      <c r="F339" s="100">
        <v>0</v>
      </c>
      <c r="G339" s="100">
        <v>0</v>
      </c>
      <c r="H339" s="258">
        <f t="shared" si="34"/>
        <v>1</v>
      </c>
      <c r="J339" s="551">
        <f t="shared" si="36"/>
        <v>45356</v>
      </c>
      <c r="K339" s="100">
        <v>22.45</v>
      </c>
      <c r="L339" s="100">
        <v>18.5</v>
      </c>
      <c r="M339" s="100">
        <v>25</v>
      </c>
      <c r="N339" s="100">
        <v>21.85</v>
      </c>
      <c r="O339" s="100">
        <v>20.149999999999999</v>
      </c>
      <c r="P339" s="258">
        <f t="shared" si="35"/>
        <v>21</v>
      </c>
    </row>
    <row r="340" spans="2:16">
      <c r="B340" s="553">
        <f t="shared" si="37"/>
        <v>45357</v>
      </c>
      <c r="C340" s="100">
        <v>12</v>
      </c>
      <c r="D340" s="100">
        <v>6</v>
      </c>
      <c r="E340" s="100">
        <v>8</v>
      </c>
      <c r="F340" s="100">
        <v>9</v>
      </c>
      <c r="G340" s="100">
        <v>8</v>
      </c>
      <c r="H340" s="258">
        <f t="shared" si="34"/>
        <v>9</v>
      </c>
      <c r="J340" s="551">
        <f t="shared" si="36"/>
        <v>45357</v>
      </c>
      <c r="K340" s="100">
        <v>20.473684210526315</v>
      </c>
      <c r="L340" s="100">
        <v>17.350000000000001</v>
      </c>
      <c r="M340" s="100">
        <v>23.25</v>
      </c>
      <c r="N340" s="100">
        <v>20.399999999999999</v>
      </c>
      <c r="O340" s="100">
        <v>19.75</v>
      </c>
      <c r="P340" s="258">
        <f t="shared" si="35"/>
        <v>20</v>
      </c>
    </row>
    <row r="341" spans="2:16">
      <c r="B341" s="553">
        <f t="shared" si="37"/>
        <v>45358</v>
      </c>
      <c r="C341" s="100">
        <v>11</v>
      </c>
      <c r="D341" s="100">
        <v>4</v>
      </c>
      <c r="E341" s="100">
        <v>14</v>
      </c>
      <c r="F341" s="100">
        <v>10</v>
      </c>
      <c r="G341" s="100">
        <v>10</v>
      </c>
      <c r="H341" s="258">
        <f t="shared" si="34"/>
        <v>9</v>
      </c>
      <c r="J341" s="551">
        <f t="shared" si="36"/>
        <v>45358</v>
      </c>
      <c r="K341" s="100">
        <v>19.399999999999999</v>
      </c>
      <c r="L341" s="100">
        <v>16.149999999999999</v>
      </c>
      <c r="M341" s="100">
        <v>21.25</v>
      </c>
      <c r="N341" s="100">
        <v>18.2</v>
      </c>
      <c r="O341" s="100">
        <v>18.05</v>
      </c>
      <c r="P341" s="258">
        <f t="shared" si="35"/>
        <v>18</v>
      </c>
    </row>
    <row r="342" spans="2:16">
      <c r="B342" s="553">
        <f t="shared" si="37"/>
        <v>45359</v>
      </c>
      <c r="C342" s="100">
        <v>7</v>
      </c>
      <c r="D342" s="100">
        <v>3</v>
      </c>
      <c r="E342" s="100">
        <v>8</v>
      </c>
      <c r="F342" s="100">
        <v>9</v>
      </c>
      <c r="G342" s="100">
        <v>8</v>
      </c>
      <c r="H342" s="258">
        <f t="shared" si="34"/>
        <v>7</v>
      </c>
      <c r="J342" s="551">
        <f t="shared" si="36"/>
        <v>45359</v>
      </c>
      <c r="K342" s="100">
        <v>19.649999999999999</v>
      </c>
      <c r="L342" s="100">
        <v>14.8</v>
      </c>
      <c r="M342" s="100">
        <v>20.65</v>
      </c>
      <c r="N342" s="100">
        <v>17.95</v>
      </c>
      <c r="O342" s="100">
        <v>17.399999999999999</v>
      </c>
      <c r="P342" s="258">
        <f t="shared" si="35"/>
        <v>18</v>
      </c>
    </row>
    <row r="343" spans="2:16">
      <c r="B343" s="553">
        <f t="shared" si="37"/>
        <v>45360</v>
      </c>
      <c r="C343" s="100">
        <v>18</v>
      </c>
      <c r="D343" s="100">
        <v>15</v>
      </c>
      <c r="E343" s="100">
        <v>14</v>
      </c>
      <c r="F343" s="100">
        <v>14</v>
      </c>
      <c r="G343" s="100">
        <v>21</v>
      </c>
      <c r="H343" s="258">
        <f t="shared" si="34"/>
        <v>18</v>
      </c>
      <c r="J343" s="551">
        <f t="shared" si="36"/>
        <v>45360</v>
      </c>
      <c r="K343" s="100">
        <v>17.3</v>
      </c>
      <c r="L343" s="100">
        <v>12.3</v>
      </c>
      <c r="M343" s="100">
        <v>17.25</v>
      </c>
      <c r="N343" s="100">
        <v>15.4</v>
      </c>
      <c r="O343" s="100">
        <v>14.65</v>
      </c>
      <c r="P343" s="258">
        <f t="shared" si="35"/>
        <v>15</v>
      </c>
    </row>
    <row r="344" spans="2:16">
      <c r="B344" s="553">
        <f t="shared" si="37"/>
        <v>45361</v>
      </c>
      <c r="C344" s="100">
        <v>24</v>
      </c>
      <c r="D344" s="100">
        <v>19</v>
      </c>
      <c r="E344" s="100">
        <v>23</v>
      </c>
      <c r="F344" s="100">
        <v>22</v>
      </c>
      <c r="G344" s="100">
        <v>22</v>
      </c>
      <c r="H344" s="258">
        <f t="shared" si="34"/>
        <v>22</v>
      </c>
      <c r="J344" s="551">
        <f t="shared" si="36"/>
        <v>45361</v>
      </c>
      <c r="K344" s="100">
        <v>15.8</v>
      </c>
      <c r="L344" s="100">
        <v>9.8000000000000007</v>
      </c>
      <c r="M344" s="100">
        <v>15.85</v>
      </c>
      <c r="N344" s="100">
        <v>14</v>
      </c>
      <c r="O344" s="100">
        <v>14</v>
      </c>
      <c r="P344" s="258">
        <f t="shared" si="35"/>
        <v>14</v>
      </c>
    </row>
    <row r="345" spans="2:16">
      <c r="B345" s="553">
        <f t="shared" si="37"/>
        <v>45362</v>
      </c>
      <c r="C345" s="100">
        <v>20</v>
      </c>
      <c r="D345" s="100">
        <v>18</v>
      </c>
      <c r="E345" s="100">
        <v>23</v>
      </c>
      <c r="F345" s="100">
        <v>19</v>
      </c>
      <c r="G345" s="100">
        <v>18</v>
      </c>
      <c r="H345" s="258">
        <f t="shared" si="34"/>
        <v>19</v>
      </c>
      <c r="J345" s="551">
        <f t="shared" si="36"/>
        <v>45362</v>
      </c>
      <c r="K345" s="100">
        <v>18.399999999999999</v>
      </c>
      <c r="L345" s="100">
        <v>13</v>
      </c>
      <c r="M345" s="100">
        <v>17.350000000000001</v>
      </c>
      <c r="N345" s="100">
        <v>15.5</v>
      </c>
      <c r="O345" s="100">
        <v>15.8</v>
      </c>
      <c r="P345" s="258">
        <f t="shared" si="35"/>
        <v>16</v>
      </c>
    </row>
    <row r="346" spans="2:16">
      <c r="B346" s="553">
        <f t="shared" si="37"/>
        <v>45363</v>
      </c>
      <c r="C346" s="100">
        <v>9</v>
      </c>
      <c r="D346" s="100">
        <v>10</v>
      </c>
      <c r="E346" s="100">
        <v>10</v>
      </c>
      <c r="F346" s="100">
        <v>9</v>
      </c>
      <c r="G346" s="100">
        <v>11</v>
      </c>
      <c r="H346" s="258">
        <f t="shared" si="34"/>
        <v>10</v>
      </c>
      <c r="J346" s="551">
        <f t="shared" si="36"/>
        <v>45363</v>
      </c>
      <c r="K346" s="100">
        <v>17.399999999999999</v>
      </c>
      <c r="L346" s="100">
        <v>12.3</v>
      </c>
      <c r="M346" s="100">
        <v>18.600000000000001</v>
      </c>
      <c r="N346" s="100">
        <v>16.2</v>
      </c>
      <c r="O346" s="100">
        <v>15.05</v>
      </c>
      <c r="P346" s="258">
        <f t="shared" si="35"/>
        <v>16</v>
      </c>
    </row>
    <row r="347" spans="2:16">
      <c r="B347" s="553">
        <f t="shared" si="37"/>
        <v>45364</v>
      </c>
      <c r="C347" s="100">
        <v>4</v>
      </c>
      <c r="D347" s="100">
        <v>3</v>
      </c>
      <c r="E347" s="100">
        <v>4</v>
      </c>
      <c r="F347" s="100">
        <v>2</v>
      </c>
      <c r="G347" s="100">
        <v>0</v>
      </c>
      <c r="H347" s="258">
        <f t="shared" si="34"/>
        <v>2</v>
      </c>
      <c r="J347" s="551">
        <f t="shared" si="36"/>
        <v>45364</v>
      </c>
      <c r="K347" s="100">
        <v>17</v>
      </c>
      <c r="L347" s="100">
        <v>13.15</v>
      </c>
      <c r="M347" s="100">
        <v>17.649999999999999</v>
      </c>
      <c r="N347" s="100">
        <v>15.6</v>
      </c>
      <c r="O347" s="100">
        <v>14.6</v>
      </c>
      <c r="P347" s="258">
        <f t="shared" si="35"/>
        <v>15</v>
      </c>
    </row>
    <row r="348" spans="2:16">
      <c r="B348" s="553">
        <f t="shared" si="37"/>
        <v>45365</v>
      </c>
      <c r="C348" s="100">
        <v>0</v>
      </c>
      <c r="D348" s="100">
        <v>0</v>
      </c>
      <c r="E348" s="100">
        <v>0</v>
      </c>
      <c r="F348" s="100">
        <v>0</v>
      </c>
      <c r="G348" s="100">
        <v>0</v>
      </c>
      <c r="H348" s="258">
        <f t="shared" si="34"/>
        <v>0</v>
      </c>
      <c r="J348" s="551">
        <f t="shared" si="36"/>
        <v>45365</v>
      </c>
      <c r="K348" s="100">
        <v>17.350000000000001</v>
      </c>
      <c r="L348" s="100">
        <v>13.45</v>
      </c>
      <c r="M348" s="100">
        <v>18.5</v>
      </c>
      <c r="N348" s="100">
        <v>16.25</v>
      </c>
      <c r="O348" s="100">
        <v>15.7</v>
      </c>
      <c r="P348" s="258">
        <f t="shared" si="35"/>
        <v>16</v>
      </c>
    </row>
    <row r="349" spans="2:16">
      <c r="B349" s="553">
        <f t="shared" si="37"/>
        <v>45366</v>
      </c>
      <c r="C349" s="100">
        <v>12</v>
      </c>
      <c r="D349" s="100">
        <v>4</v>
      </c>
      <c r="E349" s="100">
        <v>12</v>
      </c>
      <c r="F349" s="100">
        <v>11</v>
      </c>
      <c r="G349" s="100">
        <v>12</v>
      </c>
      <c r="H349" s="258">
        <f t="shared" si="34"/>
        <v>10</v>
      </c>
      <c r="J349" s="551">
        <f t="shared" si="36"/>
        <v>45366</v>
      </c>
      <c r="K349" s="100">
        <v>17.399999999999999</v>
      </c>
      <c r="L349" s="100">
        <v>12.1</v>
      </c>
      <c r="M349" s="100">
        <v>18.3</v>
      </c>
      <c r="N349" s="100">
        <v>15.65</v>
      </c>
      <c r="O349" s="100">
        <v>15.05</v>
      </c>
      <c r="P349" s="258">
        <f t="shared" si="35"/>
        <v>15</v>
      </c>
    </row>
    <row r="350" spans="2:16">
      <c r="B350" s="553">
        <f t="shared" si="37"/>
        <v>45367</v>
      </c>
      <c r="C350" s="100">
        <v>13</v>
      </c>
      <c r="D350" s="100">
        <v>9</v>
      </c>
      <c r="E350" s="100">
        <v>15</v>
      </c>
      <c r="F350" s="100">
        <v>12</v>
      </c>
      <c r="G350" s="100">
        <v>14</v>
      </c>
      <c r="H350" s="258">
        <f t="shared" si="34"/>
        <v>13</v>
      </c>
      <c r="J350" s="551">
        <f t="shared" si="36"/>
        <v>45367</v>
      </c>
      <c r="K350" s="100">
        <v>15.55</v>
      </c>
      <c r="L350" s="100">
        <v>11.95</v>
      </c>
      <c r="M350" s="100">
        <v>17.149999999999999</v>
      </c>
      <c r="N350" s="100">
        <v>13.6</v>
      </c>
      <c r="O350" s="100">
        <v>14.15</v>
      </c>
      <c r="P350" s="258">
        <f t="shared" si="35"/>
        <v>14</v>
      </c>
    </row>
    <row r="351" spans="2:16">
      <c r="B351" s="553">
        <f t="shared" si="37"/>
        <v>45368</v>
      </c>
      <c r="C351" s="100">
        <v>22</v>
      </c>
      <c r="D351" s="100">
        <v>12</v>
      </c>
      <c r="E351" s="100">
        <v>18</v>
      </c>
      <c r="F351" s="100">
        <v>17</v>
      </c>
      <c r="G351" s="100">
        <v>16</v>
      </c>
      <c r="H351" s="258">
        <f t="shared" si="34"/>
        <v>17</v>
      </c>
      <c r="J351" s="551">
        <f t="shared" si="36"/>
        <v>45368</v>
      </c>
      <c r="K351" s="100">
        <v>16.5</v>
      </c>
      <c r="L351" s="100">
        <v>11.35</v>
      </c>
      <c r="M351" s="100">
        <v>17.3</v>
      </c>
      <c r="N351" s="100">
        <v>14.5</v>
      </c>
      <c r="O351" s="100">
        <v>14</v>
      </c>
      <c r="P351" s="258">
        <f t="shared" si="35"/>
        <v>14</v>
      </c>
    </row>
    <row r="352" spans="2:16">
      <c r="B352" s="553">
        <f t="shared" si="37"/>
        <v>45369</v>
      </c>
      <c r="C352" s="100">
        <v>32</v>
      </c>
      <c r="D352" s="100">
        <v>26</v>
      </c>
      <c r="E352" s="100">
        <v>31</v>
      </c>
      <c r="F352" s="100">
        <v>30</v>
      </c>
      <c r="G352" s="100">
        <v>29</v>
      </c>
      <c r="H352" s="258">
        <f t="shared" si="34"/>
        <v>29</v>
      </c>
      <c r="J352" s="551">
        <f t="shared" si="36"/>
        <v>45369</v>
      </c>
      <c r="K352" s="100">
        <v>17.899999999999999</v>
      </c>
      <c r="L352" s="100">
        <v>12.6</v>
      </c>
      <c r="M352" s="100">
        <v>17.350000000000001</v>
      </c>
      <c r="N352" s="100">
        <v>15.55</v>
      </c>
      <c r="O352" s="100">
        <v>15.15</v>
      </c>
      <c r="P352" s="258">
        <f t="shared" si="35"/>
        <v>16</v>
      </c>
    </row>
    <row r="353" spans="2:16">
      <c r="B353" s="553">
        <f t="shared" si="37"/>
        <v>45370</v>
      </c>
      <c r="C353" s="100">
        <v>23</v>
      </c>
      <c r="D353" s="100">
        <v>22</v>
      </c>
      <c r="E353" s="100">
        <v>25</v>
      </c>
      <c r="F353" s="100">
        <v>21</v>
      </c>
      <c r="G353" s="100">
        <v>24</v>
      </c>
      <c r="H353" s="258">
        <f t="shared" si="34"/>
        <v>23</v>
      </c>
      <c r="J353" s="551">
        <f t="shared" si="36"/>
        <v>45370</v>
      </c>
      <c r="K353" s="100">
        <v>17.8</v>
      </c>
      <c r="L353" s="100">
        <v>13.65</v>
      </c>
      <c r="M353" s="100">
        <v>18.350000000000001</v>
      </c>
      <c r="N353" s="100">
        <v>16.350000000000001</v>
      </c>
      <c r="O353" s="100">
        <v>16.25</v>
      </c>
      <c r="P353" s="258">
        <f t="shared" si="35"/>
        <v>16</v>
      </c>
    </row>
    <row r="354" spans="2:16">
      <c r="B354" s="553">
        <f t="shared" si="37"/>
        <v>45371</v>
      </c>
      <c r="C354" s="100">
        <v>14</v>
      </c>
      <c r="D354" s="100">
        <v>6</v>
      </c>
      <c r="E354" s="100">
        <v>14</v>
      </c>
      <c r="F354" s="100">
        <v>12</v>
      </c>
      <c r="G354" s="100">
        <v>8</v>
      </c>
      <c r="H354" s="258">
        <f t="shared" si="34"/>
        <v>10</v>
      </c>
      <c r="J354" s="551">
        <f t="shared" si="36"/>
        <v>45371</v>
      </c>
      <c r="K354" s="100">
        <v>16.95</v>
      </c>
      <c r="L354" s="100">
        <v>12.8</v>
      </c>
      <c r="M354" s="100">
        <v>18.05</v>
      </c>
      <c r="N354" s="100">
        <v>15.2</v>
      </c>
      <c r="O354" s="100">
        <v>14.9</v>
      </c>
      <c r="P354" s="258">
        <f t="shared" si="35"/>
        <v>15</v>
      </c>
    </row>
    <row r="355" spans="2:16">
      <c r="B355" s="553">
        <f t="shared" si="37"/>
        <v>45372</v>
      </c>
      <c r="C355" s="100">
        <v>21</v>
      </c>
      <c r="D355" s="100">
        <v>9</v>
      </c>
      <c r="E355" s="100">
        <v>26</v>
      </c>
      <c r="F355" s="100">
        <v>22</v>
      </c>
      <c r="G355" s="100">
        <v>12</v>
      </c>
      <c r="H355" s="258">
        <f t="shared" si="34"/>
        <v>16</v>
      </c>
      <c r="J355" s="551">
        <f t="shared" si="36"/>
        <v>45372</v>
      </c>
      <c r="K355" s="100">
        <v>15.85</v>
      </c>
      <c r="L355" s="100">
        <v>12.95</v>
      </c>
      <c r="M355" s="100">
        <v>17.399999999999999</v>
      </c>
      <c r="N355" s="100">
        <v>15</v>
      </c>
      <c r="O355" s="100">
        <v>14.4</v>
      </c>
      <c r="P355" s="258">
        <f t="shared" si="35"/>
        <v>15</v>
      </c>
    </row>
    <row r="356" spans="2:16">
      <c r="B356" s="553">
        <f t="shared" si="37"/>
        <v>45373</v>
      </c>
      <c r="C356" s="100">
        <v>15</v>
      </c>
      <c r="D356" s="100">
        <v>1</v>
      </c>
      <c r="E356" s="100">
        <v>18</v>
      </c>
      <c r="F356" s="100">
        <v>14</v>
      </c>
      <c r="G356" s="100">
        <v>5</v>
      </c>
      <c r="H356" s="258">
        <f t="shared" si="34"/>
        <v>9</v>
      </c>
      <c r="J356" s="551">
        <f t="shared" si="36"/>
        <v>45373</v>
      </c>
      <c r="K356" s="100">
        <v>15.9</v>
      </c>
      <c r="L356" s="100">
        <v>10.95</v>
      </c>
      <c r="M356" s="100">
        <v>16.75</v>
      </c>
      <c r="N356" s="100">
        <v>14.35</v>
      </c>
      <c r="O356" s="100">
        <v>12.7</v>
      </c>
      <c r="P356" s="258">
        <f t="shared" si="35"/>
        <v>14</v>
      </c>
    </row>
    <row r="357" spans="2:16">
      <c r="B357" s="553">
        <f t="shared" si="37"/>
        <v>45374</v>
      </c>
      <c r="C357" s="100">
        <v>19</v>
      </c>
      <c r="D357" s="100">
        <v>14</v>
      </c>
      <c r="E357" s="100">
        <v>25</v>
      </c>
      <c r="F357" s="100">
        <v>21</v>
      </c>
      <c r="G357" s="100">
        <v>18</v>
      </c>
      <c r="H357" s="258">
        <f t="shared" si="34"/>
        <v>18</v>
      </c>
      <c r="J357" s="551">
        <f t="shared" si="36"/>
        <v>45374</v>
      </c>
      <c r="K357" s="100">
        <v>14.2</v>
      </c>
      <c r="L357" s="100">
        <v>9.4</v>
      </c>
      <c r="M357" s="100">
        <v>14.95</v>
      </c>
      <c r="N357" s="100">
        <v>12.45</v>
      </c>
      <c r="O357" s="100">
        <v>12.15</v>
      </c>
      <c r="P357" s="258">
        <f t="shared" si="35"/>
        <v>12</v>
      </c>
    </row>
    <row r="358" spans="2:16">
      <c r="B358" s="553">
        <f t="shared" si="37"/>
        <v>45375</v>
      </c>
      <c r="C358" s="100">
        <v>16</v>
      </c>
      <c r="D358" s="100">
        <v>10</v>
      </c>
      <c r="E358" s="100">
        <v>21</v>
      </c>
      <c r="F358" s="100">
        <v>19</v>
      </c>
      <c r="G358" s="100">
        <v>13</v>
      </c>
      <c r="H358" s="258">
        <f t="shared" si="34"/>
        <v>14</v>
      </c>
      <c r="J358" s="551">
        <f t="shared" si="36"/>
        <v>45375</v>
      </c>
      <c r="K358" s="100">
        <v>15.65</v>
      </c>
      <c r="L358" s="100">
        <v>10.55</v>
      </c>
      <c r="M358" s="100">
        <v>15.45</v>
      </c>
      <c r="N358" s="100">
        <v>13.75</v>
      </c>
      <c r="O358" s="100">
        <v>12.95</v>
      </c>
      <c r="P358" s="258">
        <f t="shared" si="35"/>
        <v>13</v>
      </c>
    </row>
    <row r="359" spans="2:16">
      <c r="B359" s="553">
        <f t="shared" si="37"/>
        <v>45376</v>
      </c>
      <c r="C359" s="100">
        <v>4</v>
      </c>
      <c r="D359" s="100">
        <v>3</v>
      </c>
      <c r="E359" s="100">
        <v>6</v>
      </c>
      <c r="F359" s="100">
        <v>4</v>
      </c>
      <c r="G359" s="100">
        <v>1</v>
      </c>
      <c r="H359" s="258">
        <f t="shared" si="34"/>
        <v>3</v>
      </c>
      <c r="J359" s="551">
        <f t="shared" si="36"/>
        <v>45376</v>
      </c>
      <c r="K359" s="100">
        <v>15.1</v>
      </c>
      <c r="L359" s="100">
        <v>11.7</v>
      </c>
      <c r="M359" s="100">
        <v>15.65</v>
      </c>
      <c r="N359" s="100">
        <v>13.55</v>
      </c>
      <c r="O359" s="100">
        <v>13.4</v>
      </c>
      <c r="P359" s="258">
        <f t="shared" si="35"/>
        <v>14</v>
      </c>
    </row>
    <row r="360" spans="2:16">
      <c r="B360" s="553">
        <f t="shared" si="37"/>
        <v>45377</v>
      </c>
      <c r="C360" s="100">
        <v>9</v>
      </c>
      <c r="D360" s="100">
        <v>5</v>
      </c>
      <c r="E360" s="100">
        <v>9</v>
      </c>
      <c r="F360" s="100">
        <v>6</v>
      </c>
      <c r="G360" s="100">
        <v>14</v>
      </c>
      <c r="H360" s="258">
        <f t="shared" si="34"/>
        <v>10</v>
      </c>
      <c r="J360" s="551">
        <f t="shared" si="36"/>
        <v>45377</v>
      </c>
      <c r="K360" s="100">
        <v>15.55</v>
      </c>
      <c r="L360" s="100">
        <v>10.4</v>
      </c>
      <c r="M360" s="100">
        <v>16.55</v>
      </c>
      <c r="N360" s="100">
        <v>13.75</v>
      </c>
      <c r="O360" s="100">
        <v>14.2</v>
      </c>
      <c r="P360" s="258">
        <f t="shared" si="35"/>
        <v>14</v>
      </c>
    </row>
    <row r="361" spans="2:16">
      <c r="B361" s="553">
        <f t="shared" si="37"/>
        <v>45378</v>
      </c>
      <c r="C361" s="100">
        <v>18</v>
      </c>
      <c r="D361" s="100">
        <v>14</v>
      </c>
      <c r="E361" s="100">
        <v>20</v>
      </c>
      <c r="F361" s="100">
        <v>18</v>
      </c>
      <c r="G361" s="100">
        <v>18</v>
      </c>
      <c r="H361" s="258">
        <f t="shared" si="34"/>
        <v>17</v>
      </c>
      <c r="J361" s="551">
        <f t="shared" si="36"/>
        <v>45378</v>
      </c>
      <c r="K361" s="100">
        <v>14.25</v>
      </c>
      <c r="L361" s="100">
        <v>10.15</v>
      </c>
      <c r="M361" s="100">
        <v>15</v>
      </c>
      <c r="N361" s="100">
        <v>13.2</v>
      </c>
      <c r="O361" s="100">
        <v>11.95</v>
      </c>
      <c r="P361" s="258">
        <f t="shared" si="35"/>
        <v>13</v>
      </c>
    </row>
    <row r="362" spans="2:16">
      <c r="B362" s="553">
        <f t="shared" si="37"/>
        <v>45379</v>
      </c>
      <c r="C362" s="100">
        <v>19</v>
      </c>
      <c r="D362" s="100">
        <v>12</v>
      </c>
      <c r="E362" s="100">
        <v>20</v>
      </c>
      <c r="F362" s="100">
        <v>16</v>
      </c>
      <c r="G362" s="100">
        <v>16</v>
      </c>
      <c r="H362" s="258">
        <f t="shared" si="34"/>
        <v>16</v>
      </c>
      <c r="J362" s="551">
        <f t="shared" si="36"/>
        <v>45379</v>
      </c>
      <c r="K362" s="100">
        <v>14.5</v>
      </c>
      <c r="L362" s="100">
        <v>9.25</v>
      </c>
      <c r="M362" s="100">
        <v>14.35</v>
      </c>
      <c r="N362" s="100">
        <v>11.95</v>
      </c>
      <c r="O362" s="100">
        <v>11.6</v>
      </c>
      <c r="P362" s="258">
        <f t="shared" si="35"/>
        <v>12</v>
      </c>
    </row>
    <row r="363" spans="2:16">
      <c r="B363" s="553">
        <f t="shared" si="37"/>
        <v>45380</v>
      </c>
      <c r="C363" s="100">
        <v>7</v>
      </c>
      <c r="D363" s="100">
        <v>9</v>
      </c>
      <c r="E363" s="100">
        <v>9</v>
      </c>
      <c r="F363" s="100">
        <v>4</v>
      </c>
      <c r="G363" s="100">
        <v>6</v>
      </c>
      <c r="H363" s="258">
        <f t="shared" si="34"/>
        <v>7</v>
      </c>
      <c r="J363" s="551">
        <f t="shared" si="36"/>
        <v>45380</v>
      </c>
      <c r="K363" s="100">
        <v>13.65</v>
      </c>
      <c r="L363" s="100">
        <v>10.5</v>
      </c>
      <c r="M363" s="100">
        <v>16.149999999999999</v>
      </c>
      <c r="N363" s="100">
        <v>12.9</v>
      </c>
      <c r="O363" s="100">
        <v>12</v>
      </c>
      <c r="P363" s="258">
        <f t="shared" si="35"/>
        <v>13</v>
      </c>
    </row>
    <row r="364" spans="2:16">
      <c r="B364" s="553">
        <f t="shared" si="37"/>
        <v>45381</v>
      </c>
      <c r="C364" s="100">
        <v>0</v>
      </c>
      <c r="D364" s="100">
        <v>0</v>
      </c>
      <c r="E364" s="100">
        <v>2</v>
      </c>
      <c r="F364" s="100">
        <v>0</v>
      </c>
      <c r="G364" s="100">
        <v>0</v>
      </c>
      <c r="H364" s="258">
        <f t="shared" si="34"/>
        <v>0</v>
      </c>
      <c r="J364" s="551">
        <f t="shared" si="36"/>
        <v>45381</v>
      </c>
      <c r="K364" s="100">
        <v>9.65</v>
      </c>
      <c r="L364" s="100">
        <v>7.6</v>
      </c>
      <c r="M364" s="100">
        <v>10.6</v>
      </c>
      <c r="N364" s="100">
        <v>8.6999999999999993</v>
      </c>
      <c r="O364" s="100">
        <v>8.75</v>
      </c>
      <c r="P364" s="258">
        <f t="shared" si="35"/>
        <v>9</v>
      </c>
    </row>
    <row r="365" spans="2:16">
      <c r="B365" s="553">
        <f t="shared" si="37"/>
        <v>45382</v>
      </c>
      <c r="C365" s="100">
        <v>0</v>
      </c>
      <c r="D365" s="100">
        <v>0</v>
      </c>
      <c r="E365" s="100">
        <v>0</v>
      </c>
      <c r="F365" s="100">
        <v>0</v>
      </c>
      <c r="G365" s="100">
        <v>0</v>
      </c>
      <c r="H365" s="258">
        <f t="shared" si="34"/>
        <v>0</v>
      </c>
      <c r="J365" s="551">
        <f t="shared" si="36"/>
        <v>45382</v>
      </c>
      <c r="K365" s="100">
        <v>9.75</v>
      </c>
      <c r="L365" s="100">
        <v>7.25</v>
      </c>
      <c r="M365" s="100">
        <v>11</v>
      </c>
      <c r="N365" s="100">
        <v>8.4</v>
      </c>
      <c r="O365" s="100">
        <v>7.75</v>
      </c>
      <c r="P365" s="258">
        <f t="shared" si="35"/>
        <v>9</v>
      </c>
    </row>
    <row r="366" spans="2:16">
      <c r="B366" s="553">
        <f t="shared" si="37"/>
        <v>45383</v>
      </c>
      <c r="C366" s="100">
        <v>0</v>
      </c>
      <c r="D366" s="100">
        <v>0</v>
      </c>
      <c r="E366" s="100">
        <v>0</v>
      </c>
      <c r="F366" s="100">
        <v>0</v>
      </c>
      <c r="G366" s="100">
        <v>0</v>
      </c>
      <c r="H366" s="258">
        <f t="shared" si="34"/>
        <v>0</v>
      </c>
      <c r="J366" s="551">
        <f t="shared" si="36"/>
        <v>45383</v>
      </c>
      <c r="K366" s="100">
        <v>13.45</v>
      </c>
      <c r="L366" s="100">
        <v>8.4</v>
      </c>
      <c r="M366" s="100">
        <v>14.05</v>
      </c>
      <c r="N366" s="100">
        <v>11.45</v>
      </c>
      <c r="O366" s="100">
        <v>11.1</v>
      </c>
      <c r="P366" s="258">
        <f t="shared" si="35"/>
        <v>11</v>
      </c>
    </row>
    <row r="367" spans="2:16">
      <c r="B367" s="553">
        <f t="shared" si="37"/>
        <v>45384</v>
      </c>
      <c r="C367" s="100">
        <v>3</v>
      </c>
      <c r="D367" s="100">
        <v>1</v>
      </c>
      <c r="E367" s="100">
        <v>1</v>
      </c>
      <c r="F367" s="100">
        <v>0</v>
      </c>
      <c r="G367" s="100">
        <v>0</v>
      </c>
      <c r="H367" s="258">
        <f t="shared" si="34"/>
        <v>1</v>
      </c>
      <c r="J367" s="551">
        <f t="shared" si="36"/>
        <v>45384</v>
      </c>
      <c r="K367" s="100">
        <v>12.15</v>
      </c>
      <c r="L367" s="100">
        <v>8</v>
      </c>
      <c r="M367" s="100">
        <v>12.9</v>
      </c>
      <c r="N367" s="100">
        <v>10.55</v>
      </c>
      <c r="O367" s="100">
        <v>9.6</v>
      </c>
      <c r="P367" s="258">
        <f t="shared" si="35"/>
        <v>10</v>
      </c>
    </row>
    <row r="368" spans="2:16">
      <c r="B368" s="553">
        <f t="shared" si="37"/>
        <v>45385</v>
      </c>
      <c r="C368" s="100">
        <v>19</v>
      </c>
      <c r="D368" s="100">
        <v>14</v>
      </c>
      <c r="E368" s="100">
        <v>19</v>
      </c>
      <c r="F368" s="100">
        <v>18</v>
      </c>
      <c r="G368" s="100">
        <v>16</v>
      </c>
      <c r="H368" s="258">
        <f t="shared" si="34"/>
        <v>17</v>
      </c>
      <c r="J368" s="551">
        <f t="shared" si="36"/>
        <v>45385</v>
      </c>
      <c r="K368" s="100">
        <v>10.35</v>
      </c>
      <c r="L368" s="100">
        <v>7</v>
      </c>
      <c r="M368" s="100">
        <v>10.75</v>
      </c>
      <c r="N368" s="100">
        <v>8.25</v>
      </c>
      <c r="O368" s="100">
        <v>8.15</v>
      </c>
      <c r="P368" s="258">
        <f t="shared" si="35"/>
        <v>9</v>
      </c>
    </row>
    <row r="369" spans="2:16">
      <c r="B369" s="553">
        <f t="shared" si="37"/>
        <v>45386</v>
      </c>
      <c r="C369" s="100">
        <v>23</v>
      </c>
      <c r="D369" s="100">
        <v>16</v>
      </c>
      <c r="E369" s="100">
        <v>23</v>
      </c>
      <c r="F369" s="100">
        <v>22</v>
      </c>
      <c r="G369" s="100">
        <v>17</v>
      </c>
      <c r="H369" s="258">
        <f t="shared" si="34"/>
        <v>19</v>
      </c>
      <c r="J369" s="551">
        <f t="shared" si="36"/>
        <v>45386</v>
      </c>
      <c r="K369" s="100">
        <v>11.5</v>
      </c>
      <c r="L369" s="100">
        <v>8.1</v>
      </c>
      <c r="M369" s="100">
        <v>11.6</v>
      </c>
      <c r="N369" s="100">
        <v>9.1</v>
      </c>
      <c r="O369" s="100">
        <v>9.85</v>
      </c>
      <c r="P369" s="258">
        <f t="shared" si="35"/>
        <v>10</v>
      </c>
    </row>
    <row r="370" spans="2:16">
      <c r="B370" s="553">
        <f t="shared" si="37"/>
        <v>45387</v>
      </c>
      <c r="C370" s="100">
        <v>22</v>
      </c>
      <c r="D370" s="100">
        <v>21</v>
      </c>
      <c r="E370" s="100">
        <v>22</v>
      </c>
      <c r="F370" s="100">
        <v>20</v>
      </c>
      <c r="G370" s="100">
        <v>19</v>
      </c>
      <c r="H370" s="258">
        <f t="shared" si="34"/>
        <v>21</v>
      </c>
      <c r="J370" s="551">
        <f t="shared" si="36"/>
        <v>45387</v>
      </c>
      <c r="K370" s="100">
        <v>11.95</v>
      </c>
      <c r="L370" s="100">
        <v>9.15</v>
      </c>
      <c r="M370" s="100">
        <v>12.8</v>
      </c>
      <c r="N370" s="100">
        <v>10.75</v>
      </c>
      <c r="O370" s="100">
        <v>10.55</v>
      </c>
      <c r="P370" s="258">
        <f t="shared" si="35"/>
        <v>11</v>
      </c>
    </row>
    <row r="371" spans="2:16">
      <c r="B371" s="553">
        <f t="shared" si="37"/>
        <v>45388</v>
      </c>
      <c r="C371" s="100">
        <v>18</v>
      </c>
      <c r="D371" s="100">
        <v>15</v>
      </c>
      <c r="E371" s="100">
        <v>18</v>
      </c>
      <c r="F371" s="100">
        <v>16</v>
      </c>
      <c r="G371" s="100">
        <v>16</v>
      </c>
      <c r="H371" s="258">
        <f t="shared" si="34"/>
        <v>17</v>
      </c>
      <c r="J371" s="551">
        <f t="shared" si="36"/>
        <v>45388</v>
      </c>
      <c r="K371" s="100">
        <v>11.45</v>
      </c>
      <c r="L371" s="100">
        <v>8.65</v>
      </c>
      <c r="M371" s="100">
        <v>11.9</v>
      </c>
      <c r="N371" s="100">
        <v>9.85</v>
      </c>
      <c r="O371" s="100">
        <v>9.5</v>
      </c>
      <c r="P371" s="258">
        <f t="shared" si="35"/>
        <v>10</v>
      </c>
    </row>
    <row r="372" spans="2:16">
      <c r="B372" s="553">
        <f t="shared" si="37"/>
        <v>45389</v>
      </c>
      <c r="C372" s="100">
        <v>6</v>
      </c>
      <c r="D372" s="100">
        <v>6</v>
      </c>
      <c r="E372" s="100">
        <v>10</v>
      </c>
      <c r="F372" s="100">
        <v>8</v>
      </c>
      <c r="G372" s="100">
        <v>2</v>
      </c>
      <c r="H372" s="258">
        <f t="shared" si="34"/>
        <v>5</v>
      </c>
      <c r="J372" s="551">
        <f t="shared" si="36"/>
        <v>45389</v>
      </c>
      <c r="K372" s="100">
        <v>10.1</v>
      </c>
      <c r="L372" s="100">
        <v>7.35</v>
      </c>
      <c r="M372" s="100">
        <v>10.55</v>
      </c>
      <c r="N372" s="100">
        <v>9.15</v>
      </c>
      <c r="O372" s="100">
        <v>8.5</v>
      </c>
      <c r="P372" s="258">
        <f t="shared" si="35"/>
        <v>9</v>
      </c>
    </row>
    <row r="373" spans="2:16">
      <c r="B373" s="553">
        <f t="shared" si="37"/>
        <v>45390</v>
      </c>
      <c r="C373" s="100">
        <v>3</v>
      </c>
      <c r="D373" s="100">
        <v>0</v>
      </c>
      <c r="E373" s="100">
        <v>0</v>
      </c>
      <c r="F373" s="100">
        <v>0</v>
      </c>
      <c r="G373" s="100">
        <v>0</v>
      </c>
      <c r="H373" s="258">
        <f t="shared" si="34"/>
        <v>1</v>
      </c>
      <c r="J373" s="551">
        <f t="shared" si="36"/>
        <v>45390</v>
      </c>
      <c r="K373" s="100">
        <v>10.4</v>
      </c>
      <c r="L373" s="100">
        <v>8.4499999999999993</v>
      </c>
      <c r="M373" s="100">
        <v>11.3</v>
      </c>
      <c r="N373" s="100">
        <v>9.1</v>
      </c>
      <c r="O373" s="100">
        <v>9.6</v>
      </c>
      <c r="P373" s="258">
        <f t="shared" si="35"/>
        <v>10</v>
      </c>
    </row>
    <row r="374" spans="2:16">
      <c r="B374" s="553">
        <f t="shared" si="37"/>
        <v>45391</v>
      </c>
      <c r="C374" s="100">
        <v>0</v>
      </c>
      <c r="D374" s="100">
        <v>4</v>
      </c>
      <c r="E374" s="100">
        <v>5</v>
      </c>
      <c r="F374" s="100">
        <v>0</v>
      </c>
      <c r="G374" s="100">
        <v>1</v>
      </c>
      <c r="H374" s="258">
        <f t="shared" si="34"/>
        <v>2</v>
      </c>
      <c r="J374" s="551">
        <f t="shared" si="36"/>
        <v>45391</v>
      </c>
      <c r="K374" s="100">
        <v>10.15</v>
      </c>
      <c r="L374" s="100">
        <v>7</v>
      </c>
      <c r="M374" s="100">
        <v>11.8</v>
      </c>
      <c r="N374" s="100">
        <v>9.15</v>
      </c>
      <c r="O374" s="100">
        <v>8.8000000000000007</v>
      </c>
      <c r="P374" s="258">
        <f t="shared" si="35"/>
        <v>9</v>
      </c>
    </row>
    <row r="375" spans="2:16">
      <c r="B375" s="553">
        <f t="shared" si="37"/>
        <v>45392</v>
      </c>
      <c r="C375" s="100">
        <v>3</v>
      </c>
      <c r="D375" s="100">
        <v>0</v>
      </c>
      <c r="E375" s="100">
        <v>2</v>
      </c>
      <c r="F375" s="100">
        <v>2</v>
      </c>
      <c r="G375" s="100">
        <v>0</v>
      </c>
      <c r="H375" s="258">
        <f t="shared" si="34"/>
        <v>1</v>
      </c>
      <c r="J375" s="551">
        <f t="shared" si="36"/>
        <v>45392</v>
      </c>
      <c r="K375" s="100">
        <v>7.8</v>
      </c>
      <c r="L375" s="100">
        <v>5.7</v>
      </c>
      <c r="M375" s="100">
        <v>9.65</v>
      </c>
      <c r="N375" s="100">
        <v>7.2</v>
      </c>
      <c r="O375" s="100">
        <v>6.4</v>
      </c>
      <c r="P375" s="258">
        <f t="shared" si="35"/>
        <v>7</v>
      </c>
    </row>
    <row r="376" spans="2:16">
      <c r="B376" s="553">
        <f t="shared" si="37"/>
        <v>45393</v>
      </c>
      <c r="C376" s="100">
        <v>8</v>
      </c>
      <c r="D376" s="100">
        <v>2</v>
      </c>
      <c r="E376" s="100">
        <v>5</v>
      </c>
      <c r="F376" s="100">
        <v>5</v>
      </c>
      <c r="G376" s="100">
        <v>3</v>
      </c>
      <c r="H376" s="258">
        <f t="shared" si="34"/>
        <v>4</v>
      </c>
      <c r="J376" s="551">
        <f t="shared" si="36"/>
        <v>45393</v>
      </c>
      <c r="K376" s="100">
        <v>7.2</v>
      </c>
      <c r="L376" s="100">
        <v>4.3499999999999996</v>
      </c>
      <c r="M376" s="100">
        <v>7.55</v>
      </c>
      <c r="N376" s="100">
        <v>5.5</v>
      </c>
      <c r="O376" s="100">
        <v>6</v>
      </c>
      <c r="P376" s="258">
        <f t="shared" si="35"/>
        <v>6</v>
      </c>
    </row>
    <row r="377" spans="2:16">
      <c r="B377" s="553">
        <f t="shared" si="37"/>
        <v>45394</v>
      </c>
      <c r="C377" s="100">
        <v>8</v>
      </c>
      <c r="D377" s="100">
        <v>7</v>
      </c>
      <c r="E377" s="100">
        <v>13</v>
      </c>
      <c r="F377" s="100">
        <v>9</v>
      </c>
      <c r="G377" s="100">
        <v>7</v>
      </c>
      <c r="H377" s="258">
        <f t="shared" si="34"/>
        <v>8</v>
      </c>
      <c r="J377" s="551">
        <f t="shared" si="36"/>
        <v>45394</v>
      </c>
      <c r="K377" s="100">
        <v>8.6999999999999993</v>
      </c>
      <c r="L377" s="100">
        <v>4.75</v>
      </c>
      <c r="M377" s="100">
        <v>9</v>
      </c>
      <c r="N377" s="100">
        <v>6.8</v>
      </c>
      <c r="O377" s="100">
        <v>7.65</v>
      </c>
      <c r="P377" s="258">
        <f t="shared" si="35"/>
        <v>7</v>
      </c>
    </row>
    <row r="378" spans="2:16">
      <c r="B378" s="553">
        <f t="shared" si="37"/>
        <v>45395</v>
      </c>
      <c r="C378" s="100">
        <v>7</v>
      </c>
      <c r="D378" s="100">
        <v>4</v>
      </c>
      <c r="E378" s="100">
        <v>7</v>
      </c>
      <c r="F378" s="100">
        <v>5</v>
      </c>
      <c r="G378" s="100">
        <v>5</v>
      </c>
      <c r="H378" s="258">
        <f t="shared" si="34"/>
        <v>6</v>
      </c>
      <c r="J378" s="551">
        <f t="shared" si="36"/>
        <v>45395</v>
      </c>
      <c r="K378" s="100">
        <v>8.0500000000000007</v>
      </c>
      <c r="L378" s="100">
        <v>5.2</v>
      </c>
      <c r="M378" s="100">
        <v>8.4</v>
      </c>
      <c r="N378" s="100">
        <v>6.5</v>
      </c>
      <c r="O378" s="100">
        <v>7.4</v>
      </c>
      <c r="P378" s="258">
        <f t="shared" si="35"/>
        <v>7</v>
      </c>
    </row>
    <row r="379" spans="2:16">
      <c r="B379" s="553">
        <f t="shared" si="37"/>
        <v>45396</v>
      </c>
      <c r="C379" s="100">
        <v>0</v>
      </c>
      <c r="D379" s="100">
        <v>0</v>
      </c>
      <c r="E379" s="100">
        <v>0</v>
      </c>
      <c r="F379" s="100">
        <v>0</v>
      </c>
      <c r="G379" s="100">
        <v>0</v>
      </c>
      <c r="H379" s="258">
        <f t="shared" si="34"/>
        <v>0</v>
      </c>
      <c r="J379" s="551">
        <f t="shared" si="36"/>
        <v>45396</v>
      </c>
      <c r="K379" s="100">
        <v>8.65</v>
      </c>
      <c r="L379" s="100">
        <v>5.25</v>
      </c>
      <c r="M379" s="100">
        <v>8.25</v>
      </c>
      <c r="N379" s="100">
        <v>6.9</v>
      </c>
      <c r="O379" s="100">
        <v>8.4499999999999993</v>
      </c>
      <c r="P379" s="258">
        <f t="shared" si="35"/>
        <v>8</v>
      </c>
    </row>
    <row r="380" spans="2:16">
      <c r="B380" s="553">
        <f t="shared" si="37"/>
        <v>45397</v>
      </c>
      <c r="C380" s="100">
        <v>0</v>
      </c>
      <c r="D380" s="100">
        <v>0</v>
      </c>
      <c r="E380" s="100">
        <v>0</v>
      </c>
      <c r="F380" s="100">
        <v>0</v>
      </c>
      <c r="G380" s="100">
        <v>0</v>
      </c>
      <c r="H380" s="258">
        <f t="shared" si="34"/>
        <v>0</v>
      </c>
      <c r="J380" s="551">
        <f t="shared" si="36"/>
        <v>45397</v>
      </c>
      <c r="K380" s="100">
        <v>9.0500000000000007</v>
      </c>
      <c r="L380" s="100">
        <v>7.3</v>
      </c>
      <c r="M380" s="100">
        <v>10.199999999999999</v>
      </c>
      <c r="N380" s="100">
        <v>8.0500000000000007</v>
      </c>
      <c r="O380" s="100">
        <v>8.15</v>
      </c>
      <c r="P380" s="258">
        <f t="shared" si="35"/>
        <v>8</v>
      </c>
    </row>
    <row r="381" spans="2:16">
      <c r="B381" s="553">
        <f t="shared" si="37"/>
        <v>45398</v>
      </c>
      <c r="C381" s="100">
        <v>0</v>
      </c>
      <c r="D381" s="100">
        <v>0</v>
      </c>
      <c r="E381" s="100">
        <v>0</v>
      </c>
      <c r="F381" s="100">
        <v>0</v>
      </c>
      <c r="G381" s="100">
        <v>0</v>
      </c>
      <c r="H381" s="258">
        <f t="shared" si="34"/>
        <v>0</v>
      </c>
      <c r="J381" s="551">
        <f t="shared" si="36"/>
        <v>45398</v>
      </c>
      <c r="K381" s="100">
        <v>8.9</v>
      </c>
      <c r="L381" s="100">
        <v>6.65</v>
      </c>
      <c r="M381" s="100">
        <v>9.4</v>
      </c>
      <c r="N381" s="100">
        <v>7.05</v>
      </c>
      <c r="O381" s="100">
        <v>7.7</v>
      </c>
      <c r="P381" s="258">
        <f t="shared" si="35"/>
        <v>8</v>
      </c>
    </row>
    <row r="382" spans="2:16">
      <c r="B382" s="553">
        <f t="shared" si="37"/>
        <v>45399</v>
      </c>
      <c r="C382" s="100">
        <v>0</v>
      </c>
      <c r="D382" s="100">
        <v>0</v>
      </c>
      <c r="E382" s="100">
        <v>0</v>
      </c>
      <c r="F382" s="100">
        <v>0</v>
      </c>
      <c r="G382" s="100">
        <v>0</v>
      </c>
      <c r="H382" s="258">
        <f t="shared" si="34"/>
        <v>0</v>
      </c>
      <c r="J382" s="551">
        <f t="shared" si="36"/>
        <v>45399</v>
      </c>
      <c r="K382" s="100">
        <v>7.2</v>
      </c>
      <c r="L382" s="100">
        <v>4.6500000000000004</v>
      </c>
      <c r="M382" s="100">
        <v>8.5</v>
      </c>
      <c r="N382" s="100">
        <v>6.1</v>
      </c>
      <c r="O382" s="100">
        <v>5.55</v>
      </c>
      <c r="P382" s="258">
        <f t="shared" si="35"/>
        <v>6</v>
      </c>
    </row>
    <row r="383" spans="2:16">
      <c r="B383" s="553">
        <f t="shared" si="37"/>
        <v>45400</v>
      </c>
      <c r="C383" s="100">
        <v>0</v>
      </c>
      <c r="D383" s="100">
        <v>0</v>
      </c>
      <c r="E383" s="100">
        <v>0</v>
      </c>
      <c r="F383" s="100">
        <v>0</v>
      </c>
      <c r="G383" s="100">
        <v>0</v>
      </c>
      <c r="H383" s="258">
        <f t="shared" si="34"/>
        <v>0</v>
      </c>
      <c r="J383" s="551">
        <f t="shared" si="36"/>
        <v>45400</v>
      </c>
      <c r="K383" s="100">
        <v>6.05</v>
      </c>
      <c r="L383" s="100">
        <v>3.5</v>
      </c>
      <c r="M383" s="100">
        <v>6.65</v>
      </c>
      <c r="N383" s="100">
        <v>4.6500000000000004</v>
      </c>
      <c r="O383" s="100">
        <v>4.8499999999999996</v>
      </c>
      <c r="P383" s="258">
        <f t="shared" si="35"/>
        <v>5</v>
      </c>
    </row>
    <row r="384" spans="2:16">
      <c r="B384" s="553">
        <f t="shared" si="37"/>
        <v>45401</v>
      </c>
      <c r="C384" s="100">
        <v>8</v>
      </c>
      <c r="D384" s="100">
        <v>0</v>
      </c>
      <c r="E384" s="100">
        <v>1</v>
      </c>
      <c r="F384" s="100">
        <v>4</v>
      </c>
      <c r="G384" s="100">
        <v>5</v>
      </c>
      <c r="H384" s="258">
        <f t="shared" si="34"/>
        <v>4</v>
      </c>
      <c r="J384" s="551">
        <f t="shared" si="36"/>
        <v>45401</v>
      </c>
      <c r="K384" s="100">
        <v>8.1999999999999993</v>
      </c>
      <c r="L384" s="100">
        <v>5.8</v>
      </c>
      <c r="M384" s="100">
        <v>7.95</v>
      </c>
      <c r="N384" s="100">
        <v>6.35</v>
      </c>
      <c r="O384" s="100">
        <v>7.25</v>
      </c>
      <c r="P384" s="258">
        <f t="shared" si="35"/>
        <v>7</v>
      </c>
    </row>
    <row r="385" spans="2:16">
      <c r="B385" s="553">
        <f t="shared" si="37"/>
        <v>45402</v>
      </c>
      <c r="C385" s="100">
        <v>14</v>
      </c>
      <c r="D385" s="100">
        <v>7</v>
      </c>
      <c r="E385" s="100">
        <v>11</v>
      </c>
      <c r="F385" s="100">
        <v>11</v>
      </c>
      <c r="G385" s="100">
        <v>11</v>
      </c>
      <c r="H385" s="258">
        <f t="shared" si="34"/>
        <v>11</v>
      </c>
      <c r="J385" s="551">
        <f t="shared" si="36"/>
        <v>45402</v>
      </c>
      <c r="K385" s="100">
        <v>8.1</v>
      </c>
      <c r="L385" s="100">
        <v>5.55</v>
      </c>
      <c r="M385" s="100">
        <v>8.4</v>
      </c>
      <c r="N385" s="100">
        <v>7.05</v>
      </c>
      <c r="O385" s="100">
        <v>7.1</v>
      </c>
      <c r="P385" s="258">
        <f t="shared" si="35"/>
        <v>7</v>
      </c>
    </row>
    <row r="386" spans="2:16">
      <c r="B386" s="553">
        <f t="shared" si="37"/>
        <v>45403</v>
      </c>
      <c r="C386" s="100">
        <v>17</v>
      </c>
      <c r="D386" s="100">
        <v>11</v>
      </c>
      <c r="E386" s="100">
        <v>17</v>
      </c>
      <c r="F386" s="100">
        <v>14</v>
      </c>
      <c r="G386" s="100">
        <v>15</v>
      </c>
      <c r="H386" s="258">
        <f t="shared" si="34"/>
        <v>15</v>
      </c>
      <c r="J386" s="551">
        <f t="shared" si="36"/>
        <v>45403</v>
      </c>
      <c r="K386" s="100">
        <v>9.1</v>
      </c>
      <c r="L386" s="100">
        <v>6.1</v>
      </c>
      <c r="M386" s="100">
        <v>9.8000000000000007</v>
      </c>
      <c r="N386" s="100">
        <v>7.4</v>
      </c>
      <c r="O386" s="100">
        <v>7.75</v>
      </c>
      <c r="P386" s="258">
        <f t="shared" si="35"/>
        <v>8</v>
      </c>
    </row>
    <row r="387" spans="2:16">
      <c r="B387" s="553">
        <f t="shared" si="37"/>
        <v>45404</v>
      </c>
      <c r="C387" s="100">
        <v>14</v>
      </c>
      <c r="D387" s="100">
        <v>13</v>
      </c>
      <c r="E387" s="100">
        <v>18</v>
      </c>
      <c r="F387" s="100">
        <v>12</v>
      </c>
      <c r="G387" s="100">
        <v>13</v>
      </c>
      <c r="H387" s="258">
        <f t="shared" si="34"/>
        <v>14</v>
      </c>
      <c r="J387" s="551">
        <f t="shared" si="36"/>
        <v>45404</v>
      </c>
      <c r="K387" s="100">
        <v>7.4</v>
      </c>
      <c r="L387" s="100">
        <v>4.95</v>
      </c>
      <c r="M387" s="100">
        <v>9.3000000000000007</v>
      </c>
      <c r="N387" s="100">
        <v>5.95</v>
      </c>
      <c r="O387" s="100">
        <v>6.3</v>
      </c>
      <c r="P387" s="258">
        <f t="shared" si="35"/>
        <v>7</v>
      </c>
    </row>
    <row r="388" spans="2:16">
      <c r="B388" s="553">
        <f t="shared" si="37"/>
        <v>45405</v>
      </c>
      <c r="C388" s="100">
        <v>5</v>
      </c>
      <c r="D388" s="100">
        <v>6</v>
      </c>
      <c r="E388" s="100">
        <v>7</v>
      </c>
      <c r="F388" s="100">
        <v>4</v>
      </c>
      <c r="G388" s="100">
        <v>5</v>
      </c>
      <c r="H388" s="258">
        <f t="shared" si="34"/>
        <v>5</v>
      </c>
      <c r="J388" s="551">
        <f t="shared" si="36"/>
        <v>45405</v>
      </c>
      <c r="K388" s="100">
        <v>6.85</v>
      </c>
      <c r="L388" s="100">
        <v>4.8499999999999996</v>
      </c>
      <c r="M388" s="100">
        <v>8.9</v>
      </c>
      <c r="N388" s="100">
        <v>6.4</v>
      </c>
      <c r="O388" s="100">
        <v>5.85</v>
      </c>
      <c r="P388" s="258">
        <f t="shared" si="35"/>
        <v>6</v>
      </c>
    </row>
    <row r="389" spans="2:16">
      <c r="B389" s="553">
        <f t="shared" si="37"/>
        <v>45406</v>
      </c>
      <c r="C389" s="100">
        <v>7</v>
      </c>
      <c r="D389" s="100">
        <v>0</v>
      </c>
      <c r="E389" s="100">
        <v>7</v>
      </c>
      <c r="F389" s="100">
        <v>5</v>
      </c>
      <c r="G389" s="100">
        <v>1</v>
      </c>
      <c r="H389" s="258">
        <f t="shared" si="34"/>
        <v>3</v>
      </c>
      <c r="J389" s="551">
        <f t="shared" si="36"/>
        <v>45406</v>
      </c>
      <c r="K389" s="100">
        <v>6.25</v>
      </c>
      <c r="L389" s="100">
        <v>3.95</v>
      </c>
      <c r="M389" s="100">
        <v>7.35</v>
      </c>
      <c r="N389" s="100">
        <v>5.05</v>
      </c>
      <c r="O389" s="100">
        <v>5</v>
      </c>
      <c r="P389" s="258">
        <f t="shared" si="35"/>
        <v>5</v>
      </c>
    </row>
    <row r="390" spans="2:16">
      <c r="B390" s="553">
        <f t="shared" si="37"/>
        <v>45407</v>
      </c>
      <c r="C390" s="100">
        <v>11</v>
      </c>
      <c r="D390" s="100">
        <v>4</v>
      </c>
      <c r="E390" s="100">
        <v>15</v>
      </c>
      <c r="F390" s="100">
        <v>11</v>
      </c>
      <c r="G390" s="100">
        <v>7</v>
      </c>
      <c r="H390" s="258">
        <f t="shared" si="34"/>
        <v>9</v>
      </c>
      <c r="J390" s="551">
        <f t="shared" si="36"/>
        <v>45407</v>
      </c>
      <c r="K390" s="100">
        <v>4.9000000000000004</v>
      </c>
      <c r="L390" s="100">
        <v>2.7</v>
      </c>
      <c r="M390" s="100">
        <v>5.9</v>
      </c>
      <c r="N390" s="100">
        <v>4</v>
      </c>
      <c r="O390" s="100">
        <v>3.8</v>
      </c>
      <c r="P390" s="258">
        <f t="shared" si="35"/>
        <v>4</v>
      </c>
    </row>
    <row r="391" spans="2:16">
      <c r="B391" s="553">
        <f t="shared" si="37"/>
        <v>45408</v>
      </c>
      <c r="C391" s="100">
        <v>0</v>
      </c>
      <c r="D391" s="100">
        <v>0</v>
      </c>
      <c r="E391" s="100">
        <v>4</v>
      </c>
      <c r="F391" s="100">
        <v>3</v>
      </c>
      <c r="G391" s="100">
        <v>0</v>
      </c>
      <c r="H391" s="258">
        <f t="shared" si="34"/>
        <v>1</v>
      </c>
      <c r="J391" s="551">
        <f t="shared" si="36"/>
        <v>45408</v>
      </c>
      <c r="K391" s="100">
        <v>6.25</v>
      </c>
      <c r="L391" s="100">
        <v>4.75</v>
      </c>
      <c r="M391" s="100">
        <v>7.3</v>
      </c>
      <c r="N391" s="100">
        <v>4.8499999999999996</v>
      </c>
      <c r="O391" s="100">
        <v>5.35</v>
      </c>
      <c r="P391" s="258">
        <f t="shared" si="35"/>
        <v>6</v>
      </c>
    </row>
    <row r="392" spans="2:16">
      <c r="B392" s="553">
        <f t="shared" si="37"/>
        <v>45409</v>
      </c>
      <c r="C392" s="100">
        <v>0</v>
      </c>
      <c r="D392" s="100">
        <v>0</v>
      </c>
      <c r="E392" s="100">
        <v>0</v>
      </c>
      <c r="F392" s="100">
        <v>0</v>
      </c>
      <c r="G392" s="100">
        <v>0</v>
      </c>
      <c r="H392" s="258">
        <f t="shared" si="34"/>
        <v>0</v>
      </c>
      <c r="J392" s="551">
        <f t="shared" si="36"/>
        <v>45409</v>
      </c>
      <c r="K392" s="100">
        <v>7.3</v>
      </c>
      <c r="L392" s="100">
        <v>5.05</v>
      </c>
      <c r="M392" s="100">
        <v>7.65</v>
      </c>
      <c r="N392" s="100">
        <v>5.6</v>
      </c>
      <c r="O392" s="100">
        <v>6.4</v>
      </c>
      <c r="P392" s="258">
        <f t="shared" si="35"/>
        <v>6</v>
      </c>
    </row>
    <row r="393" spans="2:16">
      <c r="B393" s="553">
        <f t="shared" si="37"/>
        <v>45410</v>
      </c>
      <c r="C393" s="100">
        <v>0</v>
      </c>
      <c r="D393" s="100">
        <v>0</v>
      </c>
      <c r="E393" s="100">
        <v>0</v>
      </c>
      <c r="F393" s="100">
        <v>0</v>
      </c>
      <c r="G393" s="100">
        <v>0</v>
      </c>
      <c r="H393" s="258">
        <f t="shared" si="34"/>
        <v>0</v>
      </c>
      <c r="J393" s="551">
        <f t="shared" si="36"/>
        <v>45410</v>
      </c>
      <c r="K393" s="100">
        <v>5.8</v>
      </c>
      <c r="L393" s="100">
        <v>3.6</v>
      </c>
      <c r="M393" s="100">
        <v>6.6</v>
      </c>
      <c r="N393" s="100">
        <v>4.5999999999999996</v>
      </c>
      <c r="O393" s="100">
        <v>4.45</v>
      </c>
      <c r="P393" s="258">
        <f t="shared" si="35"/>
        <v>5</v>
      </c>
    </row>
    <row r="394" spans="2:16">
      <c r="B394" s="553">
        <f t="shared" si="37"/>
        <v>45411</v>
      </c>
      <c r="C394" s="100">
        <v>0</v>
      </c>
      <c r="D394" s="100">
        <v>0</v>
      </c>
      <c r="E394" s="100">
        <v>0</v>
      </c>
      <c r="F394" s="100">
        <v>0</v>
      </c>
      <c r="G394" s="100">
        <v>0</v>
      </c>
      <c r="H394" s="258">
        <f t="shared" si="34"/>
        <v>0</v>
      </c>
      <c r="J394" s="551">
        <f t="shared" si="36"/>
        <v>45411</v>
      </c>
      <c r="K394" s="100">
        <v>4.4000000000000004</v>
      </c>
      <c r="L394" s="100">
        <v>2.5499999999999998</v>
      </c>
      <c r="M394" s="100">
        <v>6.25</v>
      </c>
      <c r="N394" s="100">
        <v>3.95</v>
      </c>
      <c r="O394" s="100">
        <v>3.7</v>
      </c>
      <c r="P394" s="258">
        <f t="shared" si="35"/>
        <v>4</v>
      </c>
    </row>
    <row r="395" spans="2:16">
      <c r="B395" s="553">
        <f t="shared" si="37"/>
        <v>45412</v>
      </c>
      <c r="C395" s="100">
        <v>0</v>
      </c>
      <c r="D395" s="100">
        <v>0</v>
      </c>
      <c r="E395" s="100">
        <v>0</v>
      </c>
      <c r="F395" s="100">
        <v>0</v>
      </c>
      <c r="G395" s="100">
        <v>0</v>
      </c>
      <c r="H395" s="258">
        <f t="shared" si="34"/>
        <v>0</v>
      </c>
      <c r="J395" s="551">
        <f t="shared" si="36"/>
        <v>45412</v>
      </c>
      <c r="K395" s="100">
        <v>4.3499999999999996</v>
      </c>
      <c r="L395" s="100">
        <v>2.7</v>
      </c>
      <c r="M395" s="100">
        <v>5.25</v>
      </c>
      <c r="N395" s="100">
        <v>3.8</v>
      </c>
      <c r="O395" s="100">
        <v>3.6</v>
      </c>
      <c r="P395" s="258">
        <f t="shared" si="35"/>
        <v>4</v>
      </c>
    </row>
    <row r="396" spans="2:16">
      <c r="B396" s="553">
        <f t="shared" si="37"/>
        <v>45413</v>
      </c>
      <c r="C396" s="100">
        <v>0</v>
      </c>
      <c r="D396" s="100">
        <v>0</v>
      </c>
      <c r="E396" s="100">
        <v>0</v>
      </c>
      <c r="F396" s="100">
        <v>0</v>
      </c>
      <c r="G396" s="100">
        <v>0</v>
      </c>
      <c r="H396" s="258">
        <f t="shared" ref="H396:H455" si="38">IFERROR(ROUND((C396*C$70)+(D396*D$70)+(E396*E$70)+(F396*F$70)+(G396*G$70),0),0)</f>
        <v>0</v>
      </c>
      <c r="J396" s="551">
        <f t="shared" si="36"/>
        <v>45413</v>
      </c>
      <c r="K396" s="100">
        <v>3.75</v>
      </c>
      <c r="L396" s="100">
        <v>2.35</v>
      </c>
      <c r="M396" s="100">
        <v>4.3</v>
      </c>
      <c r="N396" s="100">
        <v>2.95</v>
      </c>
      <c r="O396" s="100">
        <v>2.95</v>
      </c>
      <c r="P396" s="258">
        <f t="shared" ref="P396:P440" si="39">IFERROR(ROUND((K396*C$70)+(L396*D$70)+(M396*E$70)+(N396*F$70)+(O396*G$70),0),0)</f>
        <v>3</v>
      </c>
    </row>
    <row r="397" spans="2:16">
      <c r="B397" s="553">
        <f t="shared" si="37"/>
        <v>45414</v>
      </c>
      <c r="C397" s="100">
        <v>0</v>
      </c>
      <c r="D397" s="100">
        <v>0</v>
      </c>
      <c r="E397" s="100">
        <v>0</v>
      </c>
      <c r="F397" s="100">
        <v>0</v>
      </c>
      <c r="G397" s="100">
        <v>0</v>
      </c>
      <c r="H397" s="258">
        <f t="shared" si="38"/>
        <v>0</v>
      </c>
      <c r="J397" s="551">
        <f t="shared" ref="J397:J440" si="40">B397</f>
        <v>45414</v>
      </c>
      <c r="K397" s="100">
        <v>4.25</v>
      </c>
      <c r="L397" s="100">
        <v>1.75</v>
      </c>
      <c r="M397" s="100">
        <v>3.65</v>
      </c>
      <c r="N397" s="100">
        <v>2.8</v>
      </c>
      <c r="O397" s="100">
        <v>3.55</v>
      </c>
      <c r="P397" s="258">
        <f t="shared" si="39"/>
        <v>3</v>
      </c>
    </row>
    <row r="398" spans="2:16">
      <c r="B398" s="553">
        <f t="shared" ref="B398:B456" si="41">B397+1</f>
        <v>45415</v>
      </c>
      <c r="C398" s="100">
        <v>0</v>
      </c>
      <c r="D398" s="100">
        <v>0</v>
      </c>
      <c r="E398" s="100">
        <v>0</v>
      </c>
      <c r="F398" s="100">
        <v>0</v>
      </c>
      <c r="G398" s="100">
        <v>0</v>
      </c>
      <c r="H398" s="258">
        <f t="shared" si="38"/>
        <v>0</v>
      </c>
      <c r="J398" s="551">
        <f t="shared" si="40"/>
        <v>45415</v>
      </c>
      <c r="K398" s="100">
        <v>4.05</v>
      </c>
      <c r="L398" s="100">
        <v>2.4500000000000002</v>
      </c>
      <c r="M398" s="100">
        <v>5</v>
      </c>
      <c r="N398" s="100">
        <v>3.3</v>
      </c>
      <c r="O398" s="100">
        <v>3.55</v>
      </c>
      <c r="P398" s="258">
        <f t="shared" si="39"/>
        <v>4</v>
      </c>
    </row>
    <row r="399" spans="2:16">
      <c r="B399" s="553">
        <f t="shared" si="41"/>
        <v>45416</v>
      </c>
      <c r="C399" s="100">
        <v>0</v>
      </c>
      <c r="D399" s="100">
        <v>0</v>
      </c>
      <c r="E399" s="100">
        <v>0</v>
      </c>
      <c r="F399" s="100">
        <v>0</v>
      </c>
      <c r="G399" s="100">
        <v>0</v>
      </c>
      <c r="H399" s="258">
        <f t="shared" si="38"/>
        <v>0</v>
      </c>
      <c r="J399" s="551">
        <f t="shared" si="40"/>
        <v>45416</v>
      </c>
      <c r="K399" s="100">
        <v>5.2</v>
      </c>
      <c r="L399" s="100">
        <v>3.8</v>
      </c>
      <c r="M399" s="100">
        <v>5</v>
      </c>
      <c r="N399" s="100">
        <v>3.65</v>
      </c>
      <c r="O399" s="100">
        <v>4.4000000000000004</v>
      </c>
      <c r="P399" s="258">
        <f t="shared" si="39"/>
        <v>4</v>
      </c>
    </row>
    <row r="400" spans="2:16">
      <c r="B400" s="553">
        <f t="shared" si="41"/>
        <v>45417</v>
      </c>
      <c r="C400" s="100">
        <v>0</v>
      </c>
      <c r="D400" s="100">
        <v>0</v>
      </c>
      <c r="E400" s="100">
        <v>0</v>
      </c>
      <c r="F400" s="100">
        <v>0</v>
      </c>
      <c r="G400" s="100">
        <v>0</v>
      </c>
      <c r="H400" s="258">
        <f t="shared" si="38"/>
        <v>0</v>
      </c>
      <c r="J400" s="551">
        <f t="shared" si="40"/>
        <v>45417</v>
      </c>
      <c r="K400" s="100">
        <v>5.15</v>
      </c>
      <c r="L400" s="100">
        <v>3.65</v>
      </c>
      <c r="M400" s="100">
        <v>5.8</v>
      </c>
      <c r="N400" s="100">
        <v>3.75</v>
      </c>
      <c r="O400" s="100">
        <v>4</v>
      </c>
      <c r="P400" s="258">
        <f t="shared" si="39"/>
        <v>4</v>
      </c>
    </row>
    <row r="401" spans="2:16">
      <c r="B401" s="553">
        <f t="shared" si="41"/>
        <v>45418</v>
      </c>
      <c r="C401" s="100">
        <v>0</v>
      </c>
      <c r="D401" s="100">
        <v>0</v>
      </c>
      <c r="E401" s="100">
        <v>0</v>
      </c>
      <c r="F401" s="100">
        <v>0</v>
      </c>
      <c r="G401" s="100">
        <v>0</v>
      </c>
      <c r="H401" s="258">
        <f t="shared" si="38"/>
        <v>0</v>
      </c>
      <c r="J401" s="551">
        <f t="shared" si="40"/>
        <v>45418</v>
      </c>
      <c r="K401" s="100">
        <v>3.55</v>
      </c>
      <c r="L401" s="100">
        <v>2.6</v>
      </c>
      <c r="M401" s="100">
        <v>4.8</v>
      </c>
      <c r="N401" s="100">
        <v>2.75</v>
      </c>
      <c r="O401" s="100">
        <v>2.7</v>
      </c>
      <c r="P401" s="258">
        <f t="shared" si="39"/>
        <v>3</v>
      </c>
    </row>
    <row r="402" spans="2:16">
      <c r="B402" s="553">
        <f t="shared" si="41"/>
        <v>45419</v>
      </c>
      <c r="C402" s="100">
        <v>0</v>
      </c>
      <c r="D402" s="100">
        <v>0</v>
      </c>
      <c r="E402" s="100">
        <v>0</v>
      </c>
      <c r="F402" s="100">
        <v>0</v>
      </c>
      <c r="G402" s="100">
        <v>0</v>
      </c>
      <c r="H402" s="258">
        <f t="shared" si="38"/>
        <v>0</v>
      </c>
      <c r="J402" s="551">
        <f t="shared" si="40"/>
        <v>45419</v>
      </c>
      <c r="K402" s="100">
        <v>1.9</v>
      </c>
      <c r="L402" s="100">
        <v>2.2000000000000002</v>
      </c>
      <c r="M402" s="100">
        <v>3.95</v>
      </c>
      <c r="N402" s="100">
        <v>1.9</v>
      </c>
      <c r="O402" s="100">
        <v>1.8</v>
      </c>
      <c r="P402" s="258">
        <f t="shared" si="39"/>
        <v>2</v>
      </c>
    </row>
    <row r="403" spans="2:16">
      <c r="B403" s="553">
        <f t="shared" si="41"/>
        <v>45420</v>
      </c>
      <c r="C403" s="100">
        <v>0</v>
      </c>
      <c r="D403" s="100">
        <v>0</v>
      </c>
      <c r="E403" s="100">
        <v>0</v>
      </c>
      <c r="F403" s="100">
        <v>0</v>
      </c>
      <c r="G403" s="100">
        <v>0</v>
      </c>
      <c r="H403" s="258">
        <f t="shared" si="38"/>
        <v>0</v>
      </c>
      <c r="J403" s="551">
        <f t="shared" si="40"/>
        <v>45420</v>
      </c>
      <c r="K403" s="100">
        <v>3.05</v>
      </c>
      <c r="L403" s="100">
        <v>1.4</v>
      </c>
      <c r="M403" s="100">
        <v>3.85</v>
      </c>
      <c r="N403" s="100">
        <v>2.65</v>
      </c>
      <c r="O403" s="100">
        <v>1.75</v>
      </c>
      <c r="P403" s="258">
        <f t="shared" si="39"/>
        <v>2</v>
      </c>
    </row>
    <row r="404" spans="2:16">
      <c r="B404" s="553">
        <f t="shared" si="41"/>
        <v>45421</v>
      </c>
      <c r="C404" s="100">
        <v>0</v>
      </c>
      <c r="D404" s="100">
        <v>0</v>
      </c>
      <c r="E404" s="100">
        <v>0</v>
      </c>
      <c r="F404" s="100">
        <v>0</v>
      </c>
      <c r="G404" s="100">
        <v>0</v>
      </c>
      <c r="H404" s="258">
        <f t="shared" si="38"/>
        <v>0</v>
      </c>
      <c r="J404" s="551">
        <f t="shared" si="40"/>
        <v>45421</v>
      </c>
      <c r="K404" s="100">
        <v>2.8</v>
      </c>
      <c r="L404" s="100">
        <v>1.45</v>
      </c>
      <c r="M404" s="100">
        <v>3</v>
      </c>
      <c r="N404" s="100">
        <v>2</v>
      </c>
      <c r="O404" s="100">
        <v>1.8</v>
      </c>
      <c r="P404" s="258">
        <f t="shared" si="39"/>
        <v>2</v>
      </c>
    </row>
    <row r="405" spans="2:16">
      <c r="B405" s="553">
        <f t="shared" si="41"/>
        <v>45422</v>
      </c>
      <c r="C405" s="100">
        <v>1</v>
      </c>
      <c r="D405" s="100">
        <v>3</v>
      </c>
      <c r="E405" s="100">
        <v>3</v>
      </c>
      <c r="F405" s="100">
        <v>1</v>
      </c>
      <c r="G405" s="100">
        <v>1</v>
      </c>
      <c r="H405" s="258">
        <f t="shared" si="38"/>
        <v>2</v>
      </c>
      <c r="J405" s="551">
        <f t="shared" si="40"/>
        <v>45422</v>
      </c>
      <c r="K405" s="100">
        <v>3.1</v>
      </c>
      <c r="L405" s="100">
        <v>2.1</v>
      </c>
      <c r="M405" s="100">
        <v>3.6</v>
      </c>
      <c r="N405" s="100">
        <v>2.0499999999999998</v>
      </c>
      <c r="O405" s="100">
        <v>2.2999999999999998</v>
      </c>
      <c r="P405" s="258">
        <f t="shared" si="39"/>
        <v>3</v>
      </c>
    </row>
    <row r="406" spans="2:16">
      <c r="B406" s="553">
        <f t="shared" si="41"/>
        <v>45423</v>
      </c>
      <c r="C406" s="100">
        <v>1</v>
      </c>
      <c r="D406" s="100">
        <v>0</v>
      </c>
      <c r="E406" s="100">
        <v>3</v>
      </c>
      <c r="F406" s="100">
        <v>0</v>
      </c>
      <c r="G406" s="100">
        <v>0</v>
      </c>
      <c r="H406" s="258">
        <f t="shared" si="38"/>
        <v>1</v>
      </c>
      <c r="J406" s="551">
        <f t="shared" si="40"/>
        <v>45423</v>
      </c>
      <c r="K406" s="100">
        <v>3.25</v>
      </c>
      <c r="L406" s="100">
        <v>1.9</v>
      </c>
      <c r="M406" s="100">
        <v>4.1500000000000004</v>
      </c>
      <c r="N406" s="100">
        <v>2.5499999999999998</v>
      </c>
      <c r="O406" s="100">
        <v>2.8</v>
      </c>
      <c r="P406" s="258">
        <f t="shared" si="39"/>
        <v>3</v>
      </c>
    </row>
    <row r="407" spans="2:16">
      <c r="B407" s="553">
        <f t="shared" si="41"/>
        <v>45424</v>
      </c>
      <c r="C407" s="100">
        <v>0</v>
      </c>
      <c r="D407" s="100">
        <v>0</v>
      </c>
      <c r="E407" s="100">
        <v>2</v>
      </c>
      <c r="F407" s="100">
        <v>0</v>
      </c>
      <c r="G407" s="100">
        <v>0</v>
      </c>
      <c r="H407" s="258">
        <f t="shared" si="38"/>
        <v>0</v>
      </c>
      <c r="J407" s="551">
        <f t="shared" si="40"/>
        <v>45424</v>
      </c>
      <c r="K407" s="100">
        <v>4.05</v>
      </c>
      <c r="L407" s="100">
        <v>2.15</v>
      </c>
      <c r="M407" s="100">
        <v>4.5999999999999996</v>
      </c>
      <c r="N407" s="100">
        <v>3.3</v>
      </c>
      <c r="O407" s="100">
        <v>3.4</v>
      </c>
      <c r="P407" s="258">
        <f t="shared" si="39"/>
        <v>3</v>
      </c>
    </row>
    <row r="408" spans="2:16">
      <c r="B408" s="553">
        <f t="shared" si="41"/>
        <v>45425</v>
      </c>
      <c r="C408" s="100">
        <v>0</v>
      </c>
      <c r="D408" s="100">
        <v>0</v>
      </c>
      <c r="E408" s="100">
        <v>0</v>
      </c>
      <c r="F408" s="100">
        <v>0</v>
      </c>
      <c r="G408" s="100">
        <v>0</v>
      </c>
      <c r="H408" s="258">
        <f t="shared" si="38"/>
        <v>0</v>
      </c>
      <c r="J408" s="551">
        <f t="shared" si="40"/>
        <v>45425</v>
      </c>
      <c r="K408" s="100">
        <v>3.4</v>
      </c>
      <c r="L408" s="100">
        <v>1.75</v>
      </c>
      <c r="M408" s="100">
        <v>4.55</v>
      </c>
      <c r="N408" s="100">
        <v>3</v>
      </c>
      <c r="O408" s="100">
        <v>2.75</v>
      </c>
      <c r="P408" s="258">
        <f t="shared" si="39"/>
        <v>3</v>
      </c>
    </row>
    <row r="409" spans="2:16">
      <c r="B409" s="553">
        <f t="shared" si="41"/>
        <v>45426</v>
      </c>
      <c r="C409" s="100">
        <v>0</v>
      </c>
      <c r="D409" s="100">
        <v>0</v>
      </c>
      <c r="E409" s="100">
        <v>0</v>
      </c>
      <c r="F409" s="100">
        <v>0</v>
      </c>
      <c r="G409" s="100">
        <v>0</v>
      </c>
      <c r="H409" s="258">
        <f t="shared" si="38"/>
        <v>0</v>
      </c>
      <c r="J409" s="551">
        <f t="shared" si="40"/>
        <v>45426</v>
      </c>
      <c r="K409" s="100">
        <v>3.15</v>
      </c>
      <c r="L409" s="100">
        <v>2.0499999999999998</v>
      </c>
      <c r="M409" s="100">
        <v>3.3</v>
      </c>
      <c r="N409" s="100">
        <v>1.7</v>
      </c>
      <c r="O409" s="100">
        <v>2.6</v>
      </c>
      <c r="P409" s="258">
        <f t="shared" si="39"/>
        <v>3</v>
      </c>
    </row>
    <row r="410" spans="2:16">
      <c r="B410" s="553">
        <f t="shared" si="41"/>
        <v>45427</v>
      </c>
      <c r="C410" s="100">
        <v>0</v>
      </c>
      <c r="D410" s="100">
        <v>0</v>
      </c>
      <c r="E410" s="100">
        <v>0</v>
      </c>
      <c r="F410" s="100">
        <v>0</v>
      </c>
      <c r="G410" s="100">
        <v>0</v>
      </c>
      <c r="H410" s="258">
        <f t="shared" si="38"/>
        <v>0</v>
      </c>
      <c r="J410" s="551">
        <f t="shared" si="40"/>
        <v>45427</v>
      </c>
      <c r="K410" s="100">
        <v>4</v>
      </c>
      <c r="L410" s="100">
        <v>2.5499999999999998</v>
      </c>
      <c r="M410" s="100">
        <v>3.95</v>
      </c>
      <c r="N410" s="100">
        <v>2.8</v>
      </c>
      <c r="O410" s="100">
        <v>2.7</v>
      </c>
      <c r="P410" s="258">
        <f t="shared" si="39"/>
        <v>3</v>
      </c>
    </row>
    <row r="411" spans="2:16">
      <c r="B411" s="553">
        <f t="shared" si="41"/>
        <v>45428</v>
      </c>
      <c r="C411" s="100">
        <v>0</v>
      </c>
      <c r="D411" s="100">
        <v>0</v>
      </c>
      <c r="E411" s="100">
        <v>0</v>
      </c>
      <c r="F411" s="100">
        <v>0</v>
      </c>
      <c r="G411" s="100">
        <v>0</v>
      </c>
      <c r="H411" s="258">
        <f t="shared" si="38"/>
        <v>0</v>
      </c>
      <c r="J411" s="551">
        <f t="shared" si="40"/>
        <v>45428</v>
      </c>
      <c r="K411" s="100">
        <v>3.25</v>
      </c>
      <c r="L411" s="100">
        <v>2.4</v>
      </c>
      <c r="M411" s="100">
        <v>4.8499999999999996</v>
      </c>
      <c r="N411" s="100">
        <v>2.75</v>
      </c>
      <c r="O411" s="100">
        <v>2.4</v>
      </c>
      <c r="P411" s="258">
        <f t="shared" si="39"/>
        <v>3</v>
      </c>
    </row>
    <row r="412" spans="2:16">
      <c r="B412" s="553">
        <f t="shared" si="41"/>
        <v>45429</v>
      </c>
      <c r="C412" s="100">
        <v>0</v>
      </c>
      <c r="D412" s="100">
        <v>0</v>
      </c>
      <c r="E412" s="100">
        <v>0</v>
      </c>
      <c r="F412" s="100">
        <v>0</v>
      </c>
      <c r="G412" s="100">
        <v>0</v>
      </c>
      <c r="H412" s="258">
        <f t="shared" si="38"/>
        <v>0</v>
      </c>
      <c r="J412" s="551">
        <f t="shared" si="40"/>
        <v>45429</v>
      </c>
      <c r="K412" s="100">
        <v>3.15</v>
      </c>
      <c r="L412" s="100">
        <v>2.0499999999999998</v>
      </c>
      <c r="M412" s="100">
        <v>4.45</v>
      </c>
      <c r="N412" s="100">
        <v>3</v>
      </c>
      <c r="O412" s="100">
        <v>2.2999999999999998</v>
      </c>
      <c r="P412" s="258">
        <f t="shared" si="39"/>
        <v>3</v>
      </c>
    </row>
    <row r="413" spans="2:16">
      <c r="B413" s="553">
        <f t="shared" si="41"/>
        <v>45430</v>
      </c>
      <c r="C413" s="100">
        <v>0</v>
      </c>
      <c r="D413" s="100">
        <v>0</v>
      </c>
      <c r="E413" s="100">
        <v>0</v>
      </c>
      <c r="F413" s="100">
        <v>0</v>
      </c>
      <c r="G413" s="100">
        <v>0</v>
      </c>
      <c r="H413" s="258">
        <f t="shared" si="38"/>
        <v>0</v>
      </c>
      <c r="J413" s="551">
        <f t="shared" si="40"/>
        <v>45430</v>
      </c>
      <c r="K413" s="100">
        <v>2.5</v>
      </c>
      <c r="L413" s="100">
        <v>2</v>
      </c>
      <c r="M413" s="100">
        <v>4</v>
      </c>
      <c r="N413" s="100">
        <v>2.4500000000000002</v>
      </c>
      <c r="O413" s="100">
        <v>2.15</v>
      </c>
      <c r="P413" s="258">
        <f t="shared" si="39"/>
        <v>2</v>
      </c>
    </row>
    <row r="414" spans="2:16">
      <c r="B414" s="553">
        <f t="shared" si="41"/>
        <v>45431</v>
      </c>
      <c r="C414" s="100">
        <v>0</v>
      </c>
      <c r="D414" s="100">
        <v>0</v>
      </c>
      <c r="E414" s="100">
        <v>0</v>
      </c>
      <c r="F414" s="100">
        <v>0</v>
      </c>
      <c r="G414" s="100">
        <v>0</v>
      </c>
      <c r="H414" s="258">
        <f t="shared" si="38"/>
        <v>0</v>
      </c>
      <c r="J414" s="551">
        <f t="shared" si="40"/>
        <v>45431</v>
      </c>
      <c r="K414" s="100">
        <v>2.2999999999999998</v>
      </c>
      <c r="L414" s="100">
        <v>0.9</v>
      </c>
      <c r="M414" s="100">
        <v>3.2</v>
      </c>
      <c r="N414" s="100">
        <v>1.45</v>
      </c>
      <c r="O414" s="100">
        <v>1.1000000000000001</v>
      </c>
      <c r="P414" s="258">
        <f t="shared" si="39"/>
        <v>2</v>
      </c>
    </row>
    <row r="415" spans="2:16">
      <c r="B415" s="553">
        <f t="shared" si="41"/>
        <v>45432</v>
      </c>
      <c r="C415" s="100">
        <v>0</v>
      </c>
      <c r="D415" s="100">
        <v>0</v>
      </c>
      <c r="E415" s="100">
        <v>0</v>
      </c>
      <c r="F415" s="100">
        <v>0</v>
      </c>
      <c r="G415" s="100">
        <v>0</v>
      </c>
      <c r="H415" s="258">
        <f t="shared" si="38"/>
        <v>0</v>
      </c>
      <c r="J415" s="551">
        <f t="shared" si="40"/>
        <v>45432</v>
      </c>
      <c r="K415" s="100">
        <v>1.75</v>
      </c>
      <c r="L415" s="100">
        <v>0.25</v>
      </c>
      <c r="M415" s="100">
        <v>2.15</v>
      </c>
      <c r="N415" s="100">
        <v>1.1000000000000001</v>
      </c>
      <c r="O415" s="100">
        <v>0.8</v>
      </c>
      <c r="P415" s="258">
        <f t="shared" si="39"/>
        <v>1</v>
      </c>
    </row>
    <row r="416" spans="2:16">
      <c r="B416" s="553">
        <f t="shared" si="41"/>
        <v>45433</v>
      </c>
      <c r="C416" s="100">
        <v>0</v>
      </c>
      <c r="D416" s="100">
        <v>0</v>
      </c>
      <c r="E416" s="100">
        <v>0</v>
      </c>
      <c r="F416" s="100">
        <v>0</v>
      </c>
      <c r="G416" s="100">
        <v>0</v>
      </c>
      <c r="H416" s="258">
        <f t="shared" si="38"/>
        <v>0</v>
      </c>
      <c r="J416" s="551">
        <f t="shared" si="40"/>
        <v>45433</v>
      </c>
      <c r="K416" s="100">
        <v>1.05</v>
      </c>
      <c r="L416" s="100">
        <v>0.5</v>
      </c>
      <c r="M416" s="100">
        <v>2.0499999999999998</v>
      </c>
      <c r="N416" s="100">
        <v>0.7</v>
      </c>
      <c r="O416" s="100">
        <v>0.8</v>
      </c>
      <c r="P416" s="258">
        <f t="shared" si="39"/>
        <v>1</v>
      </c>
    </row>
    <row r="417" spans="2:16">
      <c r="B417" s="553">
        <f t="shared" si="41"/>
        <v>45434</v>
      </c>
      <c r="C417" s="100">
        <v>0</v>
      </c>
      <c r="D417" s="100">
        <v>0</v>
      </c>
      <c r="E417" s="100">
        <v>0</v>
      </c>
      <c r="F417" s="100">
        <v>0</v>
      </c>
      <c r="G417" s="100">
        <v>0</v>
      </c>
      <c r="H417" s="258">
        <f t="shared" si="38"/>
        <v>0</v>
      </c>
      <c r="J417" s="551">
        <f t="shared" si="40"/>
        <v>45434</v>
      </c>
      <c r="K417" s="100">
        <v>0.9</v>
      </c>
      <c r="L417" s="100">
        <v>0.25</v>
      </c>
      <c r="M417" s="100">
        <v>1.45</v>
      </c>
      <c r="N417" s="100">
        <v>0.4</v>
      </c>
      <c r="O417" s="100">
        <v>0.45</v>
      </c>
      <c r="P417" s="258">
        <f t="shared" si="39"/>
        <v>1</v>
      </c>
    </row>
    <row r="418" spans="2:16">
      <c r="B418" s="553">
        <f t="shared" si="41"/>
        <v>45435</v>
      </c>
      <c r="C418" s="100">
        <v>0</v>
      </c>
      <c r="D418" s="100">
        <v>0</v>
      </c>
      <c r="E418" s="100">
        <v>0</v>
      </c>
      <c r="F418" s="100">
        <v>0</v>
      </c>
      <c r="G418" s="100">
        <v>0</v>
      </c>
      <c r="H418" s="258">
        <f t="shared" si="38"/>
        <v>0</v>
      </c>
      <c r="J418" s="551">
        <f t="shared" si="40"/>
        <v>45435</v>
      </c>
      <c r="K418" s="100">
        <v>0.45</v>
      </c>
      <c r="L418" s="100">
        <v>0</v>
      </c>
      <c r="M418" s="100">
        <v>1.1000000000000001</v>
      </c>
      <c r="N418" s="100">
        <v>0.45</v>
      </c>
      <c r="O418" s="100">
        <v>0.05</v>
      </c>
      <c r="P418" s="258">
        <f t="shared" si="39"/>
        <v>0</v>
      </c>
    </row>
    <row r="419" spans="2:16">
      <c r="B419" s="553">
        <f t="shared" si="41"/>
        <v>45436</v>
      </c>
      <c r="C419" s="100">
        <v>0</v>
      </c>
      <c r="D419" s="100">
        <v>0</v>
      </c>
      <c r="E419" s="100">
        <v>0</v>
      </c>
      <c r="F419" s="100">
        <v>0</v>
      </c>
      <c r="G419" s="100">
        <v>0</v>
      </c>
      <c r="H419" s="258">
        <f t="shared" si="38"/>
        <v>0</v>
      </c>
      <c r="J419" s="551">
        <f t="shared" si="40"/>
        <v>45436</v>
      </c>
      <c r="K419" s="100">
        <v>0.6</v>
      </c>
      <c r="L419" s="100">
        <v>0.25</v>
      </c>
      <c r="M419" s="100">
        <v>1</v>
      </c>
      <c r="N419" s="100">
        <v>0.35</v>
      </c>
      <c r="O419" s="100">
        <v>0.3</v>
      </c>
      <c r="P419" s="258">
        <f t="shared" si="39"/>
        <v>0</v>
      </c>
    </row>
    <row r="420" spans="2:16">
      <c r="B420" s="553">
        <f t="shared" si="41"/>
        <v>45437</v>
      </c>
      <c r="C420" s="100">
        <v>0</v>
      </c>
      <c r="D420" s="100">
        <v>0</v>
      </c>
      <c r="E420" s="100">
        <v>0</v>
      </c>
      <c r="F420" s="100">
        <v>0</v>
      </c>
      <c r="G420" s="100">
        <v>0</v>
      </c>
      <c r="H420" s="258">
        <f t="shared" si="38"/>
        <v>0</v>
      </c>
      <c r="J420" s="551">
        <f t="shared" si="40"/>
        <v>45437</v>
      </c>
      <c r="K420" s="100">
        <v>0.45</v>
      </c>
      <c r="L420" s="100">
        <v>0.15</v>
      </c>
      <c r="M420" s="100">
        <v>1.3</v>
      </c>
      <c r="N420" s="100">
        <v>0.45</v>
      </c>
      <c r="O420" s="100">
        <v>0.35</v>
      </c>
      <c r="P420" s="258">
        <f t="shared" si="39"/>
        <v>0</v>
      </c>
    </row>
    <row r="421" spans="2:16">
      <c r="B421" s="553">
        <f t="shared" si="41"/>
        <v>45438</v>
      </c>
      <c r="C421" s="100">
        <v>0</v>
      </c>
      <c r="D421" s="100">
        <v>0</v>
      </c>
      <c r="E421" s="100">
        <v>0</v>
      </c>
      <c r="F421" s="100">
        <v>0</v>
      </c>
      <c r="G421" s="100">
        <v>0</v>
      </c>
      <c r="H421" s="258">
        <f t="shared" si="38"/>
        <v>0</v>
      </c>
      <c r="J421" s="551">
        <f t="shared" si="40"/>
        <v>45438</v>
      </c>
      <c r="K421" s="100">
        <v>0.3</v>
      </c>
      <c r="L421" s="100">
        <v>0</v>
      </c>
      <c r="M421" s="100">
        <v>0.35</v>
      </c>
      <c r="N421" s="100">
        <v>0</v>
      </c>
      <c r="O421" s="100">
        <v>0.25</v>
      </c>
      <c r="P421" s="258">
        <f t="shared" si="39"/>
        <v>0</v>
      </c>
    </row>
    <row r="422" spans="2:16">
      <c r="B422" s="553">
        <f t="shared" si="41"/>
        <v>45439</v>
      </c>
      <c r="C422" s="100">
        <v>0</v>
      </c>
      <c r="D422" s="100">
        <v>0</v>
      </c>
      <c r="E422" s="100">
        <v>0</v>
      </c>
      <c r="F422" s="100">
        <v>0</v>
      </c>
      <c r="G422" s="100">
        <v>0</v>
      </c>
      <c r="H422" s="258">
        <f t="shared" si="38"/>
        <v>0</v>
      </c>
      <c r="J422" s="551">
        <f t="shared" si="40"/>
        <v>45439</v>
      </c>
      <c r="K422" s="100">
        <v>0.45</v>
      </c>
      <c r="L422" s="100">
        <v>0.1</v>
      </c>
      <c r="M422" s="100">
        <v>0.25</v>
      </c>
      <c r="N422" s="100">
        <v>0.3</v>
      </c>
      <c r="O422" s="100">
        <v>0.4</v>
      </c>
      <c r="P422" s="258">
        <f t="shared" si="39"/>
        <v>0</v>
      </c>
    </row>
    <row r="423" spans="2:16">
      <c r="B423" s="553">
        <f t="shared" si="41"/>
        <v>45440</v>
      </c>
      <c r="C423" s="100">
        <v>0</v>
      </c>
      <c r="D423" s="100">
        <v>0</v>
      </c>
      <c r="E423" s="100">
        <v>0</v>
      </c>
      <c r="F423" s="100">
        <v>0</v>
      </c>
      <c r="G423" s="100">
        <v>0</v>
      </c>
      <c r="H423" s="258">
        <f t="shared" si="38"/>
        <v>0</v>
      </c>
      <c r="J423" s="551">
        <f t="shared" si="40"/>
        <v>45440</v>
      </c>
      <c r="K423" s="100">
        <v>0.1</v>
      </c>
      <c r="L423" s="100">
        <v>0.1</v>
      </c>
      <c r="M423" s="100">
        <v>0.55000000000000004</v>
      </c>
      <c r="N423" s="100">
        <v>0.05</v>
      </c>
      <c r="O423" s="100">
        <v>0</v>
      </c>
      <c r="P423" s="258">
        <f t="shared" si="39"/>
        <v>0</v>
      </c>
    </row>
    <row r="424" spans="2:16">
      <c r="B424" s="553">
        <f t="shared" si="41"/>
        <v>45441</v>
      </c>
      <c r="C424" s="100">
        <v>0</v>
      </c>
      <c r="D424" s="100">
        <v>0</v>
      </c>
      <c r="E424" s="100">
        <v>2</v>
      </c>
      <c r="F424" s="100">
        <v>0</v>
      </c>
      <c r="G424" s="100">
        <v>0</v>
      </c>
      <c r="H424" s="258">
        <f t="shared" si="38"/>
        <v>0</v>
      </c>
      <c r="J424" s="551">
        <f t="shared" si="40"/>
        <v>45441</v>
      </c>
      <c r="K424" s="100">
        <v>0.55000000000000004</v>
      </c>
      <c r="L424" s="100">
        <v>0.35</v>
      </c>
      <c r="M424" s="100">
        <v>0.95</v>
      </c>
      <c r="N424" s="100">
        <v>0.55000000000000004</v>
      </c>
      <c r="O424" s="100">
        <v>0.5</v>
      </c>
      <c r="P424" s="258">
        <f t="shared" si="39"/>
        <v>1</v>
      </c>
    </row>
    <row r="425" spans="2:16">
      <c r="B425" s="553">
        <f t="shared" si="41"/>
        <v>45442</v>
      </c>
      <c r="C425" s="100">
        <v>0</v>
      </c>
      <c r="D425" s="100">
        <v>0</v>
      </c>
      <c r="E425" s="100">
        <v>0</v>
      </c>
      <c r="F425" s="100">
        <v>0</v>
      </c>
      <c r="G425" s="100">
        <v>0</v>
      </c>
      <c r="H425" s="258">
        <f t="shared" si="38"/>
        <v>0</v>
      </c>
      <c r="J425" s="551">
        <f t="shared" si="40"/>
        <v>45442</v>
      </c>
      <c r="K425" s="100">
        <v>0.4</v>
      </c>
      <c r="L425" s="100">
        <v>0.1</v>
      </c>
      <c r="M425" s="100">
        <v>0.55000000000000004</v>
      </c>
      <c r="N425" s="100">
        <v>0.3</v>
      </c>
      <c r="O425" s="100">
        <v>0.25</v>
      </c>
      <c r="P425" s="258">
        <f t="shared" si="39"/>
        <v>0</v>
      </c>
    </row>
    <row r="426" spans="2:16">
      <c r="B426" s="553">
        <f t="shared" si="41"/>
        <v>45443</v>
      </c>
      <c r="C426" s="100">
        <v>0</v>
      </c>
      <c r="D426" s="100">
        <v>0</v>
      </c>
      <c r="E426" s="100">
        <v>0</v>
      </c>
      <c r="F426" s="100">
        <v>0</v>
      </c>
      <c r="G426" s="100">
        <v>0</v>
      </c>
      <c r="H426" s="258">
        <f t="shared" si="38"/>
        <v>0</v>
      </c>
      <c r="J426" s="551">
        <f t="shared" si="40"/>
        <v>45443</v>
      </c>
      <c r="K426" s="100">
        <v>0.25</v>
      </c>
      <c r="L426" s="100">
        <v>0</v>
      </c>
      <c r="M426" s="100">
        <v>0.45</v>
      </c>
      <c r="N426" s="100">
        <v>0.05</v>
      </c>
      <c r="O426" s="100">
        <v>0.15</v>
      </c>
      <c r="P426" s="258">
        <f t="shared" si="39"/>
        <v>0</v>
      </c>
    </row>
    <row r="427" spans="2:16">
      <c r="B427" s="553">
        <f t="shared" si="41"/>
        <v>45444</v>
      </c>
      <c r="C427" s="100">
        <v>0</v>
      </c>
      <c r="D427" s="100">
        <v>0</v>
      </c>
      <c r="E427" s="100">
        <v>0</v>
      </c>
      <c r="F427" s="100">
        <v>0</v>
      </c>
      <c r="G427" s="100">
        <v>0</v>
      </c>
      <c r="H427" s="258">
        <f t="shared" si="38"/>
        <v>0</v>
      </c>
      <c r="J427" s="551">
        <f t="shared" si="40"/>
        <v>45444</v>
      </c>
      <c r="K427" s="100">
        <v>0.5</v>
      </c>
      <c r="L427" s="100">
        <v>0.25</v>
      </c>
      <c r="M427" s="100">
        <v>0.9</v>
      </c>
      <c r="N427" s="100">
        <v>0.4</v>
      </c>
      <c r="O427" s="100">
        <v>0.4</v>
      </c>
      <c r="P427" s="258">
        <f t="shared" si="39"/>
        <v>0</v>
      </c>
    </row>
    <row r="428" spans="2:16">
      <c r="B428" s="553">
        <f t="shared" si="41"/>
        <v>45445</v>
      </c>
      <c r="C428" s="100">
        <v>0</v>
      </c>
      <c r="D428" s="100">
        <v>0</v>
      </c>
      <c r="E428" s="100">
        <v>0</v>
      </c>
      <c r="F428" s="100">
        <v>0</v>
      </c>
      <c r="G428" s="100">
        <v>0</v>
      </c>
      <c r="H428" s="258">
        <f t="shared" si="38"/>
        <v>0</v>
      </c>
      <c r="J428" s="551">
        <f t="shared" si="40"/>
        <v>45445</v>
      </c>
      <c r="K428" s="100">
        <v>0.25</v>
      </c>
      <c r="L428" s="100">
        <v>0.1</v>
      </c>
      <c r="M428" s="100">
        <v>0.7</v>
      </c>
      <c r="N428" s="100">
        <v>0.25</v>
      </c>
      <c r="O428" s="100">
        <v>0.1</v>
      </c>
      <c r="P428" s="258">
        <f t="shared" si="39"/>
        <v>0</v>
      </c>
    </row>
    <row r="429" spans="2:16">
      <c r="B429" s="553">
        <f t="shared" si="41"/>
        <v>45446</v>
      </c>
      <c r="C429" s="100">
        <v>0</v>
      </c>
      <c r="D429" s="100">
        <v>0</v>
      </c>
      <c r="E429" s="100">
        <v>0</v>
      </c>
      <c r="F429" s="100">
        <v>0</v>
      </c>
      <c r="G429" s="100">
        <v>0</v>
      </c>
      <c r="H429" s="258">
        <f t="shared" si="38"/>
        <v>0</v>
      </c>
      <c r="J429" s="551">
        <f t="shared" si="40"/>
        <v>45446</v>
      </c>
      <c r="K429" s="100">
        <v>0.1</v>
      </c>
      <c r="L429" s="100">
        <v>0</v>
      </c>
      <c r="M429" s="100">
        <v>0.15</v>
      </c>
      <c r="N429" s="100">
        <v>0</v>
      </c>
      <c r="O429" s="100">
        <v>0</v>
      </c>
      <c r="P429" s="258">
        <f t="shared" si="39"/>
        <v>0</v>
      </c>
    </row>
    <row r="430" spans="2:16">
      <c r="B430" s="553">
        <f t="shared" si="41"/>
        <v>45447</v>
      </c>
      <c r="C430" s="100">
        <v>0</v>
      </c>
      <c r="D430" s="100">
        <v>0</v>
      </c>
      <c r="E430" s="100">
        <v>0</v>
      </c>
      <c r="F430" s="100">
        <v>0</v>
      </c>
      <c r="G430" s="100">
        <v>0</v>
      </c>
      <c r="H430" s="258">
        <f t="shared" si="38"/>
        <v>0</v>
      </c>
      <c r="J430" s="551">
        <f t="shared" si="40"/>
        <v>45447</v>
      </c>
      <c r="K430" s="100">
        <v>0.15</v>
      </c>
      <c r="L430" s="100">
        <v>0</v>
      </c>
      <c r="M430" s="100">
        <v>0.35</v>
      </c>
      <c r="N430" s="100">
        <v>0.3</v>
      </c>
      <c r="O430" s="100">
        <v>0.15</v>
      </c>
      <c r="P430" s="258">
        <f t="shared" si="39"/>
        <v>0</v>
      </c>
    </row>
    <row r="431" spans="2:16">
      <c r="B431" s="553">
        <f t="shared" si="41"/>
        <v>45448</v>
      </c>
      <c r="C431" s="100">
        <v>0</v>
      </c>
      <c r="D431" s="100">
        <v>0</v>
      </c>
      <c r="E431" s="100">
        <v>0</v>
      </c>
      <c r="F431" s="100">
        <v>0</v>
      </c>
      <c r="G431" s="100">
        <v>0</v>
      </c>
      <c r="H431" s="258">
        <f t="shared" si="38"/>
        <v>0</v>
      </c>
      <c r="J431" s="551">
        <f t="shared" si="40"/>
        <v>45448</v>
      </c>
      <c r="K431" s="100">
        <v>0.05</v>
      </c>
      <c r="L431" s="100">
        <v>0</v>
      </c>
      <c r="M431" s="100">
        <v>0.15</v>
      </c>
      <c r="N431" s="100">
        <v>0.05</v>
      </c>
      <c r="O431" s="100">
        <v>0</v>
      </c>
      <c r="P431" s="258">
        <f t="shared" si="39"/>
        <v>0</v>
      </c>
    </row>
    <row r="432" spans="2:16">
      <c r="B432" s="553">
        <f t="shared" si="41"/>
        <v>45449</v>
      </c>
      <c r="C432" s="100">
        <v>0</v>
      </c>
      <c r="D432" s="100">
        <v>0</v>
      </c>
      <c r="E432" s="100">
        <v>0</v>
      </c>
      <c r="F432" s="100">
        <v>0</v>
      </c>
      <c r="G432" s="100">
        <v>0</v>
      </c>
      <c r="H432" s="258">
        <f t="shared" si="38"/>
        <v>0</v>
      </c>
      <c r="J432" s="551">
        <f t="shared" si="40"/>
        <v>45449</v>
      </c>
      <c r="K432" s="100">
        <v>0</v>
      </c>
      <c r="L432" s="100">
        <v>0</v>
      </c>
      <c r="M432" s="100">
        <v>0.15</v>
      </c>
      <c r="N432" s="100">
        <v>0</v>
      </c>
      <c r="O432" s="100">
        <v>0</v>
      </c>
      <c r="P432" s="258">
        <f t="shared" si="39"/>
        <v>0</v>
      </c>
    </row>
    <row r="433" spans="2:16">
      <c r="B433" s="553">
        <f t="shared" si="41"/>
        <v>45450</v>
      </c>
      <c r="C433" s="100">
        <v>0</v>
      </c>
      <c r="D433" s="100">
        <v>0</v>
      </c>
      <c r="E433" s="100">
        <v>0</v>
      </c>
      <c r="F433" s="100">
        <v>0</v>
      </c>
      <c r="G433" s="100">
        <v>0</v>
      </c>
      <c r="H433" s="258">
        <f t="shared" si="38"/>
        <v>0</v>
      </c>
      <c r="J433" s="551">
        <f t="shared" si="40"/>
        <v>45450</v>
      </c>
      <c r="K433" s="100">
        <v>0</v>
      </c>
      <c r="L433" s="100">
        <v>0</v>
      </c>
      <c r="M433" s="100">
        <v>0.15</v>
      </c>
      <c r="N433" s="100">
        <v>0</v>
      </c>
      <c r="O433" s="100">
        <v>0</v>
      </c>
      <c r="P433" s="258">
        <f t="shared" si="39"/>
        <v>0</v>
      </c>
    </row>
    <row r="434" spans="2:16">
      <c r="B434" s="553">
        <f t="shared" si="41"/>
        <v>45451</v>
      </c>
      <c r="C434" s="100">
        <v>0</v>
      </c>
      <c r="D434" s="100">
        <v>0</v>
      </c>
      <c r="E434" s="100">
        <v>0</v>
      </c>
      <c r="F434" s="100">
        <v>0</v>
      </c>
      <c r="G434" s="100">
        <v>0</v>
      </c>
      <c r="H434" s="258">
        <f t="shared" si="38"/>
        <v>0</v>
      </c>
      <c r="J434" s="551">
        <f t="shared" si="40"/>
        <v>45451</v>
      </c>
      <c r="K434" s="100">
        <v>0</v>
      </c>
      <c r="L434" s="100">
        <v>0</v>
      </c>
      <c r="M434" s="100">
        <v>0.2</v>
      </c>
      <c r="N434" s="100">
        <v>0</v>
      </c>
      <c r="O434" s="100">
        <v>0</v>
      </c>
      <c r="P434" s="258">
        <f t="shared" si="39"/>
        <v>0</v>
      </c>
    </row>
    <row r="435" spans="2:16">
      <c r="B435" s="553">
        <f t="shared" si="41"/>
        <v>45452</v>
      </c>
      <c r="C435" s="100">
        <v>0</v>
      </c>
      <c r="D435" s="100">
        <v>0</v>
      </c>
      <c r="E435" s="100">
        <v>0</v>
      </c>
      <c r="F435" s="100">
        <v>0</v>
      </c>
      <c r="G435" s="100">
        <v>0</v>
      </c>
      <c r="H435" s="258">
        <f t="shared" si="38"/>
        <v>0</v>
      </c>
      <c r="J435" s="551">
        <f t="shared" si="40"/>
        <v>45452</v>
      </c>
      <c r="K435" s="100">
        <v>0</v>
      </c>
      <c r="L435" s="100">
        <v>0</v>
      </c>
      <c r="M435" s="100">
        <v>0</v>
      </c>
      <c r="N435" s="100">
        <v>0</v>
      </c>
      <c r="O435" s="100">
        <v>0</v>
      </c>
      <c r="P435" s="258">
        <f t="shared" si="39"/>
        <v>0</v>
      </c>
    </row>
    <row r="436" spans="2:16">
      <c r="B436" s="553">
        <f t="shared" si="41"/>
        <v>45453</v>
      </c>
      <c r="C436" s="100">
        <v>0</v>
      </c>
      <c r="D436" s="100">
        <v>0</v>
      </c>
      <c r="E436" s="100">
        <v>0</v>
      </c>
      <c r="F436" s="100">
        <v>0</v>
      </c>
      <c r="G436" s="100">
        <v>0</v>
      </c>
      <c r="H436" s="258">
        <f t="shared" si="38"/>
        <v>0</v>
      </c>
      <c r="J436" s="551">
        <f t="shared" si="40"/>
        <v>45453</v>
      </c>
      <c r="K436" s="100">
        <v>0</v>
      </c>
      <c r="L436" s="100">
        <v>0</v>
      </c>
      <c r="M436" s="100">
        <v>0</v>
      </c>
      <c r="N436" s="100">
        <v>0</v>
      </c>
      <c r="O436" s="100">
        <v>0</v>
      </c>
      <c r="P436" s="258">
        <f t="shared" si="39"/>
        <v>0</v>
      </c>
    </row>
    <row r="437" spans="2:16">
      <c r="B437" s="553">
        <f t="shared" si="41"/>
        <v>45454</v>
      </c>
      <c r="C437" s="100">
        <v>0</v>
      </c>
      <c r="D437" s="100">
        <v>0</v>
      </c>
      <c r="E437" s="100">
        <v>2</v>
      </c>
      <c r="F437" s="100">
        <v>0</v>
      </c>
      <c r="G437" s="100">
        <v>0</v>
      </c>
      <c r="H437" s="258">
        <f t="shared" si="38"/>
        <v>0</v>
      </c>
      <c r="J437" s="551">
        <f t="shared" si="40"/>
        <v>45454</v>
      </c>
      <c r="K437" s="100">
        <v>0</v>
      </c>
      <c r="L437" s="100">
        <v>0</v>
      </c>
      <c r="M437" s="100">
        <v>0.3</v>
      </c>
      <c r="N437" s="100">
        <v>0</v>
      </c>
      <c r="O437" s="100">
        <v>0</v>
      </c>
      <c r="P437" s="258">
        <f t="shared" si="39"/>
        <v>0</v>
      </c>
    </row>
    <row r="438" spans="2:16">
      <c r="B438" s="553">
        <f t="shared" si="41"/>
        <v>45455</v>
      </c>
      <c r="C438" s="100">
        <v>0</v>
      </c>
      <c r="D438" s="100">
        <v>0</v>
      </c>
      <c r="E438" s="100">
        <v>0</v>
      </c>
      <c r="F438" s="100">
        <v>0</v>
      </c>
      <c r="G438" s="100">
        <v>0</v>
      </c>
      <c r="H438" s="258">
        <f t="shared" si="38"/>
        <v>0</v>
      </c>
      <c r="J438" s="551">
        <f t="shared" si="40"/>
        <v>45455</v>
      </c>
      <c r="K438" s="100">
        <v>0.1</v>
      </c>
      <c r="L438" s="100">
        <v>0</v>
      </c>
      <c r="M438" s="100">
        <v>0.1</v>
      </c>
      <c r="N438" s="100">
        <v>0</v>
      </c>
      <c r="O438" s="100">
        <v>0</v>
      </c>
      <c r="P438" s="258">
        <f t="shared" si="39"/>
        <v>0</v>
      </c>
    </row>
    <row r="439" spans="2:16">
      <c r="B439" s="553">
        <f t="shared" si="41"/>
        <v>45456</v>
      </c>
      <c r="C439" s="100">
        <v>0</v>
      </c>
      <c r="D439" s="100">
        <v>0</v>
      </c>
      <c r="E439" s="100">
        <v>0</v>
      </c>
      <c r="F439" s="100">
        <v>0</v>
      </c>
      <c r="G439" s="100">
        <v>0</v>
      </c>
      <c r="H439" s="258">
        <f t="shared" si="38"/>
        <v>0</v>
      </c>
      <c r="J439" s="551">
        <f t="shared" si="40"/>
        <v>45456</v>
      </c>
      <c r="K439" s="100">
        <v>0.15</v>
      </c>
      <c r="L439" s="100">
        <v>0</v>
      </c>
      <c r="M439" s="100">
        <v>0.2</v>
      </c>
      <c r="N439" s="100">
        <v>0</v>
      </c>
      <c r="O439" s="100">
        <v>0</v>
      </c>
      <c r="P439" s="258">
        <f t="shared" si="39"/>
        <v>0</v>
      </c>
    </row>
    <row r="440" spans="2:16">
      <c r="B440" s="553">
        <f t="shared" si="41"/>
        <v>45457</v>
      </c>
      <c r="C440" s="100">
        <v>0</v>
      </c>
      <c r="D440" s="100">
        <v>0</v>
      </c>
      <c r="E440" s="100">
        <v>0</v>
      </c>
      <c r="F440" s="100">
        <v>0</v>
      </c>
      <c r="G440" s="100">
        <v>0</v>
      </c>
      <c r="H440" s="258">
        <f t="shared" si="38"/>
        <v>0</v>
      </c>
      <c r="J440" s="551">
        <f t="shared" si="40"/>
        <v>45457</v>
      </c>
      <c r="K440" s="100">
        <v>0.05</v>
      </c>
      <c r="L440" s="100">
        <v>0</v>
      </c>
      <c r="M440" s="100">
        <v>0.3</v>
      </c>
      <c r="N440" s="100">
        <v>0</v>
      </c>
      <c r="O440" s="100">
        <v>0</v>
      </c>
      <c r="P440" s="258">
        <f t="shared" si="39"/>
        <v>0</v>
      </c>
    </row>
    <row r="441" spans="2:16">
      <c r="B441" s="553">
        <f t="shared" si="41"/>
        <v>45458</v>
      </c>
      <c r="C441" s="100">
        <v>0</v>
      </c>
      <c r="D441" s="100">
        <v>0</v>
      </c>
      <c r="E441" s="100">
        <v>0</v>
      </c>
      <c r="F441" s="100">
        <v>0</v>
      </c>
      <c r="G441" s="100">
        <v>0</v>
      </c>
      <c r="H441" s="258">
        <f t="shared" si="38"/>
        <v>0</v>
      </c>
      <c r="J441" s="551">
        <f t="shared" ref="J441" si="42">B441</f>
        <v>45458</v>
      </c>
      <c r="K441" s="100">
        <v>0</v>
      </c>
      <c r="L441" s="100">
        <v>0</v>
      </c>
      <c r="M441" s="100">
        <v>0.05</v>
      </c>
      <c r="N441" s="100">
        <v>0</v>
      </c>
      <c r="O441" s="100">
        <v>0</v>
      </c>
      <c r="P441" s="258">
        <f t="shared" ref="P441" si="43">IFERROR(ROUND((K441*C$70)+(L441*D$70)+(M441*E$70)+(N441*F$70)+(O441*G$70),0),0)</f>
        <v>0</v>
      </c>
    </row>
    <row r="442" spans="2:16">
      <c r="B442" s="553">
        <f t="shared" si="41"/>
        <v>45459</v>
      </c>
      <c r="C442" s="100">
        <v>0</v>
      </c>
      <c r="D442" s="100">
        <v>0</v>
      </c>
      <c r="E442" s="100">
        <v>0</v>
      </c>
      <c r="F442" s="100">
        <v>0</v>
      </c>
      <c r="G442" s="100">
        <v>0</v>
      </c>
      <c r="H442" s="258">
        <f t="shared" si="38"/>
        <v>0</v>
      </c>
      <c r="J442" s="296"/>
      <c r="K442" s="303"/>
      <c r="L442" s="303"/>
      <c r="M442" s="303"/>
      <c r="N442" s="303"/>
      <c r="O442" s="303"/>
      <c r="P442" s="297"/>
    </row>
    <row r="443" spans="2:16">
      <c r="B443" s="553">
        <f t="shared" si="41"/>
        <v>45460</v>
      </c>
      <c r="C443" s="100">
        <v>0</v>
      </c>
      <c r="D443" s="100">
        <v>0</v>
      </c>
      <c r="E443" s="100">
        <v>0</v>
      </c>
      <c r="F443" s="100">
        <v>0</v>
      </c>
      <c r="G443" s="100">
        <v>0</v>
      </c>
      <c r="H443" s="258">
        <f t="shared" si="38"/>
        <v>0</v>
      </c>
      <c r="J443" s="296"/>
      <c r="K443" s="303"/>
      <c r="L443" s="303"/>
      <c r="M443" s="303"/>
      <c r="N443" s="303"/>
      <c r="O443" s="303"/>
      <c r="P443" s="297"/>
    </row>
    <row r="444" spans="2:16">
      <c r="B444" s="553">
        <f t="shared" si="41"/>
        <v>45461</v>
      </c>
      <c r="C444" s="100">
        <v>0</v>
      </c>
      <c r="D444" s="100">
        <v>0</v>
      </c>
      <c r="E444" s="100">
        <v>0</v>
      </c>
      <c r="F444" s="100">
        <v>0</v>
      </c>
      <c r="G444" s="100">
        <v>0</v>
      </c>
      <c r="H444" s="258">
        <f t="shared" si="38"/>
        <v>0</v>
      </c>
      <c r="J444" s="296"/>
      <c r="K444" s="303"/>
      <c r="L444" s="303"/>
      <c r="M444" s="303"/>
      <c r="N444" s="303"/>
      <c r="O444" s="303"/>
      <c r="P444" s="297"/>
    </row>
    <row r="445" spans="2:16">
      <c r="B445" s="553">
        <f t="shared" si="41"/>
        <v>45462</v>
      </c>
      <c r="C445" s="100">
        <v>0</v>
      </c>
      <c r="D445" s="100">
        <v>0</v>
      </c>
      <c r="E445" s="100">
        <v>0</v>
      </c>
      <c r="F445" s="100">
        <v>0</v>
      </c>
      <c r="G445" s="100">
        <v>0</v>
      </c>
      <c r="H445" s="258">
        <f t="shared" si="38"/>
        <v>0</v>
      </c>
      <c r="J445" s="296"/>
      <c r="K445" s="303"/>
      <c r="L445" s="303"/>
      <c r="M445" s="303"/>
      <c r="N445" s="303"/>
      <c r="O445" s="303"/>
      <c r="P445" s="297"/>
    </row>
    <row r="446" spans="2:16">
      <c r="B446" s="553">
        <f t="shared" si="41"/>
        <v>45463</v>
      </c>
      <c r="C446" s="100">
        <v>0</v>
      </c>
      <c r="D446" s="100">
        <v>0</v>
      </c>
      <c r="E446" s="100">
        <v>0</v>
      </c>
      <c r="F446" s="100">
        <v>0</v>
      </c>
      <c r="G446" s="100">
        <v>0</v>
      </c>
      <c r="H446" s="258">
        <f t="shared" si="38"/>
        <v>0</v>
      </c>
      <c r="J446" s="296"/>
      <c r="K446" s="303"/>
      <c r="L446" s="303"/>
      <c r="M446" s="303"/>
      <c r="N446" s="303"/>
      <c r="O446" s="303"/>
      <c r="P446" s="297"/>
    </row>
    <row r="447" spans="2:16">
      <c r="B447" s="553">
        <f t="shared" si="41"/>
        <v>45464</v>
      </c>
      <c r="C447" s="100">
        <v>0</v>
      </c>
      <c r="D447" s="100">
        <v>0</v>
      </c>
      <c r="E447" s="100">
        <v>0</v>
      </c>
      <c r="F447" s="100">
        <v>0</v>
      </c>
      <c r="G447" s="100">
        <v>0</v>
      </c>
      <c r="H447" s="258">
        <f t="shared" si="38"/>
        <v>0</v>
      </c>
      <c r="J447" s="296"/>
      <c r="K447" s="303"/>
      <c r="L447" s="303"/>
      <c r="M447" s="303"/>
      <c r="N447" s="303"/>
      <c r="O447" s="303"/>
      <c r="P447" s="297"/>
    </row>
    <row r="448" spans="2:16">
      <c r="B448" s="553">
        <f t="shared" si="41"/>
        <v>45465</v>
      </c>
      <c r="C448" s="100">
        <v>0</v>
      </c>
      <c r="D448" s="100">
        <v>0</v>
      </c>
      <c r="E448" s="100">
        <v>0</v>
      </c>
      <c r="F448" s="100">
        <v>0</v>
      </c>
      <c r="G448" s="100">
        <v>0</v>
      </c>
      <c r="H448" s="258">
        <f t="shared" si="38"/>
        <v>0</v>
      </c>
      <c r="J448" s="296"/>
      <c r="K448" s="303"/>
      <c r="L448" s="303"/>
      <c r="M448" s="303"/>
      <c r="N448" s="303"/>
      <c r="O448" s="303"/>
      <c r="P448" s="297"/>
    </row>
    <row r="449" spans="2:16">
      <c r="B449" s="553">
        <f t="shared" si="41"/>
        <v>45466</v>
      </c>
      <c r="C449" s="100">
        <v>0</v>
      </c>
      <c r="D449" s="100">
        <v>0</v>
      </c>
      <c r="E449" s="100">
        <v>0</v>
      </c>
      <c r="F449" s="100">
        <v>0</v>
      </c>
      <c r="G449" s="100">
        <v>0</v>
      </c>
      <c r="H449" s="258">
        <f t="shared" si="38"/>
        <v>0</v>
      </c>
      <c r="J449" s="296"/>
      <c r="K449" s="303"/>
      <c r="L449" s="303"/>
      <c r="M449" s="303"/>
      <c r="N449" s="303"/>
      <c r="O449" s="303"/>
      <c r="P449" s="297"/>
    </row>
    <row r="450" spans="2:16">
      <c r="B450" s="553">
        <f t="shared" si="41"/>
        <v>45467</v>
      </c>
      <c r="C450" s="100">
        <v>0</v>
      </c>
      <c r="D450" s="100">
        <v>0</v>
      </c>
      <c r="E450" s="100">
        <v>0</v>
      </c>
      <c r="F450" s="100">
        <v>0</v>
      </c>
      <c r="G450" s="100">
        <v>0</v>
      </c>
      <c r="H450" s="258">
        <f t="shared" si="38"/>
        <v>0</v>
      </c>
      <c r="J450" s="296"/>
      <c r="K450" s="303"/>
      <c r="L450" s="303"/>
      <c r="M450" s="303"/>
      <c r="N450" s="303"/>
      <c r="O450" s="303"/>
      <c r="P450" s="297"/>
    </row>
    <row r="451" spans="2:16">
      <c r="B451" s="553">
        <f t="shared" si="41"/>
        <v>45468</v>
      </c>
      <c r="C451" s="100">
        <v>0</v>
      </c>
      <c r="D451" s="100">
        <v>0</v>
      </c>
      <c r="E451" s="100">
        <v>0</v>
      </c>
      <c r="F451" s="100">
        <v>0</v>
      </c>
      <c r="G451" s="100">
        <v>0</v>
      </c>
      <c r="H451" s="258">
        <f t="shared" si="38"/>
        <v>0</v>
      </c>
      <c r="J451" s="296"/>
      <c r="K451" s="303"/>
      <c r="L451" s="303"/>
      <c r="M451" s="303"/>
      <c r="N451" s="303"/>
      <c r="O451" s="303"/>
      <c r="P451" s="297"/>
    </row>
    <row r="452" spans="2:16">
      <c r="B452" s="553">
        <f t="shared" si="41"/>
        <v>45469</v>
      </c>
      <c r="C452" s="100">
        <v>0</v>
      </c>
      <c r="D452" s="100">
        <v>0</v>
      </c>
      <c r="E452" s="100">
        <v>0</v>
      </c>
      <c r="F452" s="100">
        <v>0</v>
      </c>
      <c r="G452" s="100">
        <v>0</v>
      </c>
      <c r="H452" s="258">
        <f t="shared" si="38"/>
        <v>0</v>
      </c>
      <c r="J452" s="296"/>
      <c r="K452" s="303"/>
      <c r="L452" s="303"/>
      <c r="M452" s="303"/>
      <c r="N452" s="303"/>
      <c r="O452" s="303"/>
      <c r="P452" s="297"/>
    </row>
    <row r="453" spans="2:16">
      <c r="B453" s="553">
        <f t="shared" si="41"/>
        <v>45470</v>
      </c>
      <c r="C453" s="100">
        <v>0</v>
      </c>
      <c r="D453" s="100">
        <v>0</v>
      </c>
      <c r="E453" s="100">
        <v>0</v>
      </c>
      <c r="F453" s="100">
        <v>0</v>
      </c>
      <c r="G453" s="100">
        <v>0</v>
      </c>
      <c r="H453" s="258">
        <f t="shared" si="38"/>
        <v>0</v>
      </c>
      <c r="J453" s="296"/>
      <c r="K453" s="303"/>
      <c r="L453" s="303"/>
      <c r="M453" s="303"/>
      <c r="N453" s="303"/>
      <c r="O453" s="303"/>
      <c r="P453" s="297"/>
    </row>
    <row r="454" spans="2:16">
      <c r="B454" s="553">
        <f t="shared" si="41"/>
        <v>45471</v>
      </c>
      <c r="C454" s="100">
        <v>0</v>
      </c>
      <c r="D454" s="100">
        <v>0</v>
      </c>
      <c r="E454" s="100">
        <v>0</v>
      </c>
      <c r="F454" s="100">
        <v>0</v>
      </c>
      <c r="G454" s="100">
        <v>0</v>
      </c>
      <c r="H454" s="258">
        <f t="shared" si="38"/>
        <v>0</v>
      </c>
      <c r="J454" s="296"/>
      <c r="K454" s="303"/>
      <c r="L454" s="303"/>
      <c r="M454" s="303"/>
      <c r="N454" s="303"/>
      <c r="O454" s="303"/>
      <c r="P454" s="297"/>
    </row>
    <row r="455" spans="2:16">
      <c r="B455" s="553">
        <f t="shared" si="41"/>
        <v>45472</v>
      </c>
      <c r="C455" s="100">
        <v>0</v>
      </c>
      <c r="D455" s="100">
        <v>0</v>
      </c>
      <c r="E455" s="100">
        <v>0</v>
      </c>
      <c r="F455" s="100">
        <v>0</v>
      </c>
      <c r="G455" s="100">
        <v>0</v>
      </c>
      <c r="H455" s="258">
        <f t="shared" si="38"/>
        <v>0</v>
      </c>
      <c r="J455" s="296"/>
      <c r="K455" s="303"/>
      <c r="L455" s="303"/>
      <c r="M455" s="303"/>
      <c r="N455" s="303"/>
      <c r="O455" s="303"/>
      <c r="P455" s="297"/>
    </row>
    <row r="456" spans="2:16">
      <c r="B456" s="553">
        <f t="shared" si="41"/>
        <v>45473</v>
      </c>
      <c r="C456" s="100">
        <v>0</v>
      </c>
      <c r="D456" s="100">
        <v>0</v>
      </c>
      <c r="E456" s="100">
        <v>0</v>
      </c>
      <c r="F456" s="100">
        <v>0</v>
      </c>
      <c r="G456" s="100">
        <v>0</v>
      </c>
      <c r="H456" s="258">
        <f t="shared" ref="H456" si="44">IFERROR(ROUND((C456*C$70)+(D456*D$70)+(E456*E$70)+(F456*F$70)+(G456*G$70),0),0)</f>
        <v>0</v>
      </c>
      <c r="J456" s="296"/>
      <c r="K456" s="303"/>
      <c r="L456" s="303"/>
      <c r="M456" s="303"/>
      <c r="N456" s="303"/>
      <c r="O456" s="303"/>
      <c r="P456" s="297"/>
    </row>
    <row r="457" spans="2:16" customFormat="1"/>
    <row r="459" spans="2:16">
      <c r="B459" s="26" t="s">
        <v>513</v>
      </c>
      <c r="C459" s="29">
        <f>SUM(C91:C456)</f>
        <v>3543</v>
      </c>
      <c r="D459" s="29">
        <f t="shared" ref="D459:H459" si="45">SUM(D91:D456)</f>
        <v>2772</v>
      </c>
      <c r="E459" s="29">
        <f t="shared" si="45"/>
        <v>3485</v>
      </c>
      <c r="F459" s="29">
        <f t="shared" si="45"/>
        <v>3176</v>
      </c>
      <c r="G459" s="29">
        <f t="shared" si="45"/>
        <v>3192</v>
      </c>
      <c r="H459" s="29">
        <f t="shared" si="45"/>
        <v>3221</v>
      </c>
      <c r="K459" s="29">
        <f>SUM(K92:K458)</f>
        <v>4232.8842105263157</v>
      </c>
      <c r="L459" s="29">
        <f t="shared" ref="L459:P459" si="46">SUM(L92:L458)</f>
        <v>3258.9999999999995</v>
      </c>
      <c r="M459" s="29">
        <f t="shared" si="46"/>
        <v>4312.8315789473672</v>
      </c>
      <c r="N459" s="29">
        <f t="shared" si="46"/>
        <v>3822.431578947369</v>
      </c>
      <c r="O459" s="29">
        <f t="shared" si="46"/>
        <v>3850.6868421052645</v>
      </c>
      <c r="P459" s="29">
        <f t="shared" si="46"/>
        <v>3857</v>
      </c>
    </row>
    <row r="460" spans="2:16">
      <c r="K460" s="81"/>
      <c r="L460" s="81"/>
      <c r="M460" s="81"/>
      <c r="N460" s="81"/>
      <c r="O460" s="81"/>
    </row>
    <row r="461" spans="2:16">
      <c r="B461" s="26" t="s">
        <v>514</v>
      </c>
      <c r="C461" s="240">
        <f>C459/K459</f>
        <v>0.83701793476639053</v>
      </c>
      <c r="D461" s="240">
        <f t="shared" ref="D461:H461" si="47">D459/L459</f>
        <v>0.85056765879104035</v>
      </c>
      <c r="E461" s="240">
        <f t="shared" si="47"/>
        <v>0.80805381249100017</v>
      </c>
      <c r="F461" s="240">
        <f t="shared" si="47"/>
        <v>0.83088472204245833</v>
      </c>
      <c r="G461" s="240">
        <f t="shared" si="47"/>
        <v>0.82894302520192886</v>
      </c>
      <c r="H461" s="240">
        <f t="shared" si="47"/>
        <v>0.83510500388903297</v>
      </c>
      <c r="K461" s="29"/>
      <c r="L461" s="29"/>
      <c r="M461" s="29"/>
      <c r="N461" s="29"/>
      <c r="O461" s="29"/>
      <c r="P461" s="29"/>
    </row>
  </sheetData>
  <mergeCells count="10">
    <mergeCell ref="A4:F4"/>
    <mergeCell ref="A2:F2"/>
    <mergeCell ref="A3:F3"/>
    <mergeCell ref="B28:F29"/>
    <mergeCell ref="K47:L47"/>
    <mergeCell ref="M47:N47"/>
    <mergeCell ref="C47:D47"/>
    <mergeCell ref="E47:F47"/>
    <mergeCell ref="B44:H44"/>
    <mergeCell ref="J44:P44"/>
  </mergeCells>
  <printOptions horizontalCentered="1"/>
  <pageMargins left="0.25" right="0.25" top="0.75" bottom="0.75" header="0.3" footer="0.3"/>
  <pageSetup orientation="landscape" r:id="rId1"/>
  <headerFooter alignWithMargins="0">
    <oddFooter>&amp;C&amp;A&amp;RPage &amp;P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9"/>
  <dimension ref="A1:CN151"/>
  <sheetViews>
    <sheetView zoomScaleNormal="100" workbookViewId="0">
      <selection activeCell="D50" sqref="D50"/>
    </sheetView>
  </sheetViews>
  <sheetFormatPr defaultColWidth="9.140625" defaultRowHeight="12.75"/>
  <cols>
    <col min="1" max="1" width="9.5703125" style="106" customWidth="1"/>
    <col min="2" max="2" width="27" style="106" customWidth="1"/>
    <col min="3" max="7" width="14.42578125" style="106" customWidth="1"/>
    <col min="8" max="8" width="13.28515625" style="106" bestFit="1" customWidth="1"/>
    <col min="9" max="9" width="17.7109375" style="106" bestFit="1" customWidth="1"/>
    <col min="10" max="15" width="13.140625" style="106" bestFit="1" customWidth="1"/>
    <col min="16" max="16" width="13.7109375" style="106" bestFit="1" customWidth="1"/>
    <col min="17" max="17" width="13.28515625" style="106" bestFit="1" customWidth="1"/>
    <col min="18" max="19" width="13.140625" style="106" bestFit="1" customWidth="1"/>
    <col min="20" max="20" width="15.42578125" style="106" customWidth="1"/>
    <col min="21" max="22" width="13.7109375" style="106" bestFit="1" customWidth="1"/>
    <col min="23" max="23" width="13.140625" style="106" bestFit="1" customWidth="1"/>
    <col min="24" max="24" width="13.5703125" style="106" bestFit="1" customWidth="1"/>
    <col min="25" max="25" width="13.7109375" style="106" bestFit="1" customWidth="1"/>
    <col min="26" max="86" width="13.85546875" style="106" customWidth="1"/>
    <col min="87" max="87" width="11.5703125" style="106" bestFit="1" customWidth="1"/>
    <col min="88" max="88" width="12.5703125" style="106" bestFit="1" customWidth="1"/>
    <col min="89" max="92" width="11.140625" style="106" bestFit="1" customWidth="1"/>
    <col min="93" max="16384" width="9.140625" style="106"/>
  </cols>
  <sheetData>
    <row r="1" spans="1:82">
      <c r="B1" s="106" t="s">
        <v>67</v>
      </c>
    </row>
    <row r="2" spans="1:82" ht="13.5">
      <c r="A2" s="105"/>
      <c r="B2" s="106" t="s">
        <v>362</v>
      </c>
      <c r="C2" s="554" t="str">
        <f>IF(AND(C4&gt;=Dashboard!$D$7,C4&lt;=Dashboard!$D$8),"Ref Period",IF(AND(C4&gt;=Dashboard!$D$10,C4&lt;=Dashboard!$D$11),"Test Year",""))</f>
        <v>Ref Period</v>
      </c>
      <c r="D2" s="554" t="str">
        <f>IF(AND(D4&gt;=Dashboard!$D$7,D4&lt;=Dashboard!$D$8),"Ref Period",IF(AND(D4&gt;=Dashboard!$D$10,D4&lt;=Dashboard!$D$11),"Test Year",""))</f>
        <v>Ref Period</v>
      </c>
      <c r="E2" s="554" t="str">
        <f>IF(AND(E4&gt;=Dashboard!$D$7,E4&lt;=Dashboard!$D$8),"Ref Period",IF(AND(E4&gt;=Dashboard!$D$10,E4&lt;=Dashboard!$D$11),"Test Year",""))</f>
        <v>Ref Period</v>
      </c>
      <c r="F2" s="554" t="str">
        <f>IF(AND(F4&gt;=Dashboard!$D$7,F4&lt;=Dashboard!$D$8),"Ref Period",IF(AND(F4&gt;=Dashboard!$D$10,F4&lt;=Dashboard!$D$11),"Test Year",""))</f>
        <v>Ref Period</v>
      </c>
      <c r="G2" s="554" t="str">
        <f>IF(AND(G4&gt;=Dashboard!$D$7,G4&lt;=Dashboard!$D$8),"Ref Period",IF(AND(G4&gt;=Dashboard!$D$10,G4&lt;=Dashboard!$D$11),"Test Year",""))</f>
        <v>Ref Period</v>
      </c>
      <c r="H2" s="554" t="str">
        <f>IF(AND(H4&gt;=Dashboard!$D$7,H4&lt;=Dashboard!$D$8),"Ref Period",IF(AND(H4&gt;=Dashboard!$D$10,H4&lt;=Dashboard!$D$11),"Test Year",""))</f>
        <v/>
      </c>
      <c r="I2" s="554" t="str">
        <f>IF(AND(I4&gt;=Dashboard!$D$7,I4&lt;=Dashboard!$D$8),"Ref Period",IF(AND(I4&gt;=Dashboard!$D$10,I4&lt;=Dashboard!$D$11),"Test Year",""))</f>
        <v/>
      </c>
      <c r="J2" s="554" t="str">
        <f>IF(AND(J4&gt;=Dashboard!$D$7,J4&lt;=Dashboard!$D$8),"Ref Period",IF(AND(J4&gt;=Dashboard!$D$10,J4&lt;=Dashboard!$D$11),"Test Year",""))</f>
        <v/>
      </c>
      <c r="K2" s="554" t="str">
        <f>IF(AND(K4&gt;=Dashboard!$D$7,K4&lt;=Dashboard!$D$8),"Ref Period",IF(AND(K4&gt;=Dashboard!$D$10,K4&lt;=Dashboard!$D$11),"Test Year",""))</f>
        <v/>
      </c>
      <c r="L2" s="554" t="str">
        <f>IF(AND(L4&gt;=Dashboard!$D$7,L4&lt;=Dashboard!$D$8),"Ref Period",IF(AND(L4&gt;=Dashboard!$D$10,L4&lt;=Dashboard!$D$11),"Test Year",""))</f>
        <v/>
      </c>
      <c r="M2" s="554" t="str">
        <f>IF(AND(M4&gt;=Dashboard!$D$7,M4&lt;=Dashboard!$D$8),"Ref Period",IF(AND(M4&gt;=Dashboard!$D$10,M4&lt;=Dashboard!$D$11),"Test Year",""))</f>
        <v/>
      </c>
      <c r="N2" s="554" t="str">
        <f>IF(AND(N4&gt;=Dashboard!$D$7,N4&lt;=Dashboard!$D$8),"Ref Period",IF(AND(N4&gt;=Dashboard!$D$10,N4&lt;=Dashboard!$D$11),"Test Year",""))</f>
        <v/>
      </c>
      <c r="O2" s="554" t="str">
        <f>IF(AND(O4&gt;=Dashboard!$D$7,O4&lt;=Dashboard!$D$8),"Ref Period",IF(AND(O4&gt;=Dashboard!$D$10,O4&lt;=Dashboard!$D$11),"Test Year",""))</f>
        <v/>
      </c>
      <c r="P2" s="554" t="str">
        <f>IF(AND(P4&gt;=Dashboard!$D$7,P4&lt;=Dashboard!$D$8),"Ref Period",IF(AND(P4&gt;=Dashboard!$D$10,P4&lt;=Dashboard!$D$11),"Test Year",""))</f>
        <v/>
      </c>
      <c r="Q2" s="554" t="str">
        <f>IF(AND(Q4&gt;=Dashboard!$D$7,Q4&lt;=Dashboard!$D$8),"Ref Period",IF(AND(Q4&gt;=Dashboard!$D$10,Q4&lt;=Dashboard!$D$11),"Test Year",""))</f>
        <v>Test Year</v>
      </c>
      <c r="R2" s="554" t="str">
        <f>IF(AND(R4&gt;=Dashboard!$D$7,R4&lt;=Dashboard!$D$8),"Ref Period",IF(AND(R4&gt;=Dashboard!$D$10,R4&lt;=Dashboard!$D$11),"Test Year",""))</f>
        <v>Test Year</v>
      </c>
      <c r="S2" s="554" t="str">
        <f>IF(AND(S4&gt;=Dashboard!$D$7,S4&lt;=Dashboard!$D$8),"Ref Period",IF(AND(S4&gt;=Dashboard!$D$10,S4&lt;=Dashboard!$D$11),"Test Year",""))</f>
        <v>Test Year</v>
      </c>
      <c r="T2" s="554" t="str">
        <f>IF(AND(T4&gt;=Dashboard!$D$7,T4&lt;=Dashboard!$D$8),"Ref Period",IF(AND(T4&gt;=Dashboard!$D$10,T4&lt;=Dashboard!$D$11),"Test Year",""))</f>
        <v>Test Year</v>
      </c>
      <c r="U2" s="554" t="str">
        <f>IF(AND(U4&gt;=Dashboard!$D$7,U4&lt;=Dashboard!$D$8),"Ref Period",IF(AND(U4&gt;=Dashboard!$D$10,U4&lt;=Dashboard!$D$11),"Test Year",""))</f>
        <v>Test Year</v>
      </c>
      <c r="V2" s="554" t="str">
        <f>IF(AND(V4&gt;=Dashboard!$D$7,V4&lt;=Dashboard!$D$8),"Ref Period",IF(AND(V4&gt;=Dashboard!$D$10,V4&lt;=Dashboard!$D$11),"Test Year",""))</f>
        <v>Test Year</v>
      </c>
      <c r="W2" s="554" t="str">
        <f>IF(AND(W4&gt;=Dashboard!$D$7,W4&lt;=Dashboard!$D$8),"Ref Period",IF(AND(W4&gt;=Dashboard!$D$10,W4&lt;=Dashboard!$D$11),"Test Year",""))</f>
        <v>Test Year</v>
      </c>
      <c r="X2" s="554" t="str">
        <f>IF(AND(X4&gt;=Dashboard!$D$7,X4&lt;=Dashboard!$D$8),"Ref Period",IF(AND(X4&gt;=Dashboard!$D$10,X4&lt;=Dashboard!$D$11),"Test Year",""))</f>
        <v>Test Year</v>
      </c>
      <c r="Y2" s="554" t="str">
        <f>IF(AND(Y4&gt;=Dashboard!$D$7,Y4&lt;=Dashboard!$D$8),"Ref Period",IF(AND(Y4&gt;=Dashboard!$D$10,Y4&lt;=Dashboard!$D$11),"Test Year",""))</f>
        <v>Test Year</v>
      </c>
      <c r="Z2" s="554" t="str">
        <f>IF(AND(Z4&gt;=Dashboard!$D$7,Z4&lt;=Dashboard!$D$8),"Ref Period",IF(AND(Z4&gt;=Dashboard!$D$10,Z4&lt;=Dashboard!$D$11),"Test Year",""))</f>
        <v>Test Year</v>
      </c>
      <c r="AA2" s="554" t="str">
        <f>IF(AND(AA4&gt;=Dashboard!$D$7,AA4&lt;=Dashboard!$D$8),"Ref Period",IF(AND(AA4&gt;=Dashboard!$D$10,AA4&lt;=Dashboard!$D$11),"Test Year",""))</f>
        <v>Test Year</v>
      </c>
      <c r="AB2" s="554" t="str">
        <f>IF(AND(AB4&gt;=Dashboard!$D$7,AB4&lt;=Dashboard!$D$8),"Ref Period",IF(AND(AB4&gt;=Dashboard!$D$10,AB4&lt;=Dashboard!$D$11),"Test Year",""))</f>
        <v>Test Year</v>
      </c>
      <c r="AC2" s="554" t="str">
        <f>IF(AND(AC4&gt;=Dashboard!$D$7,AC4&lt;=Dashboard!$D$8),"Ref Period",IF(AND(AC4&gt;=Dashboard!$D$10,AC4&lt;=Dashboard!$D$11),"Test Year",""))</f>
        <v/>
      </c>
      <c r="AD2" s="554" t="str">
        <f>IF(AND(AD4&gt;=Dashboard!$D$7,AD4&lt;=Dashboard!$D$8),"Ref Period",IF(AND(AD4&gt;=Dashboard!$D$10,AD4&lt;=Dashboard!$D$11),"Test Year",""))</f>
        <v/>
      </c>
      <c r="AE2" s="554" t="str">
        <f>IF(AND(AE4&gt;=Dashboard!$D$7,AE4&lt;=Dashboard!$D$8),"Ref Period",IF(AND(AE4&gt;=Dashboard!$D$10,AE4&lt;=Dashboard!$D$11),"Test Year",""))</f>
        <v/>
      </c>
      <c r="AF2" s="554" t="str">
        <f>IF(AND(AF4&gt;=Dashboard!$D$7,AF4&lt;=Dashboard!$D$8),"Ref Period",IF(AND(AF4&gt;=Dashboard!$D$10,AF4&lt;=Dashboard!$D$11),"Test Year",""))</f>
        <v/>
      </c>
      <c r="AG2" s="554" t="str">
        <f>IF(AND(AG4&gt;=Dashboard!$D$7,AG4&lt;=Dashboard!$D$8),"Ref Period",IF(AND(AG4&gt;=Dashboard!$D$10,AG4&lt;=Dashboard!$D$11),"Test Year",""))</f>
        <v/>
      </c>
      <c r="AH2" s="554" t="str">
        <f>IF(AND(AH4&gt;=Dashboard!$D$7,AH4&lt;=Dashboard!$D$8),"Ref Period",IF(AND(AH4&gt;=Dashboard!$D$10,AH4&lt;=Dashboard!$D$11),"Test Year",""))</f>
        <v/>
      </c>
      <c r="AI2" s="554" t="str">
        <f>IF(AND(AI4&gt;=Dashboard!$D$7,AI4&lt;=Dashboard!$D$8),"Ref Period",IF(AND(AI4&gt;=Dashboard!$D$10,AI4&lt;=Dashboard!$D$11),"Test Year",""))</f>
        <v/>
      </c>
      <c r="AJ2" s="554" t="str">
        <f>IF(AND(AJ4&gt;=Dashboard!$D$7,AJ4&lt;=Dashboard!$D$8),"Ref Period",IF(AND(AJ4&gt;=Dashboard!$D$10,AJ4&lt;=Dashboard!$D$11),"Test Year",""))</f>
        <v/>
      </c>
      <c r="AK2" s="554" t="str">
        <f>IF(AND(AK4&gt;=Dashboard!$D$7,AK4&lt;=Dashboard!$D$8),"Ref Period",IF(AND(AK4&gt;=Dashboard!$D$10,AK4&lt;=Dashboard!$D$11),"Test Year",""))</f>
        <v/>
      </c>
      <c r="AL2" s="554" t="str">
        <f>IF(AND(AL4&gt;=Dashboard!$D$7,AL4&lt;=Dashboard!$D$8),"Ref Period",IF(AND(AL4&gt;=Dashboard!$D$10,AL4&lt;=Dashboard!$D$11),"Test Year",""))</f>
        <v/>
      </c>
      <c r="AM2" s="554" t="str">
        <f>IF(AND(AM4&gt;=Dashboard!$D$7,AM4&lt;=Dashboard!$D$8),"Ref Period",IF(AND(AM4&gt;=Dashboard!$D$10,AM4&lt;=Dashboard!$D$11),"Test Year",""))</f>
        <v/>
      </c>
      <c r="AN2" s="554" t="str">
        <f>IF(AND(AN4&gt;=Dashboard!$D$7,AN4&lt;=Dashboard!$D$8),"Ref Period",IF(AND(AN4&gt;=Dashboard!$D$10,AN4&lt;=Dashboard!$D$11),"Test Year",""))</f>
        <v/>
      </c>
      <c r="AO2" s="554" t="str">
        <f>IF(AND(AO4&gt;=Dashboard!$D$7,AO4&lt;=Dashboard!$D$8),"Ref Period",IF(AND(AO4&gt;=Dashboard!$D$10,AO4&lt;=Dashboard!$D$11),"Test Year",""))</f>
        <v/>
      </c>
      <c r="AP2" s="554" t="str">
        <f>IF(AND(AP4&gt;=Dashboard!$D$7,AP4&lt;=Dashboard!$D$8),"Ref Period",IF(AND(AP4&gt;=Dashboard!$D$10,AP4&lt;=Dashboard!$D$11),"Test Year",""))</f>
        <v/>
      </c>
      <c r="AQ2" s="554" t="str">
        <f>IF(AND(AQ4&gt;=Dashboard!$D$7,AQ4&lt;=Dashboard!$D$8),"Ref Period",IF(AND(AQ4&gt;=Dashboard!$D$10,AQ4&lt;=Dashboard!$D$11),"Test Year",""))</f>
        <v/>
      </c>
      <c r="AR2" s="554" t="str">
        <f>IF(AND(AR4&gt;=Dashboard!$D$7,AR4&lt;=Dashboard!$D$8),"Ref Period",IF(AND(AR4&gt;=Dashboard!$D$10,AR4&lt;=Dashboard!$D$11),"Test Year",""))</f>
        <v/>
      </c>
      <c r="AS2" s="554" t="str">
        <f>IF(AND(AS4&gt;=Dashboard!$D$7,AS4&lt;=Dashboard!$D$8),"Ref Period",IF(AND(AS4&gt;=Dashboard!$D$10,AS4&lt;=Dashboard!$D$11),"Test Year",""))</f>
        <v/>
      </c>
      <c r="AT2" s="554" t="str">
        <f>IF(AND(AT4&gt;=Dashboard!$D$7,AT4&lt;=Dashboard!$D$8),"Ref Period",IF(AND(AT4&gt;=Dashboard!$D$10,AT4&lt;=Dashboard!$D$11),"Test Year",""))</f>
        <v/>
      </c>
      <c r="AU2" s="554" t="str">
        <f>IF(AND(AU4&gt;=Dashboard!$D$7,AU4&lt;=Dashboard!$D$8),"Ref Period",IF(AND(AU4&gt;=Dashboard!$D$10,AU4&lt;=Dashboard!$D$11),"Test Year",""))</f>
        <v/>
      </c>
      <c r="AV2" s="554" t="str">
        <f>IF(AND(AV4&gt;=Dashboard!$D$7,AV4&lt;=Dashboard!$D$8),"Ref Period",IF(AND(AV4&gt;=Dashboard!$D$10,AV4&lt;=Dashboard!$D$11),"Test Year",""))</f>
        <v/>
      </c>
      <c r="AW2" s="554" t="str">
        <f>IF(AND(AW4&gt;=Dashboard!$D$7,AW4&lt;=Dashboard!$D$8),"Ref Period",IF(AND(AW4&gt;=Dashboard!$D$10,AW4&lt;=Dashboard!$D$11),"Test Year",""))</f>
        <v/>
      </c>
      <c r="AX2" s="554" t="str">
        <f>IF(AND(AX4&gt;=Dashboard!$D$7,AX4&lt;=Dashboard!$D$8),"Ref Period",IF(AND(AX4&gt;=Dashboard!$D$10,AX4&lt;=Dashboard!$D$11),"Test Year",""))</f>
        <v/>
      </c>
      <c r="AY2" s="554" t="str">
        <f>IF(AND(AY4&gt;=Dashboard!$D$7,AY4&lt;=Dashboard!$D$8),"Ref Period",IF(AND(AY4&gt;=Dashboard!$D$10,AY4&lt;=Dashboard!$D$11),"Test Year",""))</f>
        <v/>
      </c>
      <c r="AZ2" s="554" t="str">
        <f>IF(AND(AZ4&gt;=Dashboard!$D$7,AZ4&lt;=Dashboard!$D$8),"Ref Period",IF(AND(AZ4&gt;=Dashboard!$D$10,AZ4&lt;=Dashboard!$D$11),"Test Year",""))</f>
        <v/>
      </c>
      <c r="BA2" s="554" t="str">
        <f>IF(AND(BA4&gt;=Dashboard!$D$7,BA4&lt;=Dashboard!$D$8),"Ref Period",IF(AND(BA4&gt;=Dashboard!$D$10,BA4&lt;=Dashboard!$D$11),"Test Year",""))</f>
        <v/>
      </c>
      <c r="BB2" s="554" t="str">
        <f>IF(AND(BB4&gt;=Dashboard!$D$7,BB4&lt;=Dashboard!$D$8),"Ref Period",IF(AND(BB4&gt;=Dashboard!$D$10,BB4&lt;=Dashboard!$D$11),"Test Year",""))</f>
        <v/>
      </c>
      <c r="BC2" s="554" t="str">
        <f>IF(AND(BC4&gt;=Dashboard!$D$7,BC4&lt;=Dashboard!$D$8),"Ref Period",IF(AND(BC4&gt;=Dashboard!$D$10,BC4&lt;=Dashboard!$D$11),"Test Year",""))</f>
        <v/>
      </c>
      <c r="BD2" s="554" t="str">
        <f>IF(AND(BD4&gt;=Dashboard!$D$7,BD4&lt;=Dashboard!$D$8),"Ref Period",IF(AND(BD4&gt;=Dashboard!$D$10,BD4&lt;=Dashboard!$D$11),"Test Year",""))</f>
        <v/>
      </c>
      <c r="BE2" s="554" t="str">
        <f>IF(AND(BE4&gt;=Dashboard!$D$7,BE4&lt;=Dashboard!$D$8),"Ref Period",IF(AND(BE4&gt;=Dashboard!$D$10,BE4&lt;=Dashboard!$D$11),"Test Year",""))</f>
        <v/>
      </c>
      <c r="BF2" s="554" t="str">
        <f>IF(AND(BF4&gt;=Dashboard!$D$7,BF4&lt;=Dashboard!$D$8),"Ref Period",IF(AND(BF4&gt;=Dashboard!$D$10,BF4&lt;=Dashboard!$D$11),"Test Year",""))</f>
        <v/>
      </c>
      <c r="BG2" s="554" t="str">
        <f>IF(AND(BG4&gt;=Dashboard!$D$7,BG4&lt;=Dashboard!$D$8),"Ref Period",IF(AND(BG4&gt;=Dashboard!$D$10,BG4&lt;=Dashboard!$D$11),"Test Year",""))</f>
        <v/>
      </c>
      <c r="BH2" s="554" t="str">
        <f>IF(AND(BH4&gt;=Dashboard!$D$7,BH4&lt;=Dashboard!$D$8),"Ref Period",IF(AND(BH4&gt;=Dashboard!$D$10,BH4&lt;=Dashboard!$D$11),"Test Year",""))</f>
        <v/>
      </c>
      <c r="BI2" s="554" t="str">
        <f>IF(AND(BI4&gt;=Dashboard!$D$7,BI4&lt;=Dashboard!$D$8),"Ref Period",IF(AND(BI4&gt;=Dashboard!$D$10,BI4&lt;=Dashboard!$D$11),"Test Year",""))</f>
        <v/>
      </c>
      <c r="BJ2" s="554" t="str">
        <f>IF(AND(BJ4&gt;=Dashboard!$D$7,BJ4&lt;=Dashboard!$D$8),"Ref Period",IF(AND(BJ4&gt;=Dashboard!$D$10,BJ4&lt;=Dashboard!$D$11),"Test Year",""))</f>
        <v/>
      </c>
      <c r="BK2" s="554" t="str">
        <f>IF(AND(BK4&gt;=Dashboard!$D$7,BK4&lt;=Dashboard!$D$8),"Ref Period",IF(AND(BK4&gt;=Dashboard!$D$10,BK4&lt;=Dashboard!$D$11),"Test Year",""))</f>
        <v/>
      </c>
      <c r="BL2" s="554" t="str">
        <f>IF(AND(BL4&gt;=Dashboard!$D$7,BL4&lt;=Dashboard!$D$8),"Ref Period",IF(AND(BL4&gt;=Dashboard!$D$10,BL4&lt;=Dashboard!$D$11),"Test Year",""))</f>
        <v/>
      </c>
      <c r="BM2" s="554" t="str">
        <f>IF(AND(BM4&gt;=Dashboard!$D$7,BM4&lt;=Dashboard!$D$8),"Ref Period",IF(AND(BM4&gt;=Dashboard!$D$10,BM4&lt;=Dashboard!$D$11),"Test Year",""))</f>
        <v/>
      </c>
      <c r="BN2" s="554" t="str">
        <f>IF(AND(BN4&gt;=Dashboard!$D$7,BN4&lt;=Dashboard!$D$8),"Ref Period",IF(AND(BN4&gt;=Dashboard!$D$10,BN4&lt;=Dashboard!$D$11),"Test Year",""))</f>
        <v/>
      </c>
      <c r="BO2" s="554" t="str">
        <f>IF(AND(BO4&gt;=Dashboard!$D$7,BO4&lt;=Dashboard!$D$8),"Ref Period",IF(AND(BO4&gt;=Dashboard!$D$10,BO4&lt;=Dashboard!$D$11),"Test Year",""))</f>
        <v/>
      </c>
      <c r="BP2" s="554" t="str">
        <f>IF(AND(BP4&gt;=Dashboard!$D$7,BP4&lt;=Dashboard!$D$8),"Ref Period",IF(AND(BP4&gt;=Dashboard!$D$10,BP4&lt;=Dashboard!$D$11),"Test Year",""))</f>
        <v/>
      </c>
      <c r="BQ2" s="554" t="str">
        <f>IF(AND(BQ4&gt;=Dashboard!$D$7,BQ4&lt;=Dashboard!$D$8),"Ref Period",IF(AND(BQ4&gt;=Dashboard!$D$10,BQ4&lt;=Dashboard!$D$11),"Test Year",""))</f>
        <v/>
      </c>
      <c r="BR2" s="554" t="str">
        <f>IF(AND(BR4&gt;=Dashboard!$D$7,BR4&lt;=Dashboard!$D$8),"Ref Period",IF(AND(BR4&gt;=Dashboard!$D$10,BR4&lt;=Dashboard!$D$11),"Test Year",""))</f>
        <v/>
      </c>
      <c r="BS2" s="554" t="str">
        <f>IF(AND(BS4&gt;=Dashboard!$D$7,BS4&lt;=Dashboard!$D$8),"Ref Period",IF(AND(BS4&gt;=Dashboard!$D$10,BS4&lt;=Dashboard!$D$11),"Test Year",""))</f>
        <v/>
      </c>
      <c r="BT2" s="554" t="str">
        <f>IF(AND(BT4&gt;=Dashboard!$D$7,BT4&lt;=Dashboard!$D$8),"Ref Period",IF(AND(BT4&gt;=Dashboard!$D$10,BT4&lt;=Dashboard!$D$11),"Test Year",""))</f>
        <v/>
      </c>
      <c r="BU2" s="554" t="str">
        <f>IF(AND(BU4&gt;=Dashboard!$D$7,BU4&lt;=Dashboard!$D$8),"Ref Period",IF(AND(BU4&gt;=Dashboard!$D$10,BU4&lt;=Dashboard!$D$11),"Test Year",""))</f>
        <v/>
      </c>
      <c r="BV2" s="554" t="str">
        <f>IF(AND(BV4&gt;=Dashboard!$D$7,BV4&lt;=Dashboard!$D$8),"Ref Period",IF(AND(BV4&gt;=Dashboard!$D$10,BV4&lt;=Dashboard!$D$11),"Test Year",""))</f>
        <v/>
      </c>
      <c r="BW2" s="554" t="str">
        <f>IF(AND(BW4&gt;=Dashboard!$D$7,BW4&lt;=Dashboard!$D$8),"Ref Period",IF(AND(BW4&gt;=Dashboard!$D$10,BW4&lt;=Dashboard!$D$11),"Test Year",""))</f>
        <v/>
      </c>
      <c r="BX2" s="554" t="str">
        <f>IF(AND(BX4&gt;=Dashboard!$D$7,BX4&lt;=Dashboard!$D$8),"Ref Period",IF(AND(BX4&gt;=Dashboard!$D$10,BX4&lt;=Dashboard!$D$11),"Test Year",""))</f>
        <v/>
      </c>
      <c r="BY2" s="554" t="str">
        <f>IF(AND(BY4&gt;=Dashboard!$D$7,BY4&lt;=Dashboard!$D$8),"Ref Period",IF(AND(BY4&gt;=Dashboard!$D$10,BY4&lt;=Dashboard!$D$11),"Test Year",""))</f>
        <v/>
      </c>
      <c r="BZ2" s="554" t="str">
        <f>IF(AND(BZ4&gt;=Dashboard!$D$7,BZ4&lt;=Dashboard!$D$8),"Ref Period",IF(AND(BZ4&gt;=Dashboard!$D$10,BZ4&lt;=Dashboard!$D$11),"Test Year",""))</f>
        <v/>
      </c>
      <c r="CA2" s="554" t="str">
        <f>IF(AND(CA4&gt;=Dashboard!$D$7,CA4&lt;=Dashboard!$D$8),"Ref Period",IF(AND(CA4&gt;=Dashboard!$D$10,CA4&lt;=Dashboard!$D$11),"Test Year",""))</f>
        <v/>
      </c>
      <c r="CB2" s="554" t="str">
        <f>IF(AND(CB4&gt;=Dashboard!$D$7,CB4&lt;=Dashboard!$D$8),"Ref Period",IF(AND(CB4&gt;=Dashboard!$D$10,CB4&lt;=Dashboard!$D$11),"Test Year",""))</f>
        <v/>
      </c>
      <c r="CC2" s="554" t="str">
        <f>IF(AND(CC4&gt;=Dashboard!$D$7,CC4&lt;=Dashboard!$D$8),"Ref Period",IF(AND(CC4&gt;=Dashboard!$D$10,CC4&lt;=Dashboard!$D$11),"Test Year",""))</f>
        <v/>
      </c>
      <c r="CD2" s="554" t="str">
        <f>IF(AND(CD4&gt;=Dashboard!$D$7,CD4&lt;=Dashboard!$D$8),"Ref Period",IF(AND(CD4&gt;=Dashboard!$D$10,CD4&lt;=Dashboard!$D$11),"Test Year",""))</f>
        <v/>
      </c>
    </row>
    <row r="3" spans="1:82" ht="13.5">
      <c r="A3" s="105"/>
      <c r="C3" s="327"/>
      <c r="D3" s="328"/>
      <c r="E3" s="328"/>
      <c r="F3" s="328"/>
      <c r="G3" s="329" t="s">
        <v>647</v>
      </c>
      <c r="H3" s="325" t="s">
        <v>648</v>
      </c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 t="s">
        <v>648</v>
      </c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 t="s">
        <v>648</v>
      </c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  <c r="BL3" s="326"/>
      <c r="BM3" s="326"/>
      <c r="BN3" s="326"/>
      <c r="BO3" s="326"/>
      <c r="BP3" s="326"/>
      <c r="BQ3" s="326"/>
      <c r="BR3" s="326" t="s">
        <v>648</v>
      </c>
      <c r="BS3" s="326"/>
      <c r="BT3" s="326"/>
      <c r="BU3" s="326"/>
      <c r="BV3" s="326"/>
      <c r="BW3" s="326"/>
      <c r="BX3" s="326"/>
      <c r="BY3" s="326"/>
      <c r="BZ3" s="326"/>
      <c r="CA3" s="326"/>
      <c r="CB3" s="326"/>
      <c r="CC3" s="326"/>
      <c r="CD3" s="330"/>
    </row>
    <row r="4" spans="1:82">
      <c r="C4" s="555">
        <f>'Monthly Forecast'!K8</f>
        <v>45351</v>
      </c>
      <c r="D4" s="555">
        <f>'Monthly Forecast'!L8</f>
        <v>45382</v>
      </c>
      <c r="E4" s="555">
        <f>'Monthly Forecast'!M8</f>
        <v>45412</v>
      </c>
      <c r="F4" s="555">
        <f>'Monthly Forecast'!N8</f>
        <v>45443</v>
      </c>
      <c r="G4" s="555">
        <f>'Monthly Forecast'!O8</f>
        <v>45473</v>
      </c>
      <c r="H4" s="555">
        <f>'Monthly Forecast'!P8</f>
        <v>45504</v>
      </c>
      <c r="I4" s="555">
        <f>'Monthly Forecast'!Q8</f>
        <v>45535</v>
      </c>
      <c r="J4" s="555">
        <f>'Monthly Forecast'!R8</f>
        <v>45565</v>
      </c>
      <c r="K4" s="555">
        <f>'Monthly Forecast'!S8</f>
        <v>45596</v>
      </c>
      <c r="L4" s="555">
        <f>'Monthly Forecast'!T8</f>
        <v>45626</v>
      </c>
      <c r="M4" s="555">
        <f>'Monthly Forecast'!U8</f>
        <v>45657</v>
      </c>
      <c r="N4" s="555">
        <f>'Monthly Forecast'!V8</f>
        <v>45688</v>
      </c>
      <c r="O4" s="555">
        <f>'Monthly Forecast'!W8</f>
        <v>45716</v>
      </c>
      <c r="P4" s="555">
        <f>'Monthly Forecast'!X8</f>
        <v>45747</v>
      </c>
      <c r="Q4" s="555">
        <f>'Monthly Forecast'!Y8</f>
        <v>45777</v>
      </c>
      <c r="R4" s="555">
        <f>'Monthly Forecast'!Z8</f>
        <v>45808</v>
      </c>
      <c r="S4" s="555">
        <f>'Monthly Forecast'!AA8</f>
        <v>45838</v>
      </c>
      <c r="T4" s="555">
        <f>'Monthly Forecast'!AB8</f>
        <v>45869</v>
      </c>
      <c r="U4" s="555">
        <f>'Monthly Forecast'!AC8</f>
        <v>45900</v>
      </c>
      <c r="V4" s="555">
        <f>'Monthly Forecast'!AD8</f>
        <v>45930</v>
      </c>
      <c r="W4" s="555">
        <f>'Monthly Forecast'!AE8</f>
        <v>45961</v>
      </c>
      <c r="X4" s="555">
        <f>'Monthly Forecast'!AF8</f>
        <v>45991</v>
      </c>
      <c r="Y4" s="555">
        <f>'Monthly Forecast'!AG8</f>
        <v>46022</v>
      </c>
      <c r="Z4" s="555">
        <f>'Monthly Forecast'!AH8</f>
        <v>46053</v>
      </c>
      <c r="AA4" s="555">
        <f>'Monthly Forecast'!AI8</f>
        <v>46081</v>
      </c>
      <c r="AB4" s="555">
        <f>'Monthly Forecast'!AJ8</f>
        <v>46112</v>
      </c>
      <c r="AC4" s="555">
        <f>'Monthly Forecast'!AK8</f>
        <v>46142</v>
      </c>
      <c r="AD4" s="555">
        <f>'Monthly Forecast'!AL8</f>
        <v>46173</v>
      </c>
      <c r="AE4" s="555">
        <f>'Monthly Forecast'!AM8</f>
        <v>46203</v>
      </c>
      <c r="AF4" s="555">
        <f>'Monthly Forecast'!AN8</f>
        <v>46234</v>
      </c>
      <c r="AG4" s="555">
        <f>'Monthly Forecast'!AO8</f>
        <v>46265</v>
      </c>
      <c r="AH4" s="555">
        <f>'Monthly Forecast'!AP8</f>
        <v>46295</v>
      </c>
      <c r="AI4" s="555">
        <f>'Monthly Forecast'!AQ8</f>
        <v>46326</v>
      </c>
      <c r="AJ4" s="555">
        <f>'Monthly Forecast'!AR8</f>
        <v>46356</v>
      </c>
      <c r="AK4" s="555">
        <f>'Monthly Forecast'!AS8</f>
        <v>46387</v>
      </c>
      <c r="AL4" s="555">
        <f>'Monthly Forecast'!AT8</f>
        <v>46418</v>
      </c>
      <c r="AM4" s="555">
        <f>'Monthly Forecast'!AU8</f>
        <v>46446</v>
      </c>
      <c r="AN4" s="555">
        <f>'Monthly Forecast'!AV8</f>
        <v>46477</v>
      </c>
      <c r="AO4" s="555">
        <f>'Monthly Forecast'!AW8</f>
        <v>46507</v>
      </c>
      <c r="AP4" s="555">
        <f>'Monthly Forecast'!AX8</f>
        <v>46538</v>
      </c>
      <c r="AQ4" s="555">
        <f>'Monthly Forecast'!AY8</f>
        <v>46568</v>
      </c>
      <c r="AR4" s="555">
        <f>'Monthly Forecast'!AZ8</f>
        <v>46599</v>
      </c>
      <c r="AS4" s="555">
        <f>'Monthly Forecast'!BA8</f>
        <v>46630</v>
      </c>
      <c r="AT4" s="555">
        <f>'Monthly Forecast'!BB8</f>
        <v>46660</v>
      </c>
      <c r="AU4" s="555">
        <f>'Monthly Forecast'!BC8</f>
        <v>46691</v>
      </c>
      <c r="AV4" s="555">
        <f>'Monthly Forecast'!BD8</f>
        <v>46721</v>
      </c>
      <c r="AW4" s="555">
        <f>'Monthly Forecast'!BE8</f>
        <v>46752</v>
      </c>
      <c r="AX4" s="555">
        <f>'Monthly Forecast'!BF8</f>
        <v>46783</v>
      </c>
      <c r="AY4" s="555">
        <f>'Monthly Forecast'!BG8</f>
        <v>46812</v>
      </c>
      <c r="AZ4" s="555">
        <f>'Monthly Forecast'!BH8</f>
        <v>46843</v>
      </c>
      <c r="BA4" s="555">
        <f>'Monthly Forecast'!BI8</f>
        <v>46873</v>
      </c>
      <c r="BB4" s="555">
        <f>'Monthly Forecast'!BJ8</f>
        <v>46904</v>
      </c>
      <c r="BC4" s="555">
        <f>'Monthly Forecast'!BK8</f>
        <v>46934</v>
      </c>
      <c r="BD4" s="555">
        <f>'Monthly Forecast'!BL8</f>
        <v>46965</v>
      </c>
      <c r="BE4" s="555">
        <f>'Monthly Forecast'!BM8</f>
        <v>46996</v>
      </c>
      <c r="BF4" s="555">
        <f>'Monthly Forecast'!BN8</f>
        <v>47026</v>
      </c>
      <c r="BG4" s="555">
        <f>'Monthly Forecast'!BO8</f>
        <v>47057</v>
      </c>
      <c r="BH4" s="555">
        <f>'Monthly Forecast'!BP8</f>
        <v>47087</v>
      </c>
      <c r="BI4" s="555">
        <f>'Monthly Forecast'!BQ8</f>
        <v>47118</v>
      </c>
      <c r="BJ4" s="555">
        <f>'Monthly Forecast'!BR8</f>
        <v>47149</v>
      </c>
      <c r="BK4" s="555">
        <f>'Monthly Forecast'!BS8</f>
        <v>47177</v>
      </c>
      <c r="BL4" s="555">
        <f>'Monthly Forecast'!BT8</f>
        <v>47208</v>
      </c>
      <c r="BM4" s="555">
        <f>'Monthly Forecast'!BU8</f>
        <v>47238</v>
      </c>
      <c r="BN4" s="555">
        <f>'Monthly Forecast'!BV8</f>
        <v>47269</v>
      </c>
      <c r="BO4" s="555">
        <f>'Monthly Forecast'!BW8</f>
        <v>47299</v>
      </c>
      <c r="BP4" s="555">
        <f>'Monthly Forecast'!BX8</f>
        <v>47330</v>
      </c>
      <c r="BQ4" s="555">
        <f>'Monthly Forecast'!BY8</f>
        <v>47361</v>
      </c>
      <c r="BR4" s="555">
        <f>'Monthly Forecast'!BZ8</f>
        <v>47391</v>
      </c>
      <c r="BS4" s="555">
        <f>'Monthly Forecast'!CA8</f>
        <v>47422</v>
      </c>
      <c r="BT4" s="555">
        <f>'Monthly Forecast'!CB8</f>
        <v>47452</v>
      </c>
      <c r="BU4" s="555">
        <f>'Monthly Forecast'!CC8</f>
        <v>47483</v>
      </c>
      <c r="BV4" s="555">
        <f>'Monthly Forecast'!CD8</f>
        <v>47514</v>
      </c>
      <c r="BW4" s="555">
        <f>'Monthly Forecast'!CE8</f>
        <v>47542</v>
      </c>
      <c r="BX4" s="555">
        <f>'Monthly Forecast'!CF8</f>
        <v>47573</v>
      </c>
      <c r="BY4" s="555">
        <f>'Monthly Forecast'!CG8</f>
        <v>47603</v>
      </c>
      <c r="BZ4" s="555">
        <f>'Monthly Forecast'!CH8</f>
        <v>47634</v>
      </c>
      <c r="CA4" s="555">
        <f>'Monthly Forecast'!CI8</f>
        <v>47664</v>
      </c>
      <c r="CB4" s="555">
        <f t="shared" ref="CB4" si="0">EOMONTH(CA4,1)</f>
        <v>47695</v>
      </c>
      <c r="CC4" s="555">
        <f t="shared" ref="CC4" si="1">EOMONTH(CB4,1)</f>
        <v>47726</v>
      </c>
      <c r="CD4" s="555">
        <f t="shared" ref="CD4" si="2">EOMONTH(CC4,1)</f>
        <v>47756</v>
      </c>
    </row>
    <row r="5" spans="1:82">
      <c r="B5" s="106" t="s">
        <v>363</v>
      </c>
      <c r="C5" s="107">
        <f>+'Monthly Forecast'!K110</f>
        <v>2810503.917088714</v>
      </c>
      <c r="D5" s="107">
        <f>+'Monthly Forecast'!L110</f>
        <v>1969277.7027976715</v>
      </c>
      <c r="E5" s="107">
        <f>+'Monthly Forecast'!M110</f>
        <v>1102257.0699953623</v>
      </c>
      <c r="F5" s="107">
        <f>+'Monthly Forecast'!N110</f>
        <v>581144.58487926971</v>
      </c>
      <c r="G5" s="107">
        <f>+'Monthly Forecast'!O110</f>
        <v>350993.69959693804</v>
      </c>
      <c r="H5" s="107">
        <f>+'Monthly Forecast'!P110</f>
        <v>344707.32672182936</v>
      </c>
      <c r="I5" s="107">
        <f>+'Monthly Forecast'!Q110</f>
        <v>349830.09796213801</v>
      </c>
      <c r="J5" s="107">
        <f>+'Monthly Forecast'!R110</f>
        <v>395861.23996232741</v>
      </c>
      <c r="K5" s="107">
        <f>+'Monthly Forecast'!S110</f>
        <v>997680.31304939266</v>
      </c>
      <c r="L5" s="107">
        <f>+'Monthly Forecast'!T110</f>
        <v>2005154.8127468158</v>
      </c>
      <c r="M5" s="107">
        <f>+'Monthly Forecast'!U110</f>
        <v>2975257.8037300278</v>
      </c>
      <c r="N5" s="107">
        <f>+'Monthly Forecast'!V110</f>
        <v>3179413.1074652197</v>
      </c>
      <c r="O5" s="107">
        <f>+'Monthly Forecast'!W110</f>
        <v>2812847.5506681739</v>
      </c>
      <c r="P5" s="107">
        <f>+'Monthly Forecast'!X110</f>
        <v>1970971.5579244778</v>
      </c>
      <c r="Q5" s="107">
        <f>+'Monthly Forecast'!Y110</f>
        <v>1103258.8803040434</v>
      </c>
      <c r="R5" s="107">
        <f>+'Monthly Forecast'!Z110</f>
        <v>581721.07587686321</v>
      </c>
      <c r="S5" s="107">
        <f>+'Monthly Forecast'!AA110</f>
        <v>351414.39976480819</v>
      </c>
      <c r="T5" s="107">
        <f>+'Monthly Forecast'!AB110</f>
        <v>345128.14955919032</v>
      </c>
      <c r="U5" s="107">
        <f>+'Monthly Forecast'!AC110</f>
        <v>350250.92336741748</v>
      </c>
      <c r="V5" s="107">
        <f>+'Monthly Forecast'!AD110</f>
        <v>396324.28859662637</v>
      </c>
      <c r="W5" s="107">
        <f>+'Monthly Forecast'!AE110</f>
        <v>998642.14715171512</v>
      </c>
      <c r="X5" s="107">
        <f>+'Monthly Forecast'!AF110</f>
        <v>2006924.7127543548</v>
      </c>
      <c r="Y5" s="107">
        <f>+'Monthly Forecast'!AG110</f>
        <v>2977785.936833133</v>
      </c>
      <c r="Z5" s="107">
        <f>+'Monthly Forecast'!AH110</f>
        <v>3182047.3929608548</v>
      </c>
      <c r="AA5" s="107">
        <f>+'Monthly Forecast'!AI110</f>
        <v>2815191.2491056887</v>
      </c>
      <c r="AB5" s="107">
        <f>+'Monthly Forecast'!AJ110</f>
        <v>1972665.4923375177</v>
      </c>
      <c r="AC5" s="107">
        <f>+'Monthly Forecast'!AK110</f>
        <v>1104260.7852763282</v>
      </c>
      <c r="AD5" s="107">
        <f>+'Monthly Forecast'!AL110</f>
        <v>582297.67020757997</v>
      </c>
      <c r="AE5" s="107">
        <f>+'Monthly Forecast'!AM110</f>
        <v>351835.20543515874</v>
      </c>
      <c r="AF5" s="107">
        <f>+'Monthly Forecast'!AN110</f>
        <v>345549.022250426</v>
      </c>
      <c r="AG5" s="107">
        <f>+'Monthly Forecast'!AO110</f>
        <v>350671.7984623423</v>
      </c>
      <c r="AH5" s="107">
        <f>+'Monthly Forecast'!AP110</f>
        <v>396787.39577726775</v>
      </c>
      <c r="AI5" s="107">
        <f>+'Monthly Forecast'!AQ110</f>
        <v>999604.15017407725</v>
      </c>
      <c r="AJ5" s="107">
        <f>+'Monthly Forecast'!AR110</f>
        <v>2008694.9646557206</v>
      </c>
      <c r="AK5" s="107">
        <f>+'Monthly Forecast'!AS110</f>
        <v>2980314.5956755122</v>
      </c>
      <c r="AL5" s="107">
        <f>+'Monthly Forecast'!AT110</f>
        <v>3184682.2328836485</v>
      </c>
      <c r="AM5" s="107">
        <f>+'Monthly Forecast'!AU110</f>
        <v>2817535.4358327943</v>
      </c>
      <c r="AN5" s="107">
        <f>+'Monthly Forecast'!AV110</f>
        <v>1974359.7680468084</v>
      </c>
      <c r="AO5" s="107">
        <f>+'Monthly Forecast'!AW110</f>
        <v>1105262.8750464579</v>
      </c>
      <c r="AP5" s="107">
        <f>+'Monthly Forecast'!AX110</f>
        <v>582874.35163267213</v>
      </c>
      <c r="AQ5" s="107">
        <f>+'Monthly Forecast'!AY110</f>
        <v>352256.06205728714</v>
      </c>
      <c r="AR5" s="107">
        <f>+'Monthly Forecast'!AZ110</f>
        <v>345969.79451415082</v>
      </c>
      <c r="AS5" s="107">
        <f>+'Monthly Forecast'!BA110</f>
        <v>351092.57341758907</v>
      </c>
      <c r="AT5" s="107">
        <f>+'Monthly Forecast'!BB110</f>
        <v>397250.40536104701</v>
      </c>
      <c r="AU5" s="107">
        <f>+'Monthly Forecast'!BC110</f>
        <v>1000566.0766366249</v>
      </c>
      <c r="AV5" s="107">
        <f>+'Monthly Forecast'!BD110</f>
        <v>2010465.1720626727</v>
      </c>
      <c r="AW5" s="107">
        <f>+'Monthly Forecast'!BE110</f>
        <v>2982843.239777457</v>
      </c>
      <c r="AX5" s="107">
        <f>+'Monthly Forecast'!BF110</f>
        <v>3187317.05960477</v>
      </c>
      <c r="AY5" s="107">
        <f>+'Monthly Forecast'!BG110</f>
        <v>2819879.5974018341</v>
      </c>
      <c r="AZ5" s="107">
        <f>+'Monthly Forecast'!BH110</f>
        <v>1976053.9912941086</v>
      </c>
      <c r="BA5" s="107">
        <f>+'Monthly Forecast'!BI110</f>
        <v>1106264.8831443929</v>
      </c>
      <c r="BB5" s="107">
        <f>+'Monthly Forecast'!BJ110</f>
        <v>583450.93536212679</v>
      </c>
      <c r="BC5" s="107">
        <f>+'Monthly Forecast'!BK110</f>
        <v>352676.81632768939</v>
      </c>
      <c r="BD5" s="107">
        <f>+'Monthly Forecast'!BL110</f>
        <v>346390.46393445728</v>
      </c>
      <c r="BE5" s="107">
        <f>+'Monthly Forecast'!BM110</f>
        <v>351513.24582208431</v>
      </c>
      <c r="BF5" s="107">
        <f>+'Monthly Forecast'!BN110</f>
        <v>397713.30006702204</v>
      </c>
      <c r="BG5" s="107">
        <f>+'Monthly Forecast'!BO110</f>
        <v>1001527.731289163</v>
      </c>
      <c r="BH5" s="107">
        <f>+'Monthly Forecast'!BP110</f>
        <v>2012234.8405672894</v>
      </c>
      <c r="BI5" s="107">
        <f>+'Monthly Forecast'!BQ110</f>
        <v>2985371.0869621215</v>
      </c>
      <c r="BJ5" s="107">
        <f>+'Monthly Forecast'!BR110</f>
        <v>3189951.0403909981</v>
      </c>
      <c r="BK5" s="107">
        <f>+'Monthly Forecast'!BS110</f>
        <v>2822223.0107418676</v>
      </c>
      <c r="BL5" s="107">
        <f>+'Monthly Forecast'!BT110</f>
        <v>1977747.6821703224</v>
      </c>
      <c r="BM5" s="107">
        <f>+'Monthly Forecast'!BU110</f>
        <v>1107266.5887024254</v>
      </c>
      <c r="BN5" s="107">
        <f>+'Monthly Forecast'!BV110</f>
        <v>584027.36126802058</v>
      </c>
      <c r="BO5" s="107">
        <f>+'Monthly Forecast'!BW110</f>
        <v>353097.46579814126</v>
      </c>
      <c r="BP5" s="107">
        <f>+'Monthly Forecast'!BX110</f>
        <v>346811.38692511257</v>
      </c>
      <c r="BQ5" s="107">
        <f>+'Monthly Forecast'!BY110</f>
        <v>351934.17102418904</v>
      </c>
      <c r="BR5" s="107">
        <f>+'Monthly Forecast'!BZ110</f>
        <v>398176.45260123629</v>
      </c>
      <c r="BS5" s="107">
        <f>+'Monthly Forecast'!CA110</f>
        <v>1002489.7269990024</v>
      </c>
      <c r="BT5" s="107">
        <f>+'Monthly Forecast'!CB110</f>
        <v>2014004.9884255396</v>
      </c>
      <c r="BU5" s="107">
        <f>+'Monthly Forecast'!CC110</f>
        <v>2987899.5428864202</v>
      </c>
      <c r="BV5" s="107">
        <f>+'Monthly Forecast'!CD110</f>
        <v>3192585.6532367487</v>
      </c>
      <c r="BW5" s="107">
        <f>+'Monthly Forecast'!CE110</f>
        <v>2824567.00793136</v>
      </c>
      <c r="BX5" s="107">
        <f>+'Monthly Forecast'!CF110</f>
        <v>1979441.8502560889</v>
      </c>
      <c r="BY5" s="107">
        <f>+'Monthly Forecast'!CG110</f>
        <v>1108268.658255225</v>
      </c>
      <c r="BZ5" s="107">
        <f>+'Monthly Forecast'!CH110</f>
        <v>584604.07667759212</v>
      </c>
      <c r="CA5" s="107">
        <f>+'Monthly Forecast'!CI110</f>
        <v>353518.37400484731</v>
      </c>
      <c r="CB5" s="107">
        <f>BP5</f>
        <v>346811.38692511257</v>
      </c>
      <c r="CC5" s="107">
        <f t="shared" ref="CC5:CD6" si="3">BQ5</f>
        <v>351934.17102418904</v>
      </c>
      <c r="CD5" s="107">
        <f t="shared" si="3"/>
        <v>398176.45260123629</v>
      </c>
    </row>
    <row r="6" spans="1:82">
      <c r="B6" s="106" t="s">
        <v>198</v>
      </c>
      <c r="C6" s="107">
        <f>'Monthly Forecast'!D34+'Monthly Forecast'!D59</f>
        <v>24794.1787</v>
      </c>
      <c r="D6" s="107">
        <f>+'Monthly Forecast'!L115</f>
        <v>24940.284</v>
      </c>
      <c r="E6" s="107">
        <f>+'Monthly Forecast'!M115</f>
        <v>22847.010200000001</v>
      </c>
      <c r="F6" s="107">
        <f>+'Monthly Forecast'!N115</f>
        <v>19024.201700000001</v>
      </c>
      <c r="G6" s="107">
        <f>+'Monthly Forecast'!O115</f>
        <v>18129.4974</v>
      </c>
      <c r="H6" s="107">
        <f>+'Monthly Forecast'!P115</f>
        <v>8935.5587999999989</v>
      </c>
      <c r="I6" s="107">
        <f>+'Monthly Forecast'!Q115</f>
        <v>10125.7076</v>
      </c>
      <c r="J6" s="107">
        <f>+'Monthly Forecast'!R115</f>
        <v>12920.172399999999</v>
      </c>
      <c r="K6" s="107">
        <f>+'Monthly Forecast'!S115</f>
        <v>11624.133899999999</v>
      </c>
      <c r="L6" s="107">
        <f>+'Monthly Forecast'!T115</f>
        <v>16054.912100000001</v>
      </c>
      <c r="M6" s="107">
        <f>+'Monthly Forecast'!U115</f>
        <v>23383.2333</v>
      </c>
      <c r="N6" s="107">
        <f>+'Monthly Forecast'!V115</f>
        <v>23449.4509</v>
      </c>
      <c r="O6" s="107">
        <f>+'Monthly Forecast'!W115</f>
        <v>21276.8724</v>
      </c>
      <c r="P6" s="107">
        <f>+'Monthly Forecast'!X115</f>
        <v>24940.284</v>
      </c>
      <c r="Q6" s="107">
        <f>+'Monthly Forecast'!Y115</f>
        <v>22847.010200000001</v>
      </c>
      <c r="R6" s="107">
        <f>+'Monthly Forecast'!Z115</f>
        <v>19024.201700000001</v>
      </c>
      <c r="S6" s="107">
        <f>+'Monthly Forecast'!AA115</f>
        <v>18129.4974</v>
      </c>
      <c r="T6" s="107">
        <f>+'Monthly Forecast'!AB115</f>
        <v>8935.5587999999989</v>
      </c>
      <c r="U6" s="107">
        <f>+'Monthly Forecast'!AC115</f>
        <v>10125.7076</v>
      </c>
      <c r="V6" s="107">
        <f>+'Monthly Forecast'!AD115</f>
        <v>12920.172399999999</v>
      </c>
      <c r="W6" s="107">
        <f>+'Monthly Forecast'!AE115</f>
        <v>11624.133899999999</v>
      </c>
      <c r="X6" s="107">
        <f>+'Monthly Forecast'!AF115</f>
        <v>16054.912100000001</v>
      </c>
      <c r="Y6" s="107">
        <f>+'Monthly Forecast'!AG115</f>
        <v>23383.2333</v>
      </c>
      <c r="Z6" s="107">
        <f>+'Monthly Forecast'!AH115</f>
        <v>23449.4509</v>
      </c>
      <c r="AA6" s="107">
        <f>+'Monthly Forecast'!AI115</f>
        <v>21276.8724</v>
      </c>
      <c r="AB6" s="107">
        <f>+'Monthly Forecast'!AJ115</f>
        <v>24940.284</v>
      </c>
      <c r="AC6" s="107">
        <f>+'Monthly Forecast'!AK115</f>
        <v>22847.010200000001</v>
      </c>
      <c r="AD6" s="107">
        <f>+'Monthly Forecast'!AL115</f>
        <v>19024.201700000001</v>
      </c>
      <c r="AE6" s="107">
        <f>+'Monthly Forecast'!AM115</f>
        <v>18129.4974</v>
      </c>
      <c r="AF6" s="107">
        <f>+'Monthly Forecast'!AN115</f>
        <v>8935.5587999999989</v>
      </c>
      <c r="AG6" s="107">
        <f>+'Monthly Forecast'!AO115</f>
        <v>10125.7076</v>
      </c>
      <c r="AH6" s="107">
        <f>+'Monthly Forecast'!AP115</f>
        <v>12920.172399999999</v>
      </c>
      <c r="AI6" s="107">
        <f>+'Monthly Forecast'!AQ115</f>
        <v>11624.133899999999</v>
      </c>
      <c r="AJ6" s="107">
        <f>+'Monthly Forecast'!AR115</f>
        <v>16054.912100000001</v>
      </c>
      <c r="AK6" s="107">
        <f>+'Monthly Forecast'!AS115</f>
        <v>23383.2333</v>
      </c>
      <c r="AL6" s="107">
        <f>+'Monthly Forecast'!AT115</f>
        <v>23449.4509</v>
      </c>
      <c r="AM6" s="107">
        <f>+'Monthly Forecast'!AU115</f>
        <v>21276.8724</v>
      </c>
      <c r="AN6" s="107">
        <f>+'Monthly Forecast'!AV115</f>
        <v>24940.284</v>
      </c>
      <c r="AO6" s="107">
        <f>+'Monthly Forecast'!AW115</f>
        <v>22847.010200000001</v>
      </c>
      <c r="AP6" s="107">
        <f>+'Monthly Forecast'!AX115</f>
        <v>19024.201700000001</v>
      </c>
      <c r="AQ6" s="107">
        <f>+'Monthly Forecast'!AY115</f>
        <v>18129.4974</v>
      </c>
      <c r="AR6" s="107">
        <f>+'Monthly Forecast'!AZ115</f>
        <v>8935.5587999999989</v>
      </c>
      <c r="AS6" s="107">
        <f>+'Monthly Forecast'!BA115</f>
        <v>10125.7076</v>
      </c>
      <c r="AT6" s="107">
        <f>+'Monthly Forecast'!BB115</f>
        <v>12920.172399999999</v>
      </c>
      <c r="AU6" s="107">
        <f>+'Monthly Forecast'!BC115</f>
        <v>11624.133899999999</v>
      </c>
      <c r="AV6" s="107">
        <f>+'Monthly Forecast'!BD115</f>
        <v>16054.912100000001</v>
      </c>
      <c r="AW6" s="107">
        <f>+'Monthly Forecast'!BE115</f>
        <v>23383.2333</v>
      </c>
      <c r="AX6" s="107">
        <f>+'Monthly Forecast'!BF115</f>
        <v>23449.4509</v>
      </c>
      <c r="AY6" s="107">
        <f>+'Monthly Forecast'!BG115</f>
        <v>21276.8724</v>
      </c>
      <c r="AZ6" s="107">
        <f>+'Monthly Forecast'!BH115</f>
        <v>24940.284</v>
      </c>
      <c r="BA6" s="107">
        <f>+'Monthly Forecast'!BI115</f>
        <v>22847.010200000001</v>
      </c>
      <c r="BB6" s="107">
        <f>+'Monthly Forecast'!BJ115</f>
        <v>19024.201700000001</v>
      </c>
      <c r="BC6" s="107">
        <f>+'Monthly Forecast'!BK115</f>
        <v>18129.4974</v>
      </c>
      <c r="BD6" s="107">
        <f>+'Monthly Forecast'!BL115</f>
        <v>8935.5587999999989</v>
      </c>
      <c r="BE6" s="107">
        <f>+'Monthly Forecast'!BM115</f>
        <v>10125.7076</v>
      </c>
      <c r="BF6" s="107">
        <f>+'Monthly Forecast'!BN115</f>
        <v>12920.172399999999</v>
      </c>
      <c r="BG6" s="107">
        <f>+'Monthly Forecast'!BO115</f>
        <v>11624.133899999999</v>
      </c>
      <c r="BH6" s="107">
        <f>+'Monthly Forecast'!BP115</f>
        <v>16054.912100000001</v>
      </c>
      <c r="BI6" s="107">
        <f>+'Monthly Forecast'!BQ115</f>
        <v>23383.2333</v>
      </c>
      <c r="BJ6" s="107">
        <f>+'Monthly Forecast'!BR115</f>
        <v>23449.4509</v>
      </c>
      <c r="BK6" s="107">
        <f>+'Monthly Forecast'!BS115</f>
        <v>21276.8724</v>
      </c>
      <c r="BL6" s="107">
        <f>+'Monthly Forecast'!BT115</f>
        <v>24940.284</v>
      </c>
      <c r="BM6" s="107">
        <f>+'Monthly Forecast'!BU115</f>
        <v>22847.010200000001</v>
      </c>
      <c r="BN6" s="107">
        <f>+'Monthly Forecast'!BV115</f>
        <v>19024.201700000001</v>
      </c>
      <c r="BO6" s="107">
        <f>+'Monthly Forecast'!BW115</f>
        <v>18129.4974</v>
      </c>
      <c r="BP6" s="107">
        <f>+'Monthly Forecast'!BX115</f>
        <v>8935.5587999999989</v>
      </c>
      <c r="BQ6" s="107">
        <f>+'Monthly Forecast'!BY115</f>
        <v>10125.7076</v>
      </c>
      <c r="BR6" s="107">
        <f>+'Monthly Forecast'!BZ115</f>
        <v>12920.172399999999</v>
      </c>
      <c r="BS6" s="107">
        <f>+'Monthly Forecast'!CA115</f>
        <v>11624.133899999999</v>
      </c>
      <c r="BT6" s="107">
        <f>+'Monthly Forecast'!CB115</f>
        <v>16054.912100000001</v>
      </c>
      <c r="BU6" s="107">
        <f>+'Monthly Forecast'!CC115</f>
        <v>23383.2333</v>
      </c>
      <c r="BV6" s="107">
        <f>+'Monthly Forecast'!CD115</f>
        <v>23449.4509</v>
      </c>
      <c r="BW6" s="107">
        <f>+'Monthly Forecast'!CE115</f>
        <v>21276.8724</v>
      </c>
      <c r="BX6" s="107">
        <f>+'Monthly Forecast'!CF115</f>
        <v>24940.284</v>
      </c>
      <c r="BY6" s="107">
        <f>+'Monthly Forecast'!CG115</f>
        <v>22847.010200000001</v>
      </c>
      <c r="BZ6" s="107">
        <f>+'Monthly Forecast'!CH115</f>
        <v>19024.201700000001</v>
      </c>
      <c r="CA6" s="107">
        <f>+'Monthly Forecast'!CI115</f>
        <v>18129.4974</v>
      </c>
      <c r="CB6" s="107">
        <f>BP6</f>
        <v>8935.5587999999989</v>
      </c>
      <c r="CC6" s="107">
        <f t="shared" si="3"/>
        <v>10125.7076</v>
      </c>
      <c r="CD6" s="107">
        <f t="shared" si="3"/>
        <v>12920.172399999999</v>
      </c>
    </row>
    <row r="7" spans="1:82">
      <c r="B7" s="106" t="s">
        <v>364</v>
      </c>
      <c r="C7" s="107">
        <f t="shared" ref="C7:G7" si="4">SUM(C5:C6)</f>
        <v>2835298.095788714</v>
      </c>
      <c r="D7" s="107">
        <f t="shared" si="4"/>
        <v>1994217.9867976715</v>
      </c>
      <c r="E7" s="107">
        <f t="shared" si="4"/>
        <v>1125104.0801953622</v>
      </c>
      <c r="F7" s="107">
        <f t="shared" si="4"/>
        <v>600168.78657926968</v>
      </c>
      <c r="G7" s="107">
        <f t="shared" si="4"/>
        <v>369123.19699693803</v>
      </c>
      <c r="H7" s="107">
        <f t="shared" ref="H7:AM7" si="5">SUM(H5:H6)</f>
        <v>353642.88552182936</v>
      </c>
      <c r="I7" s="107">
        <f t="shared" si="5"/>
        <v>359955.80556213803</v>
      </c>
      <c r="J7" s="107">
        <f t="shared" si="5"/>
        <v>408781.41236232739</v>
      </c>
      <c r="K7" s="107">
        <f t="shared" si="5"/>
        <v>1009304.4469493927</v>
      </c>
      <c r="L7" s="107">
        <f t="shared" si="5"/>
        <v>2021209.7248468159</v>
      </c>
      <c r="M7" s="107">
        <f t="shared" si="5"/>
        <v>2998641.0370300277</v>
      </c>
      <c r="N7" s="107">
        <f t="shared" si="5"/>
        <v>3202862.5583652197</v>
      </c>
      <c r="O7" s="107">
        <f t="shared" si="5"/>
        <v>2834124.4230681742</v>
      </c>
      <c r="P7" s="107">
        <f t="shared" si="5"/>
        <v>1995911.8419244778</v>
      </c>
      <c r="Q7" s="107">
        <f t="shared" si="5"/>
        <v>1126105.8905040433</v>
      </c>
      <c r="R7" s="107">
        <f t="shared" si="5"/>
        <v>600745.27757686318</v>
      </c>
      <c r="S7" s="107">
        <f t="shared" si="5"/>
        <v>369543.89716480818</v>
      </c>
      <c r="T7" s="107">
        <f t="shared" si="5"/>
        <v>354063.70835919032</v>
      </c>
      <c r="U7" s="107">
        <f t="shared" si="5"/>
        <v>360376.6309674175</v>
      </c>
      <c r="V7" s="107">
        <f t="shared" si="5"/>
        <v>409244.46099662635</v>
      </c>
      <c r="W7" s="107">
        <f t="shared" si="5"/>
        <v>1010266.2810517151</v>
      </c>
      <c r="X7" s="107">
        <f t="shared" si="5"/>
        <v>2022979.6248543549</v>
      </c>
      <c r="Y7" s="107">
        <f t="shared" si="5"/>
        <v>3001169.170133133</v>
      </c>
      <c r="Z7" s="107">
        <f t="shared" si="5"/>
        <v>3205496.8438608549</v>
      </c>
      <c r="AA7" s="29">
        <f t="shared" si="5"/>
        <v>2836468.1215056889</v>
      </c>
      <c r="AB7" s="29">
        <f t="shared" si="5"/>
        <v>1997605.7763375177</v>
      </c>
      <c r="AC7" s="29">
        <f t="shared" si="5"/>
        <v>1127107.7954763281</v>
      </c>
      <c r="AD7" s="29">
        <f t="shared" si="5"/>
        <v>601321.87190757995</v>
      </c>
      <c r="AE7" s="29">
        <f t="shared" si="5"/>
        <v>369964.70283515874</v>
      </c>
      <c r="AF7" s="29">
        <f t="shared" si="5"/>
        <v>354484.581050426</v>
      </c>
      <c r="AG7" s="29">
        <f t="shared" si="5"/>
        <v>360797.50606234232</v>
      </c>
      <c r="AH7" s="29">
        <f t="shared" si="5"/>
        <v>409707.56817726773</v>
      </c>
      <c r="AI7" s="29">
        <f t="shared" si="5"/>
        <v>1011228.2840740773</v>
      </c>
      <c r="AJ7" s="29">
        <f t="shared" si="5"/>
        <v>2024749.8767557207</v>
      </c>
      <c r="AK7" s="29">
        <f t="shared" si="5"/>
        <v>3003697.8289755122</v>
      </c>
      <c r="AL7" s="29">
        <f t="shared" si="5"/>
        <v>3208131.6837836485</v>
      </c>
      <c r="AM7" s="29">
        <f t="shared" si="5"/>
        <v>2838812.3082327945</v>
      </c>
      <c r="AN7" s="29">
        <f t="shared" ref="AN7:BS7" si="6">SUM(AN5:AN6)</f>
        <v>1999300.0520468084</v>
      </c>
      <c r="AO7" s="29">
        <f t="shared" si="6"/>
        <v>1128109.8852464578</v>
      </c>
      <c r="AP7" s="29">
        <f t="shared" si="6"/>
        <v>601898.55333267211</v>
      </c>
      <c r="AQ7" s="29">
        <f t="shared" si="6"/>
        <v>370385.55945728713</v>
      </c>
      <c r="AR7" s="29">
        <f t="shared" si="6"/>
        <v>354905.35331415082</v>
      </c>
      <c r="AS7" s="29">
        <f t="shared" si="6"/>
        <v>361218.28101758909</v>
      </c>
      <c r="AT7" s="29">
        <f t="shared" si="6"/>
        <v>410170.577761047</v>
      </c>
      <c r="AU7" s="29">
        <f t="shared" si="6"/>
        <v>1012190.2105366249</v>
      </c>
      <c r="AV7" s="29">
        <f t="shared" si="6"/>
        <v>2026520.0841626727</v>
      </c>
      <c r="AW7" s="29">
        <f t="shared" si="6"/>
        <v>3006226.4730774569</v>
      </c>
      <c r="AX7" s="29">
        <f t="shared" si="6"/>
        <v>3210766.5105047701</v>
      </c>
      <c r="AY7" s="29">
        <f t="shared" si="6"/>
        <v>2841156.4698018343</v>
      </c>
      <c r="AZ7" s="29">
        <f t="shared" si="6"/>
        <v>2000994.2752941085</v>
      </c>
      <c r="BA7" s="29">
        <f t="shared" si="6"/>
        <v>1129111.8933443928</v>
      </c>
      <c r="BB7" s="29">
        <f t="shared" si="6"/>
        <v>602475.13706212677</v>
      </c>
      <c r="BC7" s="29">
        <f t="shared" si="6"/>
        <v>370806.31372768938</v>
      </c>
      <c r="BD7" s="29">
        <f t="shared" si="6"/>
        <v>355326.02273445728</v>
      </c>
      <c r="BE7" s="29">
        <f t="shared" si="6"/>
        <v>361638.95342208433</v>
      </c>
      <c r="BF7" s="29">
        <f t="shared" si="6"/>
        <v>410633.47246702202</v>
      </c>
      <c r="BG7" s="29">
        <f t="shared" si="6"/>
        <v>1013151.865189163</v>
      </c>
      <c r="BH7" s="29">
        <f t="shared" si="6"/>
        <v>2028289.7526672895</v>
      </c>
      <c r="BI7" s="29">
        <f t="shared" si="6"/>
        <v>3008754.3202621215</v>
      </c>
      <c r="BJ7" s="29">
        <f t="shared" si="6"/>
        <v>3213400.4912909982</v>
      </c>
      <c r="BK7" s="29">
        <f t="shared" si="6"/>
        <v>2843499.8831418678</v>
      </c>
      <c r="BL7" s="29">
        <f t="shared" si="6"/>
        <v>2002687.9661703224</v>
      </c>
      <c r="BM7" s="29">
        <f t="shared" si="6"/>
        <v>1130113.5989024253</v>
      </c>
      <c r="BN7" s="29">
        <f t="shared" si="6"/>
        <v>603051.56296802056</v>
      </c>
      <c r="BO7" s="29">
        <f t="shared" si="6"/>
        <v>371226.96319814125</v>
      </c>
      <c r="BP7" s="29">
        <f t="shared" si="6"/>
        <v>355746.94572511257</v>
      </c>
      <c r="BQ7" s="29">
        <f t="shared" si="6"/>
        <v>362059.87862418906</v>
      </c>
      <c r="BR7" s="29">
        <f t="shared" si="6"/>
        <v>411096.62500123627</v>
      </c>
      <c r="BS7" s="29">
        <f t="shared" si="6"/>
        <v>1014113.8608990024</v>
      </c>
      <c r="BT7" s="29">
        <f t="shared" ref="BT7:CD7" si="7">SUM(BT5:BT6)</f>
        <v>2030059.9005255396</v>
      </c>
      <c r="BU7" s="29">
        <f t="shared" si="7"/>
        <v>3011282.7761864201</v>
      </c>
      <c r="BV7" s="29">
        <f t="shared" si="7"/>
        <v>3216035.1041367487</v>
      </c>
      <c r="BW7" s="29">
        <f t="shared" si="7"/>
        <v>2845843.8803313603</v>
      </c>
      <c r="BX7" s="29">
        <f t="shared" si="7"/>
        <v>2004382.1342560889</v>
      </c>
      <c r="BY7" s="29">
        <f t="shared" si="7"/>
        <v>1131115.6684552249</v>
      </c>
      <c r="BZ7" s="29">
        <f t="shared" si="7"/>
        <v>603628.2783775921</v>
      </c>
      <c r="CA7" s="29">
        <f t="shared" si="7"/>
        <v>371647.8714048473</v>
      </c>
      <c r="CB7" s="29">
        <f t="shared" si="7"/>
        <v>355746.94572511257</v>
      </c>
      <c r="CC7" s="29">
        <f t="shared" si="7"/>
        <v>362059.87862418906</v>
      </c>
      <c r="CD7" s="29">
        <f t="shared" si="7"/>
        <v>411096.62500123627</v>
      </c>
    </row>
    <row r="8" spans="1:82">
      <c r="A8" s="556">
        <v>2.1399999999999999E-2</v>
      </c>
      <c r="B8" s="106" t="s">
        <v>365</v>
      </c>
      <c r="C8" s="107">
        <f t="shared" ref="C8:G8" si="8">ROUND(((C5+C6)*$A$8),0)</f>
        <v>60675</v>
      </c>
      <c r="D8" s="107">
        <f t="shared" si="8"/>
        <v>42676</v>
      </c>
      <c r="E8" s="107">
        <f t="shared" si="8"/>
        <v>24077</v>
      </c>
      <c r="F8" s="107">
        <f t="shared" si="8"/>
        <v>12844</v>
      </c>
      <c r="G8" s="107">
        <f t="shared" si="8"/>
        <v>7899</v>
      </c>
      <c r="H8" s="107">
        <f t="shared" ref="H8:AM8" si="9">ROUND(((H5+H6)*$A$8),0)</f>
        <v>7568</v>
      </c>
      <c r="I8" s="107">
        <f t="shared" si="9"/>
        <v>7703</v>
      </c>
      <c r="J8" s="107">
        <f t="shared" si="9"/>
        <v>8748</v>
      </c>
      <c r="K8" s="107">
        <f t="shared" si="9"/>
        <v>21599</v>
      </c>
      <c r="L8" s="107">
        <f t="shared" si="9"/>
        <v>43254</v>
      </c>
      <c r="M8" s="107">
        <f t="shared" si="9"/>
        <v>64171</v>
      </c>
      <c r="N8" s="107">
        <f t="shared" si="9"/>
        <v>68541</v>
      </c>
      <c r="O8" s="107">
        <f t="shared" si="9"/>
        <v>60650</v>
      </c>
      <c r="P8" s="107">
        <f t="shared" si="9"/>
        <v>42713</v>
      </c>
      <c r="Q8" s="107">
        <f t="shared" si="9"/>
        <v>24099</v>
      </c>
      <c r="R8" s="107">
        <f t="shared" si="9"/>
        <v>12856</v>
      </c>
      <c r="S8" s="107">
        <f t="shared" si="9"/>
        <v>7908</v>
      </c>
      <c r="T8" s="107">
        <f t="shared" si="9"/>
        <v>7577</v>
      </c>
      <c r="U8" s="107">
        <f t="shared" si="9"/>
        <v>7712</v>
      </c>
      <c r="V8" s="107">
        <f t="shared" si="9"/>
        <v>8758</v>
      </c>
      <c r="W8" s="107">
        <f t="shared" si="9"/>
        <v>21620</v>
      </c>
      <c r="X8" s="107">
        <f t="shared" si="9"/>
        <v>43292</v>
      </c>
      <c r="Y8" s="107">
        <f t="shared" si="9"/>
        <v>64225</v>
      </c>
      <c r="Z8" s="107">
        <f t="shared" si="9"/>
        <v>68598</v>
      </c>
      <c r="AA8" s="29">
        <f t="shared" si="9"/>
        <v>60700</v>
      </c>
      <c r="AB8" s="29">
        <f t="shared" si="9"/>
        <v>42749</v>
      </c>
      <c r="AC8" s="29">
        <f t="shared" si="9"/>
        <v>24120</v>
      </c>
      <c r="AD8" s="29">
        <f t="shared" si="9"/>
        <v>12868</v>
      </c>
      <c r="AE8" s="29">
        <f t="shared" si="9"/>
        <v>7917</v>
      </c>
      <c r="AF8" s="29">
        <f t="shared" si="9"/>
        <v>7586</v>
      </c>
      <c r="AG8" s="29">
        <f t="shared" si="9"/>
        <v>7721</v>
      </c>
      <c r="AH8" s="29">
        <f t="shared" si="9"/>
        <v>8768</v>
      </c>
      <c r="AI8" s="29">
        <f t="shared" si="9"/>
        <v>21640</v>
      </c>
      <c r="AJ8" s="29">
        <f t="shared" si="9"/>
        <v>43330</v>
      </c>
      <c r="AK8" s="29">
        <f t="shared" si="9"/>
        <v>64279</v>
      </c>
      <c r="AL8" s="29">
        <f t="shared" si="9"/>
        <v>68654</v>
      </c>
      <c r="AM8" s="29">
        <f t="shared" si="9"/>
        <v>60751</v>
      </c>
      <c r="AN8" s="29">
        <f t="shared" ref="AN8:BS8" si="10">ROUND(((AN5+AN6)*$A$8),0)</f>
        <v>42785</v>
      </c>
      <c r="AO8" s="29">
        <f t="shared" si="10"/>
        <v>24142</v>
      </c>
      <c r="AP8" s="29">
        <f t="shared" si="10"/>
        <v>12881</v>
      </c>
      <c r="AQ8" s="29">
        <f t="shared" si="10"/>
        <v>7926</v>
      </c>
      <c r="AR8" s="29">
        <f t="shared" si="10"/>
        <v>7595</v>
      </c>
      <c r="AS8" s="29">
        <f t="shared" si="10"/>
        <v>7730</v>
      </c>
      <c r="AT8" s="29">
        <f t="shared" si="10"/>
        <v>8778</v>
      </c>
      <c r="AU8" s="29">
        <f t="shared" si="10"/>
        <v>21661</v>
      </c>
      <c r="AV8" s="29">
        <f t="shared" si="10"/>
        <v>43368</v>
      </c>
      <c r="AW8" s="29">
        <f t="shared" si="10"/>
        <v>64333</v>
      </c>
      <c r="AX8" s="29">
        <f t="shared" si="10"/>
        <v>68710</v>
      </c>
      <c r="AY8" s="29">
        <f t="shared" si="10"/>
        <v>60801</v>
      </c>
      <c r="AZ8" s="29">
        <f t="shared" si="10"/>
        <v>42821</v>
      </c>
      <c r="BA8" s="29">
        <f t="shared" si="10"/>
        <v>24163</v>
      </c>
      <c r="BB8" s="29">
        <f t="shared" si="10"/>
        <v>12893</v>
      </c>
      <c r="BC8" s="29">
        <f t="shared" si="10"/>
        <v>7935</v>
      </c>
      <c r="BD8" s="29">
        <f t="shared" si="10"/>
        <v>7604</v>
      </c>
      <c r="BE8" s="29">
        <f t="shared" si="10"/>
        <v>7739</v>
      </c>
      <c r="BF8" s="29">
        <f t="shared" si="10"/>
        <v>8788</v>
      </c>
      <c r="BG8" s="29">
        <f t="shared" si="10"/>
        <v>21681</v>
      </c>
      <c r="BH8" s="29">
        <f t="shared" si="10"/>
        <v>43405</v>
      </c>
      <c r="BI8" s="29">
        <f t="shared" si="10"/>
        <v>64387</v>
      </c>
      <c r="BJ8" s="29">
        <f t="shared" si="10"/>
        <v>68767</v>
      </c>
      <c r="BK8" s="29">
        <f t="shared" si="10"/>
        <v>60851</v>
      </c>
      <c r="BL8" s="29">
        <f t="shared" si="10"/>
        <v>42858</v>
      </c>
      <c r="BM8" s="29">
        <f t="shared" si="10"/>
        <v>24184</v>
      </c>
      <c r="BN8" s="29">
        <f t="shared" si="10"/>
        <v>12905</v>
      </c>
      <c r="BO8" s="29">
        <f t="shared" si="10"/>
        <v>7944</v>
      </c>
      <c r="BP8" s="29">
        <f t="shared" si="10"/>
        <v>7613</v>
      </c>
      <c r="BQ8" s="29">
        <f t="shared" si="10"/>
        <v>7748</v>
      </c>
      <c r="BR8" s="29">
        <f t="shared" si="10"/>
        <v>8797</v>
      </c>
      <c r="BS8" s="29">
        <f t="shared" si="10"/>
        <v>21702</v>
      </c>
      <c r="BT8" s="29">
        <f t="shared" ref="BT8:CD8" si="11">ROUND(((BT5+BT6)*$A$8),0)</f>
        <v>43443</v>
      </c>
      <c r="BU8" s="29">
        <f t="shared" si="11"/>
        <v>64441</v>
      </c>
      <c r="BV8" s="29">
        <f t="shared" si="11"/>
        <v>68823</v>
      </c>
      <c r="BW8" s="29">
        <f t="shared" si="11"/>
        <v>60901</v>
      </c>
      <c r="BX8" s="29">
        <f t="shared" si="11"/>
        <v>42894</v>
      </c>
      <c r="BY8" s="29">
        <f t="shared" si="11"/>
        <v>24206</v>
      </c>
      <c r="BZ8" s="29">
        <f t="shared" si="11"/>
        <v>12918</v>
      </c>
      <c r="CA8" s="29">
        <f t="shared" si="11"/>
        <v>7953</v>
      </c>
      <c r="CB8" s="29">
        <f t="shared" si="11"/>
        <v>7613</v>
      </c>
      <c r="CC8" s="29">
        <f t="shared" si="11"/>
        <v>7748</v>
      </c>
      <c r="CD8" s="29">
        <f t="shared" si="11"/>
        <v>8797</v>
      </c>
    </row>
    <row r="9" spans="1:82">
      <c r="B9" s="106" t="s">
        <v>366</v>
      </c>
      <c r="C9" s="107">
        <f t="shared" ref="C9:G9" si="12">+C8+C5+C6</f>
        <v>2895973.095788714</v>
      </c>
      <c r="D9" s="107">
        <f t="shared" si="12"/>
        <v>2036893.9867976715</v>
      </c>
      <c r="E9" s="107">
        <f t="shared" si="12"/>
        <v>1149181.0801953622</v>
      </c>
      <c r="F9" s="107">
        <f t="shared" si="12"/>
        <v>613012.78657926968</v>
      </c>
      <c r="G9" s="107">
        <f t="shared" si="12"/>
        <v>377022.19699693803</v>
      </c>
      <c r="H9" s="107">
        <f t="shared" ref="H9:AM9" si="13">+H8+H5+H6</f>
        <v>361210.88552182936</v>
      </c>
      <c r="I9" s="107">
        <f t="shared" si="13"/>
        <v>367658.80556213803</v>
      </c>
      <c r="J9" s="107">
        <f t="shared" si="13"/>
        <v>417529.41236232739</v>
      </c>
      <c r="K9" s="107">
        <f t="shared" si="13"/>
        <v>1030903.4469493927</v>
      </c>
      <c r="L9" s="107">
        <f t="shared" si="13"/>
        <v>2064463.7248468159</v>
      </c>
      <c r="M9" s="107">
        <f t="shared" si="13"/>
        <v>3062812.0370300277</v>
      </c>
      <c r="N9" s="107">
        <f t="shared" si="13"/>
        <v>3271403.5583652197</v>
      </c>
      <c r="O9" s="107">
        <f t="shared" si="13"/>
        <v>2894774.4230681742</v>
      </c>
      <c r="P9" s="107">
        <f t="shared" si="13"/>
        <v>2038624.8419244778</v>
      </c>
      <c r="Q9" s="107">
        <f t="shared" si="13"/>
        <v>1150204.8905040433</v>
      </c>
      <c r="R9" s="107">
        <f t="shared" si="13"/>
        <v>613601.27757686318</v>
      </c>
      <c r="S9" s="107">
        <f t="shared" si="13"/>
        <v>377451.89716480818</v>
      </c>
      <c r="T9" s="107">
        <f t="shared" si="13"/>
        <v>361640.70835919032</v>
      </c>
      <c r="U9" s="107">
        <f t="shared" si="13"/>
        <v>368088.6309674175</v>
      </c>
      <c r="V9" s="107">
        <f t="shared" si="13"/>
        <v>418002.46099662635</v>
      </c>
      <c r="W9" s="107">
        <f t="shared" si="13"/>
        <v>1031886.2810517151</v>
      </c>
      <c r="X9" s="107">
        <f t="shared" si="13"/>
        <v>2066271.6248543549</v>
      </c>
      <c r="Y9" s="107">
        <f t="shared" si="13"/>
        <v>3065394.170133133</v>
      </c>
      <c r="Z9" s="107">
        <f t="shared" si="13"/>
        <v>3274094.8438608549</v>
      </c>
      <c r="AA9" s="29">
        <f t="shared" si="13"/>
        <v>2897168.1215056889</v>
      </c>
      <c r="AB9" s="29">
        <f t="shared" si="13"/>
        <v>2040354.7763375177</v>
      </c>
      <c r="AC9" s="29">
        <f t="shared" si="13"/>
        <v>1151227.7954763281</v>
      </c>
      <c r="AD9" s="29">
        <f t="shared" si="13"/>
        <v>614189.87190757995</v>
      </c>
      <c r="AE9" s="29">
        <f t="shared" si="13"/>
        <v>377881.70283515874</v>
      </c>
      <c r="AF9" s="29">
        <f t="shared" si="13"/>
        <v>362070.581050426</v>
      </c>
      <c r="AG9" s="29">
        <f t="shared" si="13"/>
        <v>368518.50606234232</v>
      </c>
      <c r="AH9" s="29">
        <f t="shared" si="13"/>
        <v>418475.56817726773</v>
      </c>
      <c r="AI9" s="29">
        <f t="shared" si="13"/>
        <v>1032868.2840740773</v>
      </c>
      <c r="AJ9" s="29">
        <f t="shared" si="13"/>
        <v>2068079.8767557207</v>
      </c>
      <c r="AK9" s="29">
        <f t="shared" si="13"/>
        <v>3067976.8289755122</v>
      </c>
      <c r="AL9" s="29">
        <f t="shared" si="13"/>
        <v>3276785.6837836485</v>
      </c>
      <c r="AM9" s="29">
        <f t="shared" si="13"/>
        <v>2899563.3082327945</v>
      </c>
      <c r="AN9" s="29">
        <f t="shared" ref="AN9:BS9" si="14">+AN8+AN5+AN6</f>
        <v>2042085.0520468084</v>
      </c>
      <c r="AO9" s="29">
        <f t="shared" si="14"/>
        <v>1152251.8852464578</v>
      </c>
      <c r="AP9" s="29">
        <f t="shared" si="14"/>
        <v>614779.55333267211</v>
      </c>
      <c r="AQ9" s="29">
        <f t="shared" si="14"/>
        <v>378311.55945728713</v>
      </c>
      <c r="AR9" s="29">
        <f t="shared" si="14"/>
        <v>362500.35331415082</v>
      </c>
      <c r="AS9" s="29">
        <f t="shared" si="14"/>
        <v>368948.28101758909</v>
      </c>
      <c r="AT9" s="29">
        <f t="shared" si="14"/>
        <v>418948.577761047</v>
      </c>
      <c r="AU9" s="29">
        <f t="shared" si="14"/>
        <v>1033851.2105366249</v>
      </c>
      <c r="AV9" s="29">
        <f t="shared" si="14"/>
        <v>2069888.0841626727</v>
      </c>
      <c r="AW9" s="29">
        <f t="shared" si="14"/>
        <v>3070559.4730774569</v>
      </c>
      <c r="AX9" s="29">
        <f t="shared" si="14"/>
        <v>3279476.5105047701</v>
      </c>
      <c r="AY9" s="29">
        <f t="shared" si="14"/>
        <v>2901957.4698018343</v>
      </c>
      <c r="AZ9" s="29">
        <f t="shared" si="14"/>
        <v>2043815.2752941085</v>
      </c>
      <c r="BA9" s="29">
        <f t="shared" si="14"/>
        <v>1153274.8933443928</v>
      </c>
      <c r="BB9" s="29">
        <f t="shared" si="14"/>
        <v>615368.13706212677</v>
      </c>
      <c r="BC9" s="29">
        <f t="shared" si="14"/>
        <v>378741.31372768938</v>
      </c>
      <c r="BD9" s="29">
        <f t="shared" si="14"/>
        <v>362930.02273445728</v>
      </c>
      <c r="BE9" s="29">
        <f t="shared" si="14"/>
        <v>369377.95342208433</v>
      </c>
      <c r="BF9" s="29">
        <f t="shared" si="14"/>
        <v>419421.47246702202</v>
      </c>
      <c r="BG9" s="29">
        <f t="shared" si="14"/>
        <v>1034832.865189163</v>
      </c>
      <c r="BH9" s="29">
        <f t="shared" si="14"/>
        <v>2071694.7526672895</v>
      </c>
      <c r="BI9" s="29">
        <f t="shared" si="14"/>
        <v>3073141.3202621215</v>
      </c>
      <c r="BJ9" s="29">
        <f t="shared" si="14"/>
        <v>3282167.4912909982</v>
      </c>
      <c r="BK9" s="29">
        <f t="shared" si="14"/>
        <v>2904350.8831418678</v>
      </c>
      <c r="BL9" s="29">
        <f t="shared" si="14"/>
        <v>2045545.9661703224</v>
      </c>
      <c r="BM9" s="29">
        <f t="shared" si="14"/>
        <v>1154297.5989024253</v>
      </c>
      <c r="BN9" s="29">
        <f t="shared" si="14"/>
        <v>615956.56296802056</v>
      </c>
      <c r="BO9" s="29">
        <f t="shared" si="14"/>
        <v>379170.96319814125</v>
      </c>
      <c r="BP9" s="29">
        <f t="shared" si="14"/>
        <v>363359.94572511257</v>
      </c>
      <c r="BQ9" s="29">
        <f t="shared" si="14"/>
        <v>369807.87862418906</v>
      </c>
      <c r="BR9" s="29">
        <f t="shared" si="14"/>
        <v>419893.62500123627</v>
      </c>
      <c r="BS9" s="29">
        <f t="shared" si="14"/>
        <v>1035815.8608990024</v>
      </c>
      <c r="BT9" s="29">
        <f t="shared" ref="BT9:CD9" si="15">+BT8+BT5+BT6</f>
        <v>2073502.9005255396</v>
      </c>
      <c r="BU9" s="29">
        <f t="shared" si="15"/>
        <v>3075723.7761864201</v>
      </c>
      <c r="BV9" s="29">
        <f t="shared" si="15"/>
        <v>3284858.1041367487</v>
      </c>
      <c r="BW9" s="29">
        <f t="shared" si="15"/>
        <v>2906744.8803313603</v>
      </c>
      <c r="BX9" s="29">
        <f t="shared" si="15"/>
        <v>2047276.1342560889</v>
      </c>
      <c r="BY9" s="29">
        <f t="shared" si="15"/>
        <v>1155321.6684552249</v>
      </c>
      <c r="BZ9" s="29">
        <f t="shared" si="15"/>
        <v>616546.2783775921</v>
      </c>
      <c r="CA9" s="29">
        <f t="shared" si="15"/>
        <v>379600.8714048473</v>
      </c>
      <c r="CB9" s="29">
        <f t="shared" si="15"/>
        <v>363359.94572511257</v>
      </c>
      <c r="CC9" s="29">
        <f t="shared" si="15"/>
        <v>369807.87862418906</v>
      </c>
      <c r="CD9" s="29">
        <f t="shared" si="15"/>
        <v>419893.62500123627</v>
      </c>
    </row>
    <row r="10" spans="1:82">
      <c r="A10" s="239">
        <v>1.01</v>
      </c>
      <c r="B10" s="106" t="s">
        <v>367</v>
      </c>
      <c r="C10" s="107">
        <f t="shared" ref="C10:G10" si="16">+C9*$A$10</f>
        <v>2924932.8267466011</v>
      </c>
      <c r="D10" s="107">
        <f t="shared" si="16"/>
        <v>2057262.9266656484</v>
      </c>
      <c r="E10" s="107">
        <f t="shared" si="16"/>
        <v>1160672.8909973158</v>
      </c>
      <c r="F10" s="107">
        <f t="shared" si="16"/>
        <v>619142.9144450624</v>
      </c>
      <c r="G10" s="107">
        <f t="shared" si="16"/>
        <v>380792.41896690743</v>
      </c>
      <c r="H10" s="107">
        <f>+H9*$A$10</f>
        <v>364822.99437704764</v>
      </c>
      <c r="I10" s="107">
        <f t="shared" ref="I10:BT10" si="17">+I9*$A$10</f>
        <v>371335.3936177594</v>
      </c>
      <c r="J10" s="107">
        <f t="shared" si="17"/>
        <v>421704.70648595068</v>
      </c>
      <c r="K10" s="107">
        <f t="shared" si="17"/>
        <v>1041212.4814188866</v>
      </c>
      <c r="L10" s="107">
        <f t="shared" si="17"/>
        <v>2085108.362095284</v>
      </c>
      <c r="M10" s="107">
        <f t="shared" si="17"/>
        <v>3093440.1574003282</v>
      </c>
      <c r="N10" s="107">
        <f t="shared" si="17"/>
        <v>3304117.5939488718</v>
      </c>
      <c r="O10" s="107">
        <f t="shared" si="17"/>
        <v>2923722.1672988557</v>
      </c>
      <c r="P10" s="107">
        <f t="shared" si="17"/>
        <v>2059011.0903437226</v>
      </c>
      <c r="Q10" s="107">
        <f t="shared" si="17"/>
        <v>1161706.9394090837</v>
      </c>
      <c r="R10" s="107">
        <f t="shared" si="17"/>
        <v>619737.29035263183</v>
      </c>
      <c r="S10" s="107">
        <f t="shared" si="17"/>
        <v>381226.41613645625</v>
      </c>
      <c r="T10" s="107">
        <f t="shared" si="17"/>
        <v>365257.11544278223</v>
      </c>
      <c r="U10" s="107">
        <f t="shared" si="17"/>
        <v>371769.51727709168</v>
      </c>
      <c r="V10" s="107">
        <f t="shared" si="17"/>
        <v>422182.48560659261</v>
      </c>
      <c r="W10" s="107">
        <f t="shared" si="17"/>
        <v>1042205.1438622323</v>
      </c>
      <c r="X10" s="107">
        <f t="shared" si="17"/>
        <v>2086934.3411028984</v>
      </c>
      <c r="Y10" s="107">
        <f t="shared" si="17"/>
        <v>3096048.1118344641</v>
      </c>
      <c r="Z10" s="107">
        <f t="shared" si="17"/>
        <v>3306835.7922994634</v>
      </c>
      <c r="AA10" s="107">
        <f t="shared" si="17"/>
        <v>2926139.8027207456</v>
      </c>
      <c r="AB10" s="107">
        <f t="shared" si="17"/>
        <v>2060758.3241008928</v>
      </c>
      <c r="AC10" s="107">
        <f t="shared" si="17"/>
        <v>1162740.0734310914</v>
      </c>
      <c r="AD10" s="107">
        <f t="shared" si="17"/>
        <v>620331.77062665578</v>
      </c>
      <c r="AE10" s="107">
        <f t="shared" si="17"/>
        <v>381660.51986351033</v>
      </c>
      <c r="AF10" s="107">
        <f t="shared" si="17"/>
        <v>365691.28686093027</v>
      </c>
      <c r="AG10" s="107">
        <f t="shared" si="17"/>
        <v>372203.69112296577</v>
      </c>
      <c r="AH10" s="107">
        <f t="shared" si="17"/>
        <v>422660.32385904039</v>
      </c>
      <c r="AI10" s="107">
        <f t="shared" si="17"/>
        <v>1043196.966914818</v>
      </c>
      <c r="AJ10" s="107">
        <f t="shared" si="17"/>
        <v>2088760.6755232778</v>
      </c>
      <c r="AK10" s="107">
        <f t="shared" si="17"/>
        <v>3098656.5972652673</v>
      </c>
      <c r="AL10" s="107">
        <f t="shared" si="17"/>
        <v>3309553.5406214851</v>
      </c>
      <c r="AM10" s="107">
        <f t="shared" si="17"/>
        <v>2928558.9413151224</v>
      </c>
      <c r="AN10" s="107">
        <f t="shared" si="17"/>
        <v>2062505.9025672765</v>
      </c>
      <c r="AO10" s="107">
        <f t="shared" si="17"/>
        <v>1163774.4040989224</v>
      </c>
      <c r="AP10" s="107">
        <f t="shared" si="17"/>
        <v>620927.34886599879</v>
      </c>
      <c r="AQ10" s="107">
        <f t="shared" si="17"/>
        <v>382094.67505185999</v>
      </c>
      <c r="AR10" s="107">
        <f t="shared" si="17"/>
        <v>366125.35684729234</v>
      </c>
      <c r="AS10" s="107">
        <f t="shared" si="17"/>
        <v>372637.76382776501</v>
      </c>
      <c r="AT10" s="107">
        <f t="shared" si="17"/>
        <v>423138.06353865744</v>
      </c>
      <c r="AU10" s="107">
        <f t="shared" si="17"/>
        <v>1044189.7226419911</v>
      </c>
      <c r="AV10" s="107">
        <f t="shared" si="17"/>
        <v>2090586.9650042995</v>
      </c>
      <c r="AW10" s="107">
        <f t="shared" si="17"/>
        <v>3101265.0678082313</v>
      </c>
      <c r="AX10" s="107">
        <f t="shared" si="17"/>
        <v>3312271.2756098178</v>
      </c>
      <c r="AY10" s="107">
        <f t="shared" si="17"/>
        <v>2930977.0444998527</v>
      </c>
      <c r="AZ10" s="107">
        <f t="shared" si="17"/>
        <v>2064253.4280470496</v>
      </c>
      <c r="BA10" s="107">
        <f t="shared" si="17"/>
        <v>1164807.6422778368</v>
      </c>
      <c r="BB10" s="107">
        <f t="shared" si="17"/>
        <v>621521.81843274808</v>
      </c>
      <c r="BC10" s="107">
        <f t="shared" si="17"/>
        <v>382528.72686496627</v>
      </c>
      <c r="BD10" s="107">
        <f t="shared" si="17"/>
        <v>366559.32296180184</v>
      </c>
      <c r="BE10" s="107">
        <f t="shared" si="17"/>
        <v>373071.7329563052</v>
      </c>
      <c r="BF10" s="107">
        <f t="shared" si="17"/>
        <v>423615.68719169224</v>
      </c>
      <c r="BG10" s="107">
        <f t="shared" si="17"/>
        <v>1045181.1938410547</v>
      </c>
      <c r="BH10" s="107">
        <f t="shared" si="17"/>
        <v>2092411.7001939623</v>
      </c>
      <c r="BI10" s="107">
        <f t="shared" si="17"/>
        <v>3103872.7334647425</v>
      </c>
      <c r="BJ10" s="107">
        <f t="shared" si="17"/>
        <v>3314989.1662039082</v>
      </c>
      <c r="BK10" s="107">
        <f t="shared" si="17"/>
        <v>2933394.3919732864</v>
      </c>
      <c r="BL10" s="107">
        <f t="shared" si="17"/>
        <v>2066001.4258320257</v>
      </c>
      <c r="BM10" s="107">
        <f t="shared" si="17"/>
        <v>1165840.5748914494</v>
      </c>
      <c r="BN10" s="107">
        <f t="shared" si="17"/>
        <v>622116.12859770074</v>
      </c>
      <c r="BO10" s="107">
        <f t="shared" si="17"/>
        <v>382962.6728301227</v>
      </c>
      <c r="BP10" s="107">
        <f t="shared" si="17"/>
        <v>366993.54518236371</v>
      </c>
      <c r="BQ10" s="107">
        <f t="shared" si="17"/>
        <v>373505.95741043094</v>
      </c>
      <c r="BR10" s="107">
        <f t="shared" si="17"/>
        <v>424092.56125124864</v>
      </c>
      <c r="BS10" s="107">
        <f t="shared" si="17"/>
        <v>1046174.0195079924</v>
      </c>
      <c r="BT10" s="107">
        <f t="shared" si="17"/>
        <v>2094237.929530795</v>
      </c>
      <c r="BU10" s="107">
        <f t="shared" ref="BU10:CD10" si="18">+BU9*$A$10</f>
        <v>3106481.0139482846</v>
      </c>
      <c r="BV10" s="107">
        <f t="shared" si="18"/>
        <v>3317706.6851781164</v>
      </c>
      <c r="BW10" s="107">
        <f t="shared" si="18"/>
        <v>2935812.3291346738</v>
      </c>
      <c r="BX10" s="107">
        <f t="shared" si="18"/>
        <v>2067748.8955986497</v>
      </c>
      <c r="BY10" s="107">
        <f t="shared" si="18"/>
        <v>1166874.8851397773</v>
      </c>
      <c r="BZ10" s="107">
        <f t="shared" si="18"/>
        <v>622711.74116136797</v>
      </c>
      <c r="CA10" s="107">
        <f t="shared" si="18"/>
        <v>383396.88011889579</v>
      </c>
      <c r="CB10" s="107">
        <f t="shared" si="18"/>
        <v>366993.54518236371</v>
      </c>
      <c r="CC10" s="107">
        <f t="shared" si="18"/>
        <v>373505.95741043094</v>
      </c>
      <c r="CD10" s="107">
        <f t="shared" si="18"/>
        <v>424092.56125124864</v>
      </c>
    </row>
    <row r="11" spans="1:82"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</row>
    <row r="12" spans="1:82">
      <c r="A12" s="106" t="s">
        <v>361</v>
      </c>
      <c r="B12" s="106" t="s">
        <v>368</v>
      </c>
      <c r="N12" s="107"/>
      <c r="O12" s="240"/>
      <c r="P12" s="240"/>
      <c r="Q12" s="240"/>
      <c r="R12" s="240"/>
      <c r="S12" s="240"/>
      <c r="T12" s="107"/>
      <c r="U12" s="107"/>
      <c r="V12" s="107"/>
      <c r="W12" s="107"/>
      <c r="X12" s="107"/>
      <c r="Y12" s="107"/>
      <c r="Z12" s="107"/>
      <c r="AA12" s="107"/>
    </row>
    <row r="13" spans="1:82">
      <c r="B13" s="106" t="s">
        <v>369</v>
      </c>
      <c r="C13" s="29">
        <f t="shared" ref="C13:G13" si="19">+C121*$A$121</f>
        <v>0</v>
      </c>
      <c r="D13" s="29">
        <f t="shared" si="19"/>
        <v>0</v>
      </c>
      <c r="E13" s="29">
        <f t="shared" si="19"/>
        <v>0</v>
      </c>
      <c r="F13" s="29">
        <f>+F121*$A$121</f>
        <v>0</v>
      </c>
      <c r="G13" s="29">
        <f t="shared" si="19"/>
        <v>0</v>
      </c>
      <c r="H13" s="29">
        <f t="shared" ref="H13:I13" si="20">+H121*$A$121</f>
        <v>0</v>
      </c>
      <c r="I13" s="29">
        <f t="shared" si="20"/>
        <v>0</v>
      </c>
      <c r="J13" s="29">
        <f>+J121*$A$121</f>
        <v>0</v>
      </c>
      <c r="K13" s="29">
        <f t="shared" ref="K13:N13" si="21">+K121*$A$121</f>
        <v>0</v>
      </c>
      <c r="L13" s="29">
        <f t="shared" si="21"/>
        <v>164130</v>
      </c>
      <c r="M13" s="29">
        <f t="shared" si="21"/>
        <v>254510</v>
      </c>
      <c r="N13" s="29">
        <f t="shared" si="21"/>
        <v>303800</v>
      </c>
      <c r="O13" s="29">
        <f t="shared" ref="O13:S15" si="22">+O121*$A$121</f>
        <v>250444</v>
      </c>
      <c r="P13" s="29">
        <f t="shared" si="22"/>
        <v>209343</v>
      </c>
      <c r="Q13" s="29">
        <f t="shared" si="22"/>
        <v>0</v>
      </c>
      <c r="R13" s="29">
        <f t="shared" si="22"/>
        <v>0</v>
      </c>
      <c r="S13" s="29">
        <f t="shared" si="22"/>
        <v>0</v>
      </c>
      <c r="T13" s="29">
        <f t="shared" ref="T13:CA13" si="23">+T121*$A$121</f>
        <v>0</v>
      </c>
      <c r="U13" s="29">
        <f t="shared" si="23"/>
        <v>0</v>
      </c>
      <c r="V13" s="29">
        <f t="shared" si="23"/>
        <v>0</v>
      </c>
      <c r="W13" s="29">
        <f t="shared" si="23"/>
        <v>0</v>
      </c>
      <c r="X13" s="29">
        <f t="shared" si="23"/>
        <v>164130</v>
      </c>
      <c r="Y13" s="29">
        <f t="shared" si="23"/>
        <v>254510</v>
      </c>
      <c r="Z13" s="29">
        <f t="shared" si="23"/>
        <v>303800</v>
      </c>
      <c r="AA13" s="29">
        <f t="shared" si="23"/>
        <v>250444</v>
      </c>
      <c r="AB13" s="29">
        <f t="shared" si="23"/>
        <v>209343</v>
      </c>
      <c r="AC13" s="29">
        <f t="shared" si="23"/>
        <v>0</v>
      </c>
      <c r="AD13" s="29">
        <f t="shared" si="23"/>
        <v>0</v>
      </c>
      <c r="AE13" s="29">
        <f t="shared" si="23"/>
        <v>0</v>
      </c>
      <c r="AF13" s="29">
        <f t="shared" si="23"/>
        <v>0</v>
      </c>
      <c r="AG13" s="29">
        <f t="shared" si="23"/>
        <v>0</v>
      </c>
      <c r="AH13" s="29">
        <f t="shared" si="23"/>
        <v>0</v>
      </c>
      <c r="AI13" s="29">
        <f t="shared" si="23"/>
        <v>0</v>
      </c>
      <c r="AJ13" s="29">
        <f t="shared" si="23"/>
        <v>164130</v>
      </c>
      <c r="AK13" s="29">
        <f t="shared" si="23"/>
        <v>254510</v>
      </c>
      <c r="AL13" s="29">
        <f t="shared" si="23"/>
        <v>303800</v>
      </c>
      <c r="AM13" s="29">
        <f t="shared" si="23"/>
        <v>250444</v>
      </c>
      <c r="AN13" s="29">
        <f t="shared" si="23"/>
        <v>209343</v>
      </c>
      <c r="AO13" s="29">
        <f t="shared" si="23"/>
        <v>0</v>
      </c>
      <c r="AP13" s="29">
        <f t="shared" si="23"/>
        <v>0</v>
      </c>
      <c r="AQ13" s="29">
        <f t="shared" si="23"/>
        <v>0</v>
      </c>
      <c r="AR13" s="29">
        <f t="shared" si="23"/>
        <v>0</v>
      </c>
      <c r="AS13" s="29">
        <f t="shared" si="23"/>
        <v>0</v>
      </c>
      <c r="AT13" s="29">
        <f t="shared" si="23"/>
        <v>0</v>
      </c>
      <c r="AU13" s="29">
        <f t="shared" si="23"/>
        <v>0</v>
      </c>
      <c r="AV13" s="29">
        <f t="shared" si="23"/>
        <v>164130</v>
      </c>
      <c r="AW13" s="29">
        <f t="shared" si="23"/>
        <v>254510</v>
      </c>
      <c r="AX13" s="29">
        <f t="shared" si="23"/>
        <v>303800</v>
      </c>
      <c r="AY13" s="29">
        <f t="shared" si="23"/>
        <v>250444</v>
      </c>
      <c r="AZ13" s="29">
        <f t="shared" si="23"/>
        <v>209343</v>
      </c>
      <c r="BA13" s="29">
        <f t="shared" si="23"/>
        <v>0</v>
      </c>
      <c r="BB13" s="29">
        <f t="shared" si="23"/>
        <v>0</v>
      </c>
      <c r="BC13" s="29">
        <f t="shared" si="23"/>
        <v>0</v>
      </c>
      <c r="BD13" s="29">
        <f t="shared" si="23"/>
        <v>0</v>
      </c>
      <c r="BE13" s="29">
        <f t="shared" si="23"/>
        <v>0</v>
      </c>
      <c r="BF13" s="29">
        <f t="shared" si="23"/>
        <v>0</v>
      </c>
      <c r="BG13" s="29">
        <f t="shared" si="23"/>
        <v>0</v>
      </c>
      <c r="BH13" s="29">
        <f t="shared" si="23"/>
        <v>164130</v>
      </c>
      <c r="BI13" s="29">
        <f t="shared" si="23"/>
        <v>254510</v>
      </c>
      <c r="BJ13" s="29">
        <f t="shared" si="23"/>
        <v>303800</v>
      </c>
      <c r="BK13" s="29">
        <f t="shared" si="23"/>
        <v>250444</v>
      </c>
      <c r="BL13" s="29">
        <f t="shared" si="23"/>
        <v>209343</v>
      </c>
      <c r="BM13" s="29">
        <f t="shared" si="23"/>
        <v>0</v>
      </c>
      <c r="BN13" s="29">
        <f t="shared" si="23"/>
        <v>0</v>
      </c>
      <c r="BO13" s="29">
        <f t="shared" si="23"/>
        <v>0</v>
      </c>
      <c r="BP13" s="29">
        <f t="shared" si="23"/>
        <v>0</v>
      </c>
      <c r="BQ13" s="29">
        <f t="shared" si="23"/>
        <v>0</v>
      </c>
      <c r="BR13" s="29">
        <f t="shared" si="23"/>
        <v>0</v>
      </c>
      <c r="BS13" s="29">
        <f t="shared" si="23"/>
        <v>0</v>
      </c>
      <c r="BT13" s="29">
        <f t="shared" si="23"/>
        <v>164130</v>
      </c>
      <c r="BU13" s="29">
        <f t="shared" si="23"/>
        <v>254510</v>
      </c>
      <c r="BV13" s="29">
        <f t="shared" si="23"/>
        <v>303800</v>
      </c>
      <c r="BW13" s="29">
        <f t="shared" si="23"/>
        <v>250444</v>
      </c>
      <c r="BX13" s="29">
        <f t="shared" si="23"/>
        <v>209343</v>
      </c>
      <c r="BY13" s="29">
        <f t="shared" si="23"/>
        <v>0</v>
      </c>
      <c r="BZ13" s="29">
        <f t="shared" si="23"/>
        <v>0</v>
      </c>
      <c r="CA13" s="29">
        <f t="shared" si="23"/>
        <v>0</v>
      </c>
      <c r="CB13" s="29">
        <f t="shared" ref="CB13:CD13" si="24">+CB121*$A$121</f>
        <v>0</v>
      </c>
      <c r="CC13" s="29">
        <f t="shared" si="24"/>
        <v>0</v>
      </c>
      <c r="CD13" s="29">
        <f t="shared" si="24"/>
        <v>0</v>
      </c>
    </row>
    <row r="14" spans="1:82">
      <c r="B14" s="106" t="s">
        <v>370</v>
      </c>
      <c r="C14" s="29">
        <f t="shared" ref="C14:G14" si="25">+C122*$A$121</f>
        <v>0</v>
      </c>
      <c r="D14" s="29">
        <f t="shared" si="25"/>
        <v>0</v>
      </c>
      <c r="E14" s="29">
        <f t="shared" si="25"/>
        <v>0</v>
      </c>
      <c r="F14" s="29">
        <f t="shared" si="25"/>
        <v>0</v>
      </c>
      <c r="G14" s="29">
        <f t="shared" si="25"/>
        <v>0</v>
      </c>
      <c r="H14" s="29">
        <f t="shared" ref="H14:I14" si="26">+H122*$A$121</f>
        <v>0</v>
      </c>
      <c r="I14" s="29">
        <f t="shared" si="26"/>
        <v>0</v>
      </c>
      <c r="J14" s="29">
        <f t="shared" ref="J14:K14" si="27">+J122*$A$121</f>
        <v>0</v>
      </c>
      <c r="K14" s="29">
        <f t="shared" si="27"/>
        <v>0</v>
      </c>
      <c r="L14" s="29">
        <f>+L122*$A$121</f>
        <v>337176</v>
      </c>
      <c r="M14" s="29">
        <f t="shared" ref="M14:BX14" si="28">+M122*$A$121</f>
        <v>599205.20000000007</v>
      </c>
      <c r="N14" s="29">
        <f t="shared" si="28"/>
        <v>685410</v>
      </c>
      <c r="O14" s="29">
        <f t="shared" si="28"/>
        <v>837704</v>
      </c>
      <c r="P14" s="29">
        <f t="shared" si="28"/>
        <v>651533.20000000007</v>
      </c>
      <c r="Q14" s="29">
        <f t="shared" si="28"/>
        <v>0</v>
      </c>
      <c r="R14" s="29">
        <f t="shared" si="28"/>
        <v>0</v>
      </c>
      <c r="S14" s="29">
        <f t="shared" si="28"/>
        <v>0</v>
      </c>
      <c r="T14" s="29">
        <f t="shared" si="28"/>
        <v>0</v>
      </c>
      <c r="U14" s="29">
        <f t="shared" si="28"/>
        <v>0</v>
      </c>
      <c r="V14" s="29">
        <f t="shared" si="28"/>
        <v>0</v>
      </c>
      <c r="W14" s="29">
        <f t="shared" si="28"/>
        <v>0</v>
      </c>
      <c r="X14" s="29">
        <f t="shared" si="28"/>
        <v>337176</v>
      </c>
      <c r="Y14" s="29">
        <f t="shared" si="28"/>
        <v>599205.20000000007</v>
      </c>
      <c r="Z14" s="29">
        <f t="shared" si="28"/>
        <v>685410</v>
      </c>
      <c r="AA14" s="29">
        <f t="shared" si="28"/>
        <v>837704</v>
      </c>
      <c r="AB14" s="29">
        <f t="shared" si="28"/>
        <v>651533.20000000007</v>
      </c>
      <c r="AC14" s="29">
        <f t="shared" si="28"/>
        <v>0</v>
      </c>
      <c r="AD14" s="29">
        <f t="shared" si="28"/>
        <v>0</v>
      </c>
      <c r="AE14" s="29">
        <f t="shared" si="28"/>
        <v>0</v>
      </c>
      <c r="AF14" s="29">
        <f t="shared" si="28"/>
        <v>0</v>
      </c>
      <c r="AG14" s="29">
        <f t="shared" si="28"/>
        <v>0</v>
      </c>
      <c r="AH14" s="29">
        <f t="shared" si="28"/>
        <v>0</v>
      </c>
      <c r="AI14" s="29">
        <f t="shared" si="28"/>
        <v>0</v>
      </c>
      <c r="AJ14" s="29">
        <f t="shared" si="28"/>
        <v>337176</v>
      </c>
      <c r="AK14" s="29">
        <f t="shared" si="28"/>
        <v>599205.20000000007</v>
      </c>
      <c r="AL14" s="29">
        <f t="shared" si="28"/>
        <v>685410</v>
      </c>
      <c r="AM14" s="29">
        <f t="shared" si="28"/>
        <v>837704</v>
      </c>
      <c r="AN14" s="29">
        <f t="shared" si="28"/>
        <v>651533.20000000007</v>
      </c>
      <c r="AO14" s="29">
        <f t="shared" si="28"/>
        <v>0</v>
      </c>
      <c r="AP14" s="29">
        <f t="shared" si="28"/>
        <v>0</v>
      </c>
      <c r="AQ14" s="29">
        <f t="shared" si="28"/>
        <v>0</v>
      </c>
      <c r="AR14" s="29">
        <f t="shared" si="28"/>
        <v>0</v>
      </c>
      <c r="AS14" s="29">
        <f t="shared" si="28"/>
        <v>0</v>
      </c>
      <c r="AT14" s="29">
        <f t="shared" si="28"/>
        <v>0</v>
      </c>
      <c r="AU14" s="29">
        <f t="shared" si="28"/>
        <v>0</v>
      </c>
      <c r="AV14" s="29">
        <f t="shared" si="28"/>
        <v>337176</v>
      </c>
      <c r="AW14" s="29">
        <f t="shared" si="28"/>
        <v>599205.20000000007</v>
      </c>
      <c r="AX14" s="29">
        <f t="shared" si="28"/>
        <v>685410</v>
      </c>
      <c r="AY14" s="29">
        <f t="shared" si="28"/>
        <v>837704</v>
      </c>
      <c r="AZ14" s="29">
        <f t="shared" si="28"/>
        <v>651533.20000000007</v>
      </c>
      <c r="BA14" s="29">
        <f t="shared" si="28"/>
        <v>0</v>
      </c>
      <c r="BB14" s="29">
        <f t="shared" si="28"/>
        <v>0</v>
      </c>
      <c r="BC14" s="29">
        <f t="shared" si="28"/>
        <v>0</v>
      </c>
      <c r="BD14" s="29">
        <f t="shared" si="28"/>
        <v>0</v>
      </c>
      <c r="BE14" s="29">
        <f t="shared" si="28"/>
        <v>0</v>
      </c>
      <c r="BF14" s="29">
        <f t="shared" si="28"/>
        <v>0</v>
      </c>
      <c r="BG14" s="29">
        <f t="shared" si="28"/>
        <v>0</v>
      </c>
      <c r="BH14" s="29">
        <f t="shared" si="28"/>
        <v>337176</v>
      </c>
      <c r="BI14" s="29">
        <f t="shared" si="28"/>
        <v>599205.20000000007</v>
      </c>
      <c r="BJ14" s="29">
        <f t="shared" si="28"/>
        <v>685410</v>
      </c>
      <c r="BK14" s="29">
        <f t="shared" si="28"/>
        <v>837704</v>
      </c>
      <c r="BL14" s="29">
        <f t="shared" si="28"/>
        <v>651533.20000000007</v>
      </c>
      <c r="BM14" s="29">
        <f t="shared" si="28"/>
        <v>0</v>
      </c>
      <c r="BN14" s="29">
        <f t="shared" si="28"/>
        <v>0</v>
      </c>
      <c r="BO14" s="29">
        <f t="shared" si="28"/>
        <v>0</v>
      </c>
      <c r="BP14" s="29">
        <f t="shared" si="28"/>
        <v>0</v>
      </c>
      <c r="BQ14" s="29">
        <f t="shared" si="28"/>
        <v>0</v>
      </c>
      <c r="BR14" s="29">
        <f t="shared" si="28"/>
        <v>0</v>
      </c>
      <c r="BS14" s="29">
        <f t="shared" si="28"/>
        <v>0</v>
      </c>
      <c r="BT14" s="29">
        <f t="shared" si="28"/>
        <v>337176</v>
      </c>
      <c r="BU14" s="29">
        <f t="shared" si="28"/>
        <v>599205.20000000007</v>
      </c>
      <c r="BV14" s="29">
        <f t="shared" si="28"/>
        <v>685410</v>
      </c>
      <c r="BW14" s="29">
        <f t="shared" si="28"/>
        <v>837704</v>
      </c>
      <c r="BX14" s="29">
        <f t="shared" si="28"/>
        <v>651533.20000000007</v>
      </c>
      <c r="BY14" s="29">
        <f t="shared" ref="BY14:CD14" si="29">+BY122*$A$121</f>
        <v>0</v>
      </c>
      <c r="BZ14" s="29">
        <f t="shared" si="29"/>
        <v>0</v>
      </c>
      <c r="CA14" s="29">
        <f t="shared" si="29"/>
        <v>0</v>
      </c>
      <c r="CB14" s="29">
        <f t="shared" si="29"/>
        <v>0</v>
      </c>
      <c r="CC14" s="29">
        <f t="shared" si="29"/>
        <v>0</v>
      </c>
      <c r="CD14" s="29">
        <f t="shared" si="29"/>
        <v>0</v>
      </c>
    </row>
    <row r="15" spans="1:82">
      <c r="B15" s="106" t="s">
        <v>371</v>
      </c>
      <c r="C15" s="29">
        <f t="shared" ref="C15:G15" si="30">+C123*$A$121</f>
        <v>0</v>
      </c>
      <c r="D15" s="29">
        <f t="shared" si="30"/>
        <v>0</v>
      </c>
      <c r="E15" s="29">
        <f t="shared" si="30"/>
        <v>0</v>
      </c>
      <c r="F15" s="29">
        <f t="shared" si="30"/>
        <v>0</v>
      </c>
      <c r="G15" s="29">
        <f t="shared" si="30"/>
        <v>0</v>
      </c>
      <c r="H15" s="29">
        <f t="shared" ref="H15:I15" si="31">+H123*$A$121</f>
        <v>0</v>
      </c>
      <c r="I15" s="29">
        <f t="shared" si="31"/>
        <v>0</v>
      </c>
      <c r="J15" s="29">
        <f t="shared" ref="J15:N15" si="32">+J123*$A$121</f>
        <v>0</v>
      </c>
      <c r="K15" s="29">
        <f t="shared" si="32"/>
        <v>0</v>
      </c>
      <c r="L15" s="29">
        <f t="shared" si="32"/>
        <v>458820</v>
      </c>
      <c r="M15" s="29">
        <f t="shared" si="32"/>
        <v>729771</v>
      </c>
      <c r="N15" s="29">
        <f t="shared" si="32"/>
        <v>791678</v>
      </c>
      <c r="O15" s="29">
        <f t="shared" si="22"/>
        <v>1303036</v>
      </c>
      <c r="P15" s="29">
        <f t="shared" si="22"/>
        <v>1244650</v>
      </c>
      <c r="Q15" s="29">
        <f t="shared" si="22"/>
        <v>0</v>
      </c>
      <c r="R15" s="29">
        <f t="shared" si="22"/>
        <v>0</v>
      </c>
      <c r="S15" s="29">
        <f t="shared" si="22"/>
        <v>0</v>
      </c>
      <c r="T15" s="29">
        <f t="shared" ref="T15:CA15" si="33">+T123*$A$121</f>
        <v>0</v>
      </c>
      <c r="U15" s="29">
        <f t="shared" si="33"/>
        <v>0</v>
      </c>
      <c r="V15" s="29">
        <f t="shared" si="33"/>
        <v>0</v>
      </c>
      <c r="W15" s="29">
        <f t="shared" si="33"/>
        <v>0</v>
      </c>
      <c r="X15" s="29">
        <f t="shared" si="33"/>
        <v>458820</v>
      </c>
      <c r="Y15" s="29">
        <f t="shared" si="33"/>
        <v>729771</v>
      </c>
      <c r="Z15" s="29">
        <f t="shared" si="33"/>
        <v>791678</v>
      </c>
      <c r="AA15" s="29">
        <f t="shared" si="33"/>
        <v>1303036</v>
      </c>
      <c r="AB15" s="29">
        <f t="shared" si="33"/>
        <v>1244650</v>
      </c>
      <c r="AC15" s="29">
        <f t="shared" si="33"/>
        <v>0</v>
      </c>
      <c r="AD15" s="29">
        <f t="shared" si="33"/>
        <v>0</v>
      </c>
      <c r="AE15" s="29">
        <f t="shared" si="33"/>
        <v>0</v>
      </c>
      <c r="AF15" s="29">
        <f t="shared" si="33"/>
        <v>0</v>
      </c>
      <c r="AG15" s="29">
        <f t="shared" si="33"/>
        <v>0</v>
      </c>
      <c r="AH15" s="29">
        <f t="shared" si="33"/>
        <v>0</v>
      </c>
      <c r="AI15" s="29">
        <f t="shared" si="33"/>
        <v>0</v>
      </c>
      <c r="AJ15" s="29">
        <f t="shared" si="33"/>
        <v>458820</v>
      </c>
      <c r="AK15" s="29">
        <f t="shared" si="33"/>
        <v>729771</v>
      </c>
      <c r="AL15" s="29">
        <f t="shared" si="33"/>
        <v>791678</v>
      </c>
      <c r="AM15" s="29">
        <f t="shared" si="33"/>
        <v>1303036</v>
      </c>
      <c r="AN15" s="29">
        <f t="shared" si="33"/>
        <v>1244650</v>
      </c>
      <c r="AO15" s="29">
        <f t="shared" si="33"/>
        <v>0</v>
      </c>
      <c r="AP15" s="29">
        <f t="shared" si="33"/>
        <v>0</v>
      </c>
      <c r="AQ15" s="29">
        <f t="shared" si="33"/>
        <v>0</v>
      </c>
      <c r="AR15" s="29">
        <f t="shared" si="33"/>
        <v>0</v>
      </c>
      <c r="AS15" s="29">
        <f t="shared" si="33"/>
        <v>0</v>
      </c>
      <c r="AT15" s="29">
        <f t="shared" si="33"/>
        <v>0</v>
      </c>
      <c r="AU15" s="29">
        <f t="shared" si="33"/>
        <v>0</v>
      </c>
      <c r="AV15" s="29">
        <f t="shared" si="33"/>
        <v>458820</v>
      </c>
      <c r="AW15" s="29">
        <f t="shared" si="33"/>
        <v>729771</v>
      </c>
      <c r="AX15" s="29">
        <f t="shared" si="33"/>
        <v>791678</v>
      </c>
      <c r="AY15" s="29">
        <f t="shared" si="33"/>
        <v>1303036</v>
      </c>
      <c r="AZ15" s="29">
        <f t="shared" si="33"/>
        <v>1244650</v>
      </c>
      <c r="BA15" s="29">
        <f t="shared" si="33"/>
        <v>0</v>
      </c>
      <c r="BB15" s="29">
        <f t="shared" si="33"/>
        <v>0</v>
      </c>
      <c r="BC15" s="29">
        <f t="shared" si="33"/>
        <v>0</v>
      </c>
      <c r="BD15" s="29">
        <f t="shared" si="33"/>
        <v>0</v>
      </c>
      <c r="BE15" s="29">
        <f t="shared" si="33"/>
        <v>0</v>
      </c>
      <c r="BF15" s="29">
        <f t="shared" si="33"/>
        <v>0</v>
      </c>
      <c r="BG15" s="29">
        <f t="shared" si="33"/>
        <v>0</v>
      </c>
      <c r="BH15" s="29">
        <f t="shared" si="33"/>
        <v>458820</v>
      </c>
      <c r="BI15" s="29">
        <f t="shared" si="33"/>
        <v>729771</v>
      </c>
      <c r="BJ15" s="29">
        <f t="shared" si="33"/>
        <v>791678</v>
      </c>
      <c r="BK15" s="29">
        <f t="shared" si="33"/>
        <v>1303036</v>
      </c>
      <c r="BL15" s="29">
        <f t="shared" si="33"/>
        <v>1244650</v>
      </c>
      <c r="BM15" s="29">
        <f t="shared" si="33"/>
        <v>0</v>
      </c>
      <c r="BN15" s="29">
        <f t="shared" si="33"/>
        <v>0</v>
      </c>
      <c r="BO15" s="29">
        <f t="shared" si="33"/>
        <v>0</v>
      </c>
      <c r="BP15" s="29">
        <f t="shared" si="33"/>
        <v>0</v>
      </c>
      <c r="BQ15" s="29">
        <f t="shared" si="33"/>
        <v>0</v>
      </c>
      <c r="BR15" s="29">
        <f t="shared" si="33"/>
        <v>0</v>
      </c>
      <c r="BS15" s="29">
        <f t="shared" si="33"/>
        <v>0</v>
      </c>
      <c r="BT15" s="29">
        <f t="shared" si="33"/>
        <v>458820</v>
      </c>
      <c r="BU15" s="29">
        <f t="shared" si="33"/>
        <v>729771</v>
      </c>
      <c r="BV15" s="29">
        <f t="shared" si="33"/>
        <v>791678</v>
      </c>
      <c r="BW15" s="29">
        <f t="shared" si="33"/>
        <v>1303036</v>
      </c>
      <c r="BX15" s="29">
        <f t="shared" si="33"/>
        <v>1244650</v>
      </c>
      <c r="BY15" s="29">
        <f t="shared" si="33"/>
        <v>0</v>
      </c>
      <c r="BZ15" s="29">
        <f t="shared" si="33"/>
        <v>0</v>
      </c>
      <c r="CA15" s="29">
        <f t="shared" si="33"/>
        <v>0</v>
      </c>
      <c r="CB15" s="29">
        <f t="shared" ref="CB15:CD15" si="34">+CB123*$A$121</f>
        <v>0</v>
      </c>
      <c r="CC15" s="29">
        <f t="shared" si="34"/>
        <v>0</v>
      </c>
      <c r="CD15" s="29">
        <f t="shared" si="34"/>
        <v>0</v>
      </c>
    </row>
    <row r="16" spans="1:82">
      <c r="B16" s="106" t="s">
        <v>372</v>
      </c>
      <c r="C16" s="22">
        <f t="shared" ref="C16:G16" si="35">SUM(C13+C14+C15)</f>
        <v>0</v>
      </c>
      <c r="D16" s="22">
        <f t="shared" si="35"/>
        <v>0</v>
      </c>
      <c r="E16" s="22">
        <f t="shared" si="35"/>
        <v>0</v>
      </c>
      <c r="F16" s="22">
        <f t="shared" si="35"/>
        <v>0</v>
      </c>
      <c r="G16" s="22">
        <f t="shared" si="35"/>
        <v>0</v>
      </c>
      <c r="H16" s="22">
        <f t="shared" ref="H16" si="36">SUM(H13+H14+H15)</f>
        <v>0</v>
      </c>
      <c r="I16" s="22">
        <f t="shared" ref="I16" si="37">SUM(I13+I14+I15)</f>
        <v>0</v>
      </c>
      <c r="J16" s="22">
        <f t="shared" ref="J16:N16" si="38">SUM(J13+J14+J15)</f>
        <v>0</v>
      </c>
      <c r="K16" s="22">
        <f t="shared" si="38"/>
        <v>0</v>
      </c>
      <c r="L16" s="22">
        <f t="shared" si="38"/>
        <v>960126</v>
      </c>
      <c r="M16" s="22">
        <f t="shared" si="38"/>
        <v>1583486.2000000002</v>
      </c>
      <c r="N16" s="22">
        <f t="shared" si="38"/>
        <v>1780888</v>
      </c>
      <c r="O16" s="22">
        <f>SUM(O13+O14+O15)</f>
        <v>2391184</v>
      </c>
      <c r="P16" s="22">
        <f>SUM(P13+P14+P15)</f>
        <v>2105526.2000000002</v>
      </c>
      <c r="Q16" s="22">
        <f>SUM(Q13+Q14+Q15)</f>
        <v>0</v>
      </c>
      <c r="R16" s="22">
        <f>SUM(R13+R14+R15)</f>
        <v>0</v>
      </c>
      <c r="S16" s="22">
        <f>SUM(S13+S14+S15)</f>
        <v>0</v>
      </c>
      <c r="T16" s="22">
        <f t="shared" ref="T16:CA16" si="39">SUM(T13+T14+T15)</f>
        <v>0</v>
      </c>
      <c r="U16" s="22">
        <f t="shared" si="39"/>
        <v>0</v>
      </c>
      <c r="V16" s="22">
        <f t="shared" si="39"/>
        <v>0</v>
      </c>
      <c r="W16" s="22">
        <f t="shared" si="39"/>
        <v>0</v>
      </c>
      <c r="X16" s="22">
        <f t="shared" si="39"/>
        <v>960126</v>
      </c>
      <c r="Y16" s="22">
        <f t="shared" si="39"/>
        <v>1583486.2000000002</v>
      </c>
      <c r="Z16" s="22">
        <f t="shared" si="39"/>
        <v>1780888</v>
      </c>
      <c r="AA16" s="22">
        <f t="shared" si="39"/>
        <v>2391184</v>
      </c>
      <c r="AB16" s="22">
        <f t="shared" si="39"/>
        <v>2105526.2000000002</v>
      </c>
      <c r="AC16" s="22">
        <f t="shared" si="39"/>
        <v>0</v>
      </c>
      <c r="AD16" s="22">
        <f t="shared" si="39"/>
        <v>0</v>
      </c>
      <c r="AE16" s="22">
        <f t="shared" si="39"/>
        <v>0</v>
      </c>
      <c r="AF16" s="22">
        <f t="shared" si="39"/>
        <v>0</v>
      </c>
      <c r="AG16" s="22">
        <f t="shared" si="39"/>
        <v>0</v>
      </c>
      <c r="AH16" s="22">
        <f t="shared" si="39"/>
        <v>0</v>
      </c>
      <c r="AI16" s="22">
        <f t="shared" si="39"/>
        <v>0</v>
      </c>
      <c r="AJ16" s="22">
        <f t="shared" si="39"/>
        <v>960126</v>
      </c>
      <c r="AK16" s="22">
        <f t="shared" si="39"/>
        <v>1583486.2000000002</v>
      </c>
      <c r="AL16" s="22">
        <f t="shared" si="39"/>
        <v>1780888</v>
      </c>
      <c r="AM16" s="22">
        <f t="shared" si="39"/>
        <v>2391184</v>
      </c>
      <c r="AN16" s="22">
        <f t="shared" si="39"/>
        <v>2105526.2000000002</v>
      </c>
      <c r="AO16" s="22">
        <f t="shared" si="39"/>
        <v>0</v>
      </c>
      <c r="AP16" s="22">
        <f t="shared" si="39"/>
        <v>0</v>
      </c>
      <c r="AQ16" s="22">
        <f t="shared" si="39"/>
        <v>0</v>
      </c>
      <c r="AR16" s="22">
        <f t="shared" si="39"/>
        <v>0</v>
      </c>
      <c r="AS16" s="22">
        <f t="shared" si="39"/>
        <v>0</v>
      </c>
      <c r="AT16" s="22">
        <f t="shared" si="39"/>
        <v>0</v>
      </c>
      <c r="AU16" s="22">
        <f t="shared" si="39"/>
        <v>0</v>
      </c>
      <c r="AV16" s="22">
        <f t="shared" si="39"/>
        <v>960126</v>
      </c>
      <c r="AW16" s="22">
        <f t="shared" si="39"/>
        <v>1583486.2000000002</v>
      </c>
      <c r="AX16" s="22">
        <f t="shared" si="39"/>
        <v>1780888</v>
      </c>
      <c r="AY16" s="22">
        <f t="shared" si="39"/>
        <v>2391184</v>
      </c>
      <c r="AZ16" s="22">
        <f t="shared" si="39"/>
        <v>2105526.2000000002</v>
      </c>
      <c r="BA16" s="22">
        <f t="shared" si="39"/>
        <v>0</v>
      </c>
      <c r="BB16" s="22">
        <f t="shared" si="39"/>
        <v>0</v>
      </c>
      <c r="BC16" s="22">
        <f t="shared" si="39"/>
        <v>0</v>
      </c>
      <c r="BD16" s="22">
        <f t="shared" si="39"/>
        <v>0</v>
      </c>
      <c r="BE16" s="22">
        <f t="shared" si="39"/>
        <v>0</v>
      </c>
      <c r="BF16" s="22">
        <f t="shared" si="39"/>
        <v>0</v>
      </c>
      <c r="BG16" s="22">
        <f t="shared" si="39"/>
        <v>0</v>
      </c>
      <c r="BH16" s="22">
        <f t="shared" si="39"/>
        <v>960126</v>
      </c>
      <c r="BI16" s="22">
        <f t="shared" si="39"/>
        <v>1583486.2000000002</v>
      </c>
      <c r="BJ16" s="22">
        <f t="shared" si="39"/>
        <v>1780888</v>
      </c>
      <c r="BK16" s="22">
        <f t="shared" si="39"/>
        <v>2391184</v>
      </c>
      <c r="BL16" s="22">
        <f t="shared" si="39"/>
        <v>2105526.2000000002</v>
      </c>
      <c r="BM16" s="22">
        <f t="shared" si="39"/>
        <v>0</v>
      </c>
      <c r="BN16" s="22">
        <f t="shared" si="39"/>
        <v>0</v>
      </c>
      <c r="BO16" s="22">
        <f t="shared" si="39"/>
        <v>0</v>
      </c>
      <c r="BP16" s="22">
        <f t="shared" si="39"/>
        <v>0</v>
      </c>
      <c r="BQ16" s="22">
        <f t="shared" si="39"/>
        <v>0</v>
      </c>
      <c r="BR16" s="22">
        <f t="shared" si="39"/>
        <v>0</v>
      </c>
      <c r="BS16" s="22">
        <f t="shared" si="39"/>
        <v>0</v>
      </c>
      <c r="BT16" s="22">
        <f t="shared" si="39"/>
        <v>960126</v>
      </c>
      <c r="BU16" s="22">
        <f t="shared" si="39"/>
        <v>1583486.2000000002</v>
      </c>
      <c r="BV16" s="22">
        <f t="shared" si="39"/>
        <v>1780888</v>
      </c>
      <c r="BW16" s="22">
        <f t="shared" si="39"/>
        <v>2391184</v>
      </c>
      <c r="BX16" s="22">
        <f t="shared" si="39"/>
        <v>2105526.2000000002</v>
      </c>
      <c r="BY16" s="22">
        <f t="shared" si="39"/>
        <v>0</v>
      </c>
      <c r="BZ16" s="22">
        <f t="shared" si="39"/>
        <v>0</v>
      </c>
      <c r="CA16" s="22">
        <f t="shared" si="39"/>
        <v>0</v>
      </c>
      <c r="CB16" s="22">
        <f t="shared" ref="CB16:CD16" si="40">SUM(CB13+CB14+CB15)</f>
        <v>0</v>
      </c>
      <c r="CC16" s="22">
        <f t="shared" si="40"/>
        <v>0</v>
      </c>
      <c r="CD16" s="22">
        <f t="shared" si="40"/>
        <v>0</v>
      </c>
    </row>
    <row r="17" spans="1:83"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</row>
    <row r="18" spans="1:83">
      <c r="B18" s="106" t="s">
        <v>373</v>
      </c>
      <c r="C18" s="29">
        <f t="shared" ref="C18:E18" si="41">+C126*$A$121</f>
        <v>0</v>
      </c>
      <c r="D18" s="29">
        <f t="shared" si="41"/>
        <v>0</v>
      </c>
      <c r="E18" s="29">
        <f t="shared" si="41"/>
        <v>0</v>
      </c>
      <c r="F18" s="29">
        <f t="shared" ref="F18:K20" si="42">+F126*$A$121</f>
        <v>0</v>
      </c>
      <c r="G18" s="29">
        <f t="shared" si="42"/>
        <v>0</v>
      </c>
      <c r="H18" s="29">
        <f>+G126*$A$121</f>
        <v>0</v>
      </c>
      <c r="I18" s="29">
        <f t="shared" ref="I18:K18" si="43">+I126*$A$121</f>
        <v>65537</v>
      </c>
      <c r="J18" s="29">
        <f t="shared" si="43"/>
        <v>65537</v>
      </c>
      <c r="K18" s="29">
        <f t="shared" si="43"/>
        <v>65537</v>
      </c>
      <c r="L18" s="29">
        <f t="shared" ref="L18:N18" si="44">+L126*$A$121</f>
        <v>0</v>
      </c>
      <c r="M18" s="29">
        <f t="shared" si="44"/>
        <v>0</v>
      </c>
      <c r="N18" s="29">
        <f t="shared" si="44"/>
        <v>0</v>
      </c>
      <c r="O18" s="29">
        <f t="shared" ref="O18:S18" si="45">+O126*$A$121</f>
        <v>0</v>
      </c>
      <c r="P18" s="29">
        <f t="shared" si="45"/>
        <v>0</v>
      </c>
      <c r="Q18" s="29">
        <f t="shared" si="45"/>
        <v>168889.57142857142</v>
      </c>
      <c r="R18" s="29">
        <f t="shared" si="45"/>
        <v>168889.57142857142</v>
      </c>
      <c r="S18" s="29">
        <f t="shared" si="45"/>
        <v>168889.57142857142</v>
      </c>
      <c r="T18" s="29">
        <f t="shared" ref="T18:CA18" si="46">+T126*$A$121</f>
        <v>168889.57142857142</v>
      </c>
      <c r="U18" s="29">
        <f t="shared" si="46"/>
        <v>168889.57142857142</v>
      </c>
      <c r="V18" s="29">
        <f t="shared" si="46"/>
        <v>168889.57142857142</v>
      </c>
      <c r="W18" s="29">
        <f t="shared" si="46"/>
        <v>168889.57142857142</v>
      </c>
      <c r="X18" s="29">
        <f t="shared" si="46"/>
        <v>0</v>
      </c>
      <c r="Y18" s="29">
        <f t="shared" si="46"/>
        <v>0</v>
      </c>
      <c r="Z18" s="29">
        <f t="shared" si="46"/>
        <v>0</v>
      </c>
      <c r="AA18" s="29">
        <f t="shared" si="46"/>
        <v>0</v>
      </c>
      <c r="AB18" s="29">
        <f t="shared" si="46"/>
        <v>0</v>
      </c>
      <c r="AC18" s="29">
        <f t="shared" si="46"/>
        <v>168889.57142857142</v>
      </c>
      <c r="AD18" s="29">
        <f t="shared" si="46"/>
        <v>168889.57142857142</v>
      </c>
      <c r="AE18" s="29">
        <f t="shared" si="46"/>
        <v>168889.57142857142</v>
      </c>
      <c r="AF18" s="29">
        <f t="shared" si="46"/>
        <v>168889.57142857142</v>
      </c>
      <c r="AG18" s="29">
        <f t="shared" si="46"/>
        <v>168889.57142857142</v>
      </c>
      <c r="AH18" s="29">
        <f t="shared" si="46"/>
        <v>168889.57142857142</v>
      </c>
      <c r="AI18" s="29">
        <f t="shared" si="46"/>
        <v>168889.57142857142</v>
      </c>
      <c r="AJ18" s="29">
        <f t="shared" si="46"/>
        <v>0</v>
      </c>
      <c r="AK18" s="29">
        <f t="shared" si="46"/>
        <v>0</v>
      </c>
      <c r="AL18" s="29">
        <f t="shared" si="46"/>
        <v>0</v>
      </c>
      <c r="AM18" s="29">
        <f t="shared" si="46"/>
        <v>0</v>
      </c>
      <c r="AN18" s="29">
        <f t="shared" si="46"/>
        <v>0</v>
      </c>
      <c r="AO18" s="29">
        <f t="shared" si="46"/>
        <v>168889.57142857142</v>
      </c>
      <c r="AP18" s="29">
        <f t="shared" si="46"/>
        <v>168889.57142857142</v>
      </c>
      <c r="AQ18" s="29">
        <f t="shared" si="46"/>
        <v>168889.57142857142</v>
      </c>
      <c r="AR18" s="29">
        <f t="shared" si="46"/>
        <v>168889.57142857142</v>
      </c>
      <c r="AS18" s="29">
        <f t="shared" si="46"/>
        <v>168889.57142857142</v>
      </c>
      <c r="AT18" s="29">
        <f t="shared" si="46"/>
        <v>168889.57142857142</v>
      </c>
      <c r="AU18" s="29">
        <f t="shared" si="46"/>
        <v>168889.57142857142</v>
      </c>
      <c r="AV18" s="29">
        <f t="shared" si="46"/>
        <v>0</v>
      </c>
      <c r="AW18" s="29">
        <f t="shared" si="46"/>
        <v>0</v>
      </c>
      <c r="AX18" s="29">
        <f t="shared" si="46"/>
        <v>0</v>
      </c>
      <c r="AY18" s="29">
        <f t="shared" si="46"/>
        <v>0</v>
      </c>
      <c r="AZ18" s="29">
        <f t="shared" si="46"/>
        <v>0</v>
      </c>
      <c r="BA18" s="29">
        <f t="shared" si="46"/>
        <v>168889.57142857142</v>
      </c>
      <c r="BB18" s="29">
        <f t="shared" si="46"/>
        <v>168889.57142857142</v>
      </c>
      <c r="BC18" s="29">
        <f t="shared" si="46"/>
        <v>168889.57142857142</v>
      </c>
      <c r="BD18" s="29">
        <f t="shared" si="46"/>
        <v>168889.57142857142</v>
      </c>
      <c r="BE18" s="29">
        <f t="shared" si="46"/>
        <v>168889.57142857142</v>
      </c>
      <c r="BF18" s="29">
        <f t="shared" si="46"/>
        <v>168889.57142857142</v>
      </c>
      <c r="BG18" s="29">
        <f t="shared" si="46"/>
        <v>168889.57142857142</v>
      </c>
      <c r="BH18" s="29">
        <f t="shared" si="46"/>
        <v>0</v>
      </c>
      <c r="BI18" s="29">
        <f t="shared" si="46"/>
        <v>0</v>
      </c>
      <c r="BJ18" s="29">
        <f t="shared" si="46"/>
        <v>0</v>
      </c>
      <c r="BK18" s="29">
        <f t="shared" si="46"/>
        <v>0</v>
      </c>
      <c r="BL18" s="29">
        <f t="shared" si="46"/>
        <v>0</v>
      </c>
      <c r="BM18" s="29">
        <f t="shared" si="46"/>
        <v>168889.57142857142</v>
      </c>
      <c r="BN18" s="29">
        <f t="shared" si="46"/>
        <v>168889.57142857142</v>
      </c>
      <c r="BO18" s="29">
        <f t="shared" si="46"/>
        <v>168889.57142857142</v>
      </c>
      <c r="BP18" s="29">
        <f t="shared" si="46"/>
        <v>168889.57142857142</v>
      </c>
      <c r="BQ18" s="29">
        <f t="shared" si="46"/>
        <v>168889.57142857142</v>
      </c>
      <c r="BR18" s="29">
        <f t="shared" si="46"/>
        <v>168889.57142857142</v>
      </c>
      <c r="BS18" s="29">
        <f t="shared" si="46"/>
        <v>168889.57142857142</v>
      </c>
      <c r="BT18" s="29">
        <f t="shared" si="46"/>
        <v>0</v>
      </c>
      <c r="BU18" s="29">
        <f t="shared" si="46"/>
        <v>0</v>
      </c>
      <c r="BV18" s="29">
        <f t="shared" si="46"/>
        <v>0</v>
      </c>
      <c r="BW18" s="29">
        <f t="shared" si="46"/>
        <v>0</v>
      </c>
      <c r="BX18" s="29">
        <f t="shared" si="46"/>
        <v>0</v>
      </c>
      <c r="BY18" s="29">
        <f t="shared" si="46"/>
        <v>168889.57142857142</v>
      </c>
      <c r="BZ18" s="29">
        <f t="shared" si="46"/>
        <v>168889.57142857142</v>
      </c>
      <c r="CA18" s="29">
        <f t="shared" si="46"/>
        <v>168889.57142857142</v>
      </c>
      <c r="CB18" s="29">
        <f t="shared" ref="CB18:CD18" si="47">+CB126*$A$121</f>
        <v>168889.57142857142</v>
      </c>
      <c r="CC18" s="29">
        <f t="shared" si="47"/>
        <v>168889.57142857142</v>
      </c>
      <c r="CD18" s="29">
        <f t="shared" si="47"/>
        <v>168889.57142857142</v>
      </c>
    </row>
    <row r="19" spans="1:83">
      <c r="B19" s="106" t="s">
        <v>374</v>
      </c>
      <c r="C19" s="29">
        <f t="shared" ref="C19:E19" si="48">+C127*$A$121</f>
        <v>0</v>
      </c>
      <c r="D19" s="29">
        <f t="shared" si="48"/>
        <v>0</v>
      </c>
      <c r="E19" s="29">
        <f t="shared" si="48"/>
        <v>0</v>
      </c>
      <c r="F19" s="29">
        <f t="shared" si="42"/>
        <v>0</v>
      </c>
      <c r="G19" s="29">
        <f t="shared" si="42"/>
        <v>0</v>
      </c>
      <c r="H19" s="29">
        <f t="shared" si="42"/>
        <v>0</v>
      </c>
      <c r="I19" s="29">
        <f t="shared" si="42"/>
        <v>300000</v>
      </c>
      <c r="J19" s="29">
        <f t="shared" si="42"/>
        <v>300000</v>
      </c>
      <c r="K19" s="29">
        <f t="shared" si="42"/>
        <v>300000</v>
      </c>
      <c r="L19" s="29">
        <f t="shared" ref="L19:N19" si="49">+L127*$A$121</f>
        <v>0</v>
      </c>
      <c r="M19" s="29">
        <f t="shared" si="49"/>
        <v>0</v>
      </c>
      <c r="N19" s="29">
        <f t="shared" si="49"/>
        <v>0</v>
      </c>
      <c r="O19" s="29">
        <f t="shared" ref="O19:P19" si="50">+O127*$A$121</f>
        <v>0</v>
      </c>
      <c r="P19" s="29">
        <f t="shared" si="50"/>
        <v>0</v>
      </c>
      <c r="Q19" s="29">
        <f>+Q127*$A$121</f>
        <v>444432.62857142865</v>
      </c>
      <c r="R19" s="29">
        <f t="shared" ref="R19:CC19" si="51">+R127*$A$121</f>
        <v>444432.62857142865</v>
      </c>
      <c r="S19" s="29">
        <f t="shared" si="51"/>
        <v>444432.62857142865</v>
      </c>
      <c r="T19" s="29">
        <f t="shared" si="51"/>
        <v>444432.62857142865</v>
      </c>
      <c r="U19" s="29">
        <f t="shared" si="51"/>
        <v>444432.62857142865</v>
      </c>
      <c r="V19" s="29">
        <f t="shared" si="51"/>
        <v>444432.62857142865</v>
      </c>
      <c r="W19" s="29">
        <f t="shared" si="51"/>
        <v>444432.62857142865</v>
      </c>
      <c r="X19" s="29">
        <f t="shared" si="51"/>
        <v>0</v>
      </c>
      <c r="Y19" s="29">
        <f t="shared" si="51"/>
        <v>0</v>
      </c>
      <c r="Z19" s="29">
        <f t="shared" si="51"/>
        <v>0</v>
      </c>
      <c r="AA19" s="29">
        <f t="shared" si="51"/>
        <v>0</v>
      </c>
      <c r="AB19" s="29">
        <f t="shared" si="51"/>
        <v>0</v>
      </c>
      <c r="AC19" s="29">
        <f t="shared" si="51"/>
        <v>444432.62857142865</v>
      </c>
      <c r="AD19" s="29">
        <f t="shared" si="51"/>
        <v>444432.62857142865</v>
      </c>
      <c r="AE19" s="29">
        <f t="shared" si="51"/>
        <v>444432.62857142865</v>
      </c>
      <c r="AF19" s="29">
        <f t="shared" si="51"/>
        <v>444432.62857142865</v>
      </c>
      <c r="AG19" s="29">
        <f t="shared" si="51"/>
        <v>444432.62857142865</v>
      </c>
      <c r="AH19" s="29">
        <f t="shared" si="51"/>
        <v>444432.62857142865</v>
      </c>
      <c r="AI19" s="29">
        <f t="shared" si="51"/>
        <v>444432.62857142865</v>
      </c>
      <c r="AJ19" s="29">
        <f t="shared" si="51"/>
        <v>0</v>
      </c>
      <c r="AK19" s="29">
        <f t="shared" si="51"/>
        <v>0</v>
      </c>
      <c r="AL19" s="29">
        <f t="shared" si="51"/>
        <v>0</v>
      </c>
      <c r="AM19" s="29">
        <f t="shared" si="51"/>
        <v>0</v>
      </c>
      <c r="AN19" s="29">
        <f t="shared" si="51"/>
        <v>0</v>
      </c>
      <c r="AO19" s="29">
        <f t="shared" si="51"/>
        <v>444432.62857142865</v>
      </c>
      <c r="AP19" s="29">
        <f t="shared" si="51"/>
        <v>444432.62857142865</v>
      </c>
      <c r="AQ19" s="29">
        <f t="shared" si="51"/>
        <v>444432.62857142865</v>
      </c>
      <c r="AR19" s="29">
        <f t="shared" si="51"/>
        <v>444432.62857142865</v>
      </c>
      <c r="AS19" s="29">
        <f t="shared" si="51"/>
        <v>444432.62857142865</v>
      </c>
      <c r="AT19" s="29">
        <f t="shared" si="51"/>
        <v>444432.62857142865</v>
      </c>
      <c r="AU19" s="29">
        <f t="shared" si="51"/>
        <v>444432.62857142865</v>
      </c>
      <c r="AV19" s="29">
        <f t="shared" si="51"/>
        <v>0</v>
      </c>
      <c r="AW19" s="29">
        <f t="shared" si="51"/>
        <v>0</v>
      </c>
      <c r="AX19" s="29">
        <f t="shared" si="51"/>
        <v>0</v>
      </c>
      <c r="AY19" s="29">
        <f t="shared" si="51"/>
        <v>0</v>
      </c>
      <c r="AZ19" s="29">
        <f t="shared" si="51"/>
        <v>0</v>
      </c>
      <c r="BA19" s="29">
        <f t="shared" si="51"/>
        <v>444432.62857142865</v>
      </c>
      <c r="BB19" s="29">
        <f t="shared" si="51"/>
        <v>444432.62857142865</v>
      </c>
      <c r="BC19" s="29">
        <f t="shared" si="51"/>
        <v>444432.62857142865</v>
      </c>
      <c r="BD19" s="29">
        <f t="shared" si="51"/>
        <v>444432.62857142865</v>
      </c>
      <c r="BE19" s="29">
        <f t="shared" si="51"/>
        <v>444432.62857142865</v>
      </c>
      <c r="BF19" s="29">
        <f t="shared" si="51"/>
        <v>444432.62857142865</v>
      </c>
      <c r="BG19" s="29">
        <f t="shared" si="51"/>
        <v>444432.62857142865</v>
      </c>
      <c r="BH19" s="29">
        <f t="shared" si="51"/>
        <v>0</v>
      </c>
      <c r="BI19" s="29">
        <f t="shared" si="51"/>
        <v>0</v>
      </c>
      <c r="BJ19" s="29">
        <f t="shared" si="51"/>
        <v>0</v>
      </c>
      <c r="BK19" s="29">
        <f t="shared" si="51"/>
        <v>0</v>
      </c>
      <c r="BL19" s="29">
        <f t="shared" si="51"/>
        <v>0</v>
      </c>
      <c r="BM19" s="29">
        <f t="shared" si="51"/>
        <v>444432.62857142865</v>
      </c>
      <c r="BN19" s="29">
        <f t="shared" si="51"/>
        <v>444432.62857142865</v>
      </c>
      <c r="BO19" s="29">
        <f t="shared" si="51"/>
        <v>444432.62857142865</v>
      </c>
      <c r="BP19" s="29">
        <f t="shared" si="51"/>
        <v>444432.62857142865</v>
      </c>
      <c r="BQ19" s="29">
        <f t="shared" si="51"/>
        <v>444432.62857142865</v>
      </c>
      <c r="BR19" s="29">
        <f t="shared" si="51"/>
        <v>444432.62857142865</v>
      </c>
      <c r="BS19" s="29">
        <f t="shared" si="51"/>
        <v>444432.62857142865</v>
      </c>
      <c r="BT19" s="29">
        <f t="shared" si="51"/>
        <v>0</v>
      </c>
      <c r="BU19" s="29">
        <f t="shared" si="51"/>
        <v>0</v>
      </c>
      <c r="BV19" s="29">
        <f t="shared" si="51"/>
        <v>0</v>
      </c>
      <c r="BW19" s="29">
        <f t="shared" si="51"/>
        <v>0</v>
      </c>
      <c r="BX19" s="29">
        <f t="shared" si="51"/>
        <v>0</v>
      </c>
      <c r="BY19" s="29">
        <f t="shared" si="51"/>
        <v>444432.62857142865</v>
      </c>
      <c r="BZ19" s="29">
        <f t="shared" si="51"/>
        <v>444432.62857142865</v>
      </c>
      <c r="CA19" s="29">
        <f t="shared" si="51"/>
        <v>444432.62857142865</v>
      </c>
      <c r="CB19" s="29">
        <f t="shared" si="51"/>
        <v>444432.62857142865</v>
      </c>
      <c r="CC19" s="29">
        <f t="shared" si="51"/>
        <v>444432.62857142865</v>
      </c>
      <c r="CD19" s="29">
        <f t="shared" ref="CD19" si="52">+CD127*$A$121</f>
        <v>444432.62857142865</v>
      </c>
      <c r="CE19" s="29"/>
    </row>
    <row r="20" spans="1:83">
      <c r="B20" s="106" t="s">
        <v>375</v>
      </c>
      <c r="C20" s="29">
        <f t="shared" ref="C20:E20" si="53">+C128*$A$121</f>
        <v>0</v>
      </c>
      <c r="D20" s="29">
        <f t="shared" si="53"/>
        <v>0</v>
      </c>
      <c r="E20" s="29">
        <f t="shared" si="53"/>
        <v>0</v>
      </c>
      <c r="F20" s="29">
        <f t="shared" si="42"/>
        <v>0</v>
      </c>
      <c r="G20" s="29">
        <f t="shared" si="42"/>
        <v>0</v>
      </c>
      <c r="H20" s="29">
        <f t="shared" si="42"/>
        <v>0</v>
      </c>
      <c r="I20" s="29">
        <f t="shared" si="42"/>
        <v>237453</v>
      </c>
      <c r="J20" s="29">
        <f t="shared" si="42"/>
        <v>237453</v>
      </c>
      <c r="K20" s="29">
        <f t="shared" si="42"/>
        <v>237453</v>
      </c>
      <c r="L20" s="29">
        <f t="shared" ref="L20:N20" si="54">+L128*$A$121</f>
        <v>0</v>
      </c>
      <c r="M20" s="29">
        <f t="shared" si="54"/>
        <v>0</v>
      </c>
      <c r="N20" s="29">
        <f t="shared" si="54"/>
        <v>0</v>
      </c>
      <c r="O20" s="29">
        <f t="shared" ref="O20:S20" si="55">+O128*$A$121</f>
        <v>0</v>
      </c>
      <c r="P20" s="29">
        <f t="shared" si="55"/>
        <v>0</v>
      </c>
      <c r="Q20" s="29">
        <f t="shared" si="55"/>
        <v>646850.71428571432</v>
      </c>
      <c r="R20" s="29">
        <f t="shared" si="55"/>
        <v>646850.71428571432</v>
      </c>
      <c r="S20" s="29">
        <f t="shared" si="55"/>
        <v>646850.71428571432</v>
      </c>
      <c r="T20" s="29">
        <f t="shared" ref="T20:CA20" si="56">+T128*$A$121</f>
        <v>646850.71428571432</v>
      </c>
      <c r="U20" s="29">
        <f t="shared" si="56"/>
        <v>646850.71428571432</v>
      </c>
      <c r="V20" s="29">
        <f t="shared" si="56"/>
        <v>646850.71428571432</v>
      </c>
      <c r="W20" s="29">
        <f t="shared" si="56"/>
        <v>646850.71428571432</v>
      </c>
      <c r="X20" s="29">
        <f t="shared" si="56"/>
        <v>0</v>
      </c>
      <c r="Y20" s="29">
        <f t="shared" si="56"/>
        <v>0</v>
      </c>
      <c r="Z20" s="29">
        <f t="shared" si="56"/>
        <v>0</v>
      </c>
      <c r="AA20" s="29">
        <f t="shared" si="56"/>
        <v>0</v>
      </c>
      <c r="AB20" s="29">
        <f t="shared" si="56"/>
        <v>0</v>
      </c>
      <c r="AC20" s="29">
        <f t="shared" si="56"/>
        <v>646850.71428571432</v>
      </c>
      <c r="AD20" s="29">
        <f t="shared" si="56"/>
        <v>646850.71428571432</v>
      </c>
      <c r="AE20" s="29">
        <f t="shared" si="56"/>
        <v>646850.71428571432</v>
      </c>
      <c r="AF20" s="29">
        <f t="shared" si="56"/>
        <v>646850.71428571432</v>
      </c>
      <c r="AG20" s="29">
        <f t="shared" si="56"/>
        <v>646850.71428571432</v>
      </c>
      <c r="AH20" s="29">
        <f t="shared" si="56"/>
        <v>646850.71428571432</v>
      </c>
      <c r="AI20" s="29">
        <f t="shared" si="56"/>
        <v>646850.71428571432</v>
      </c>
      <c r="AJ20" s="29">
        <f t="shared" si="56"/>
        <v>0</v>
      </c>
      <c r="AK20" s="29">
        <f t="shared" si="56"/>
        <v>0</v>
      </c>
      <c r="AL20" s="29">
        <f t="shared" si="56"/>
        <v>0</v>
      </c>
      <c r="AM20" s="29">
        <f t="shared" si="56"/>
        <v>0</v>
      </c>
      <c r="AN20" s="29">
        <f t="shared" si="56"/>
        <v>0</v>
      </c>
      <c r="AO20" s="29">
        <f t="shared" si="56"/>
        <v>646850.71428571432</v>
      </c>
      <c r="AP20" s="29">
        <f t="shared" si="56"/>
        <v>646850.71428571432</v>
      </c>
      <c r="AQ20" s="29">
        <f t="shared" si="56"/>
        <v>646850.71428571432</v>
      </c>
      <c r="AR20" s="29">
        <f t="shared" si="56"/>
        <v>646850.71428571432</v>
      </c>
      <c r="AS20" s="29">
        <f t="shared" si="56"/>
        <v>646850.71428571432</v>
      </c>
      <c r="AT20" s="29">
        <f t="shared" si="56"/>
        <v>646850.71428571432</v>
      </c>
      <c r="AU20" s="29">
        <f t="shared" si="56"/>
        <v>646850.71428571432</v>
      </c>
      <c r="AV20" s="29">
        <f t="shared" si="56"/>
        <v>0</v>
      </c>
      <c r="AW20" s="29">
        <f t="shared" si="56"/>
        <v>0</v>
      </c>
      <c r="AX20" s="29">
        <f t="shared" si="56"/>
        <v>0</v>
      </c>
      <c r="AY20" s="29">
        <f t="shared" si="56"/>
        <v>0</v>
      </c>
      <c r="AZ20" s="29">
        <f t="shared" si="56"/>
        <v>0</v>
      </c>
      <c r="BA20" s="29">
        <f t="shared" si="56"/>
        <v>646850.71428571432</v>
      </c>
      <c r="BB20" s="29">
        <f t="shared" si="56"/>
        <v>646850.71428571432</v>
      </c>
      <c r="BC20" s="29">
        <f t="shared" si="56"/>
        <v>646850.71428571432</v>
      </c>
      <c r="BD20" s="29">
        <f t="shared" si="56"/>
        <v>646850.71428571432</v>
      </c>
      <c r="BE20" s="29">
        <f t="shared" si="56"/>
        <v>646850.71428571432</v>
      </c>
      <c r="BF20" s="29">
        <f t="shared" si="56"/>
        <v>646850.71428571432</v>
      </c>
      <c r="BG20" s="29">
        <f t="shared" si="56"/>
        <v>646850.71428571432</v>
      </c>
      <c r="BH20" s="29">
        <f t="shared" si="56"/>
        <v>0</v>
      </c>
      <c r="BI20" s="29">
        <f t="shared" si="56"/>
        <v>0</v>
      </c>
      <c r="BJ20" s="29">
        <f t="shared" si="56"/>
        <v>0</v>
      </c>
      <c r="BK20" s="29">
        <f t="shared" si="56"/>
        <v>0</v>
      </c>
      <c r="BL20" s="29">
        <f t="shared" si="56"/>
        <v>0</v>
      </c>
      <c r="BM20" s="29">
        <f t="shared" si="56"/>
        <v>646850.71428571432</v>
      </c>
      <c r="BN20" s="29">
        <f t="shared" si="56"/>
        <v>646850.71428571432</v>
      </c>
      <c r="BO20" s="29">
        <f t="shared" si="56"/>
        <v>646850.71428571432</v>
      </c>
      <c r="BP20" s="29">
        <f t="shared" si="56"/>
        <v>646850.71428571432</v>
      </c>
      <c r="BQ20" s="29">
        <f t="shared" si="56"/>
        <v>646850.71428571432</v>
      </c>
      <c r="BR20" s="29">
        <f t="shared" si="56"/>
        <v>646850.71428571432</v>
      </c>
      <c r="BS20" s="29">
        <f t="shared" si="56"/>
        <v>646850.71428571432</v>
      </c>
      <c r="BT20" s="29">
        <f t="shared" si="56"/>
        <v>0</v>
      </c>
      <c r="BU20" s="29">
        <f t="shared" si="56"/>
        <v>0</v>
      </c>
      <c r="BV20" s="29">
        <f t="shared" si="56"/>
        <v>0</v>
      </c>
      <c r="BW20" s="29">
        <f t="shared" si="56"/>
        <v>0</v>
      </c>
      <c r="BX20" s="29">
        <f t="shared" si="56"/>
        <v>0</v>
      </c>
      <c r="BY20" s="29">
        <f t="shared" si="56"/>
        <v>646850.71428571432</v>
      </c>
      <c r="BZ20" s="29">
        <f t="shared" si="56"/>
        <v>646850.71428571432</v>
      </c>
      <c r="CA20" s="29">
        <f t="shared" si="56"/>
        <v>646850.71428571432</v>
      </c>
      <c r="CB20" s="29">
        <f t="shared" ref="CB20:CD20" si="57">+CB128*$A$121</f>
        <v>646850.71428571432</v>
      </c>
      <c r="CC20" s="29">
        <f t="shared" si="57"/>
        <v>646850.71428571432</v>
      </c>
      <c r="CD20" s="29">
        <f t="shared" si="57"/>
        <v>646850.71428571432</v>
      </c>
    </row>
    <row r="21" spans="1:83">
      <c r="B21" s="106" t="s">
        <v>376</v>
      </c>
      <c r="C21" s="22">
        <f t="shared" ref="C21:G21" si="58">C18+C19+C20</f>
        <v>0</v>
      </c>
      <c r="D21" s="22">
        <f t="shared" si="58"/>
        <v>0</v>
      </c>
      <c r="E21" s="22">
        <f t="shared" si="58"/>
        <v>0</v>
      </c>
      <c r="F21" s="22">
        <f t="shared" si="58"/>
        <v>0</v>
      </c>
      <c r="G21" s="22">
        <f t="shared" si="58"/>
        <v>0</v>
      </c>
      <c r="H21" s="29">
        <f t="shared" ref="H21:M21" si="59">H18+H19+H20</f>
        <v>0</v>
      </c>
      <c r="I21" s="22">
        <f t="shared" si="59"/>
        <v>602990</v>
      </c>
      <c r="J21" s="22">
        <f t="shared" si="59"/>
        <v>602990</v>
      </c>
      <c r="K21" s="22">
        <f t="shared" si="59"/>
        <v>602990</v>
      </c>
      <c r="L21" s="22">
        <f t="shared" si="59"/>
        <v>0</v>
      </c>
      <c r="M21" s="22">
        <f t="shared" si="59"/>
        <v>0</v>
      </c>
      <c r="N21" s="22">
        <f>N18+N19+N20</f>
        <v>0</v>
      </c>
      <c r="O21" s="22">
        <f t="shared" ref="O21:S21" si="60">O18+O19+O20</f>
        <v>0</v>
      </c>
      <c r="P21" s="22">
        <f t="shared" si="60"/>
        <v>0</v>
      </c>
      <c r="Q21" s="22">
        <f t="shared" si="60"/>
        <v>1260172.9142857143</v>
      </c>
      <c r="R21" s="22">
        <f t="shared" si="60"/>
        <v>1260172.9142857143</v>
      </c>
      <c r="S21" s="22">
        <f t="shared" si="60"/>
        <v>1260172.9142857143</v>
      </c>
      <c r="T21" s="22">
        <f t="shared" ref="T21" si="61">T18+T19+T20</f>
        <v>1260172.9142857143</v>
      </c>
      <c r="U21" s="22">
        <f t="shared" ref="U21" si="62">U18+U19+U20</f>
        <v>1260172.9142857143</v>
      </c>
      <c r="V21" s="22">
        <f t="shared" ref="V21" si="63">V18+V19+V20</f>
        <v>1260172.9142857143</v>
      </c>
      <c r="W21" s="22">
        <f t="shared" ref="W21" si="64">W18+W19+W20</f>
        <v>1260172.9142857143</v>
      </c>
      <c r="X21" s="22">
        <f t="shared" ref="X21" si="65">X18+X19+X20</f>
        <v>0</v>
      </c>
      <c r="Y21" s="22">
        <f t="shared" ref="Y21" si="66">Y18+Y19+Y20</f>
        <v>0</v>
      </c>
      <c r="Z21" s="22">
        <f t="shared" ref="Z21" si="67">Z18+Z19+Z20</f>
        <v>0</v>
      </c>
      <c r="AA21" s="22">
        <f t="shared" ref="AA21" si="68">AA18+AA19+AA20</f>
        <v>0</v>
      </c>
      <c r="AB21" s="22">
        <f t="shared" ref="AB21" si="69">AB18+AB19+AB20</f>
        <v>0</v>
      </c>
      <c r="AC21" s="22">
        <f t="shared" ref="AC21" si="70">AC18+AC19+AC20</f>
        <v>1260172.9142857143</v>
      </c>
      <c r="AD21" s="22">
        <f t="shared" ref="AD21" si="71">AD18+AD19+AD20</f>
        <v>1260172.9142857143</v>
      </c>
      <c r="AE21" s="22">
        <f t="shared" ref="AE21" si="72">AE18+AE19+AE20</f>
        <v>1260172.9142857143</v>
      </c>
      <c r="AF21" s="22">
        <f t="shared" ref="AF21" si="73">AF18+AF19+AF20</f>
        <v>1260172.9142857143</v>
      </c>
      <c r="AG21" s="22">
        <f t="shared" ref="AG21" si="74">AG18+AG19+AG20</f>
        <v>1260172.9142857143</v>
      </c>
      <c r="AH21" s="22">
        <f t="shared" ref="AH21" si="75">AH18+AH19+AH20</f>
        <v>1260172.9142857143</v>
      </c>
      <c r="AI21" s="22">
        <f t="shared" ref="AI21" si="76">AI18+AI19+AI20</f>
        <v>1260172.9142857143</v>
      </c>
      <c r="AJ21" s="22">
        <f t="shared" ref="AJ21" si="77">AJ18+AJ19+AJ20</f>
        <v>0</v>
      </c>
      <c r="AK21" s="22">
        <f t="shared" ref="AK21" si="78">AK18+AK19+AK20</f>
        <v>0</v>
      </c>
      <c r="AL21" s="22">
        <f t="shared" ref="AL21" si="79">AL18+AL19+AL20</f>
        <v>0</v>
      </c>
      <c r="AM21" s="22">
        <f t="shared" ref="AM21" si="80">AM18+AM19+AM20</f>
        <v>0</v>
      </c>
      <c r="AN21" s="22">
        <f t="shared" ref="AN21" si="81">AN18+AN19+AN20</f>
        <v>0</v>
      </c>
      <c r="AO21" s="22">
        <f t="shared" ref="AO21" si="82">AO18+AO19+AO20</f>
        <v>1260172.9142857143</v>
      </c>
      <c r="AP21" s="22">
        <f t="shared" ref="AP21" si="83">AP18+AP19+AP20</f>
        <v>1260172.9142857143</v>
      </c>
      <c r="AQ21" s="22">
        <f t="shared" ref="AQ21" si="84">AQ18+AQ19+AQ20</f>
        <v>1260172.9142857143</v>
      </c>
      <c r="AR21" s="22">
        <f t="shared" ref="AR21" si="85">AR18+AR19+AR20</f>
        <v>1260172.9142857143</v>
      </c>
      <c r="AS21" s="22">
        <f t="shared" ref="AS21" si="86">AS18+AS19+AS20</f>
        <v>1260172.9142857143</v>
      </c>
      <c r="AT21" s="22">
        <f t="shared" ref="AT21" si="87">AT18+AT19+AT20</f>
        <v>1260172.9142857143</v>
      </c>
      <c r="AU21" s="22">
        <f t="shared" ref="AU21" si="88">AU18+AU19+AU20</f>
        <v>1260172.9142857143</v>
      </c>
      <c r="AV21" s="22">
        <f t="shared" ref="AV21" si="89">AV18+AV19+AV20</f>
        <v>0</v>
      </c>
      <c r="AW21" s="22">
        <f t="shared" ref="AW21" si="90">AW18+AW19+AW20</f>
        <v>0</v>
      </c>
      <c r="AX21" s="22">
        <f t="shared" ref="AX21" si="91">AX18+AX19+AX20</f>
        <v>0</v>
      </c>
      <c r="AY21" s="22">
        <f t="shared" ref="AY21" si="92">AY18+AY19+AY20</f>
        <v>0</v>
      </c>
      <c r="AZ21" s="22">
        <f t="shared" ref="AZ21" si="93">AZ18+AZ19+AZ20</f>
        <v>0</v>
      </c>
      <c r="BA21" s="22">
        <f t="shared" ref="BA21" si="94">BA18+BA19+BA20</f>
        <v>1260172.9142857143</v>
      </c>
      <c r="BB21" s="22">
        <f t="shared" ref="BB21" si="95">BB18+BB19+BB20</f>
        <v>1260172.9142857143</v>
      </c>
      <c r="BC21" s="22">
        <f t="shared" ref="BC21" si="96">BC18+BC19+BC20</f>
        <v>1260172.9142857143</v>
      </c>
      <c r="BD21" s="22">
        <f t="shared" ref="BD21" si="97">BD18+BD19+BD20</f>
        <v>1260172.9142857143</v>
      </c>
      <c r="BE21" s="22">
        <f t="shared" ref="BE21" si="98">BE18+BE19+BE20</f>
        <v>1260172.9142857143</v>
      </c>
      <c r="BF21" s="22">
        <f t="shared" ref="BF21" si="99">BF18+BF19+BF20</f>
        <v>1260172.9142857143</v>
      </c>
      <c r="BG21" s="22">
        <f t="shared" ref="BG21" si="100">BG18+BG19+BG20</f>
        <v>1260172.9142857143</v>
      </c>
      <c r="BH21" s="22">
        <f t="shared" ref="BH21" si="101">BH18+BH19+BH20</f>
        <v>0</v>
      </c>
      <c r="BI21" s="22">
        <f t="shared" ref="BI21" si="102">BI18+BI19+BI20</f>
        <v>0</v>
      </c>
      <c r="BJ21" s="22">
        <f t="shared" ref="BJ21" si="103">BJ18+BJ19+BJ20</f>
        <v>0</v>
      </c>
      <c r="BK21" s="22">
        <f t="shared" ref="BK21" si="104">BK18+BK19+BK20</f>
        <v>0</v>
      </c>
      <c r="BL21" s="22">
        <f t="shared" ref="BL21" si="105">BL18+BL19+BL20</f>
        <v>0</v>
      </c>
      <c r="BM21" s="22">
        <f t="shared" ref="BM21" si="106">BM18+BM19+BM20</f>
        <v>1260172.9142857143</v>
      </c>
      <c r="BN21" s="22">
        <f t="shared" ref="BN21" si="107">BN18+BN19+BN20</f>
        <v>1260172.9142857143</v>
      </c>
      <c r="BO21" s="22">
        <f t="shared" ref="BO21" si="108">BO18+BO19+BO20</f>
        <v>1260172.9142857143</v>
      </c>
      <c r="BP21" s="22">
        <f t="shared" ref="BP21" si="109">BP18+BP19+BP20</f>
        <v>1260172.9142857143</v>
      </c>
      <c r="BQ21" s="22">
        <f t="shared" ref="BQ21" si="110">BQ18+BQ19+BQ20</f>
        <v>1260172.9142857143</v>
      </c>
      <c r="BR21" s="22">
        <f t="shared" ref="BR21" si="111">BR18+BR19+BR20</f>
        <v>1260172.9142857143</v>
      </c>
      <c r="BS21" s="22">
        <f t="shared" ref="BS21" si="112">BS18+BS19+BS20</f>
        <v>1260172.9142857143</v>
      </c>
      <c r="BT21" s="22">
        <f t="shared" ref="BT21" si="113">BT18+BT19+BT20</f>
        <v>0</v>
      </c>
      <c r="BU21" s="22">
        <f t="shared" ref="BU21" si="114">BU18+BU19+BU20</f>
        <v>0</v>
      </c>
      <c r="BV21" s="22">
        <f t="shared" ref="BV21" si="115">BV18+BV19+BV20</f>
        <v>0</v>
      </c>
      <c r="BW21" s="22">
        <f t="shared" ref="BW21" si="116">BW18+BW19+BW20</f>
        <v>0</v>
      </c>
      <c r="BX21" s="22">
        <f t="shared" ref="BX21" si="117">BX18+BX19+BX20</f>
        <v>0</v>
      </c>
      <c r="BY21" s="22">
        <f t="shared" ref="BY21" si="118">BY18+BY19+BY20</f>
        <v>1260172.9142857143</v>
      </c>
      <c r="BZ21" s="22">
        <f t="shared" ref="BZ21" si="119">BZ18+BZ19+BZ20</f>
        <v>1260172.9142857143</v>
      </c>
      <c r="CA21" s="22">
        <f t="shared" ref="CA21:CD21" si="120">CA18+CA19+CA20</f>
        <v>1260172.9142857143</v>
      </c>
      <c r="CB21" s="22">
        <f t="shared" si="120"/>
        <v>1260172.9142857143</v>
      </c>
      <c r="CC21" s="22">
        <f t="shared" si="120"/>
        <v>1260172.9142857143</v>
      </c>
      <c r="CD21" s="22">
        <f t="shared" si="120"/>
        <v>1260172.9142857143</v>
      </c>
    </row>
    <row r="22" spans="1:83"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</row>
    <row r="23" spans="1:83">
      <c r="A23" s="106" t="s">
        <v>377</v>
      </c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CB23" s="107"/>
      <c r="CC23" s="107"/>
      <c r="CD23" s="107"/>
    </row>
    <row r="24" spans="1:83">
      <c r="B24" s="106" t="s">
        <v>378</v>
      </c>
      <c r="C24" s="107">
        <v>1139.6633333333332</v>
      </c>
      <c r="D24" s="107">
        <f>C24</f>
        <v>1139.6633333333332</v>
      </c>
      <c r="E24" s="107">
        <f t="shared" ref="E24:BP24" si="121">D24</f>
        <v>1139.6633333333332</v>
      </c>
      <c r="F24" s="107">
        <f t="shared" si="121"/>
        <v>1139.6633333333332</v>
      </c>
      <c r="G24" s="107">
        <f t="shared" si="121"/>
        <v>1139.6633333333332</v>
      </c>
      <c r="H24" s="107">
        <f t="shared" si="121"/>
        <v>1139.6633333333332</v>
      </c>
      <c r="I24" s="107">
        <f t="shared" si="121"/>
        <v>1139.6633333333332</v>
      </c>
      <c r="J24" s="107">
        <f t="shared" si="121"/>
        <v>1139.6633333333332</v>
      </c>
      <c r="K24" s="107">
        <f t="shared" si="121"/>
        <v>1139.6633333333332</v>
      </c>
      <c r="L24" s="107">
        <f t="shared" si="121"/>
        <v>1139.6633333333332</v>
      </c>
      <c r="M24" s="107">
        <f t="shared" si="121"/>
        <v>1139.6633333333332</v>
      </c>
      <c r="N24" s="107">
        <f t="shared" si="121"/>
        <v>1139.6633333333332</v>
      </c>
      <c r="O24" s="107">
        <f t="shared" si="121"/>
        <v>1139.6633333333332</v>
      </c>
      <c r="P24" s="107">
        <f t="shared" si="121"/>
        <v>1139.6633333333332</v>
      </c>
      <c r="Q24" s="107">
        <f t="shared" si="121"/>
        <v>1139.6633333333332</v>
      </c>
      <c r="R24" s="107">
        <f t="shared" si="121"/>
        <v>1139.6633333333332</v>
      </c>
      <c r="S24" s="107">
        <f t="shared" si="121"/>
        <v>1139.6633333333332</v>
      </c>
      <c r="T24" s="107">
        <f t="shared" si="121"/>
        <v>1139.6633333333332</v>
      </c>
      <c r="U24" s="107">
        <f t="shared" si="121"/>
        <v>1139.6633333333332</v>
      </c>
      <c r="V24" s="107">
        <f t="shared" si="121"/>
        <v>1139.6633333333332</v>
      </c>
      <c r="W24" s="107">
        <f t="shared" si="121"/>
        <v>1139.6633333333332</v>
      </c>
      <c r="X24" s="107">
        <f t="shared" si="121"/>
        <v>1139.6633333333332</v>
      </c>
      <c r="Y24" s="107">
        <f t="shared" si="121"/>
        <v>1139.6633333333332</v>
      </c>
      <c r="Z24" s="107">
        <f t="shared" si="121"/>
        <v>1139.6633333333332</v>
      </c>
      <c r="AA24" s="107">
        <f t="shared" si="121"/>
        <v>1139.6633333333332</v>
      </c>
      <c r="AB24" s="107">
        <f t="shared" si="121"/>
        <v>1139.6633333333332</v>
      </c>
      <c r="AC24" s="107">
        <f t="shared" si="121"/>
        <v>1139.6633333333332</v>
      </c>
      <c r="AD24" s="107">
        <f t="shared" si="121"/>
        <v>1139.6633333333332</v>
      </c>
      <c r="AE24" s="107">
        <f t="shared" si="121"/>
        <v>1139.6633333333332</v>
      </c>
      <c r="AF24" s="107">
        <f t="shared" si="121"/>
        <v>1139.6633333333332</v>
      </c>
      <c r="AG24" s="107">
        <f t="shared" si="121"/>
        <v>1139.6633333333332</v>
      </c>
      <c r="AH24" s="107">
        <f t="shared" si="121"/>
        <v>1139.6633333333332</v>
      </c>
      <c r="AI24" s="107">
        <f t="shared" si="121"/>
        <v>1139.6633333333332</v>
      </c>
      <c r="AJ24" s="107">
        <f t="shared" si="121"/>
        <v>1139.6633333333332</v>
      </c>
      <c r="AK24" s="107">
        <f t="shared" si="121"/>
        <v>1139.6633333333332</v>
      </c>
      <c r="AL24" s="107">
        <f t="shared" si="121"/>
        <v>1139.6633333333332</v>
      </c>
      <c r="AM24" s="107">
        <f t="shared" si="121"/>
        <v>1139.6633333333332</v>
      </c>
      <c r="AN24" s="107">
        <f t="shared" si="121"/>
        <v>1139.6633333333332</v>
      </c>
      <c r="AO24" s="107">
        <f t="shared" si="121"/>
        <v>1139.6633333333332</v>
      </c>
      <c r="AP24" s="107">
        <f t="shared" si="121"/>
        <v>1139.6633333333332</v>
      </c>
      <c r="AQ24" s="107">
        <f t="shared" si="121"/>
        <v>1139.6633333333332</v>
      </c>
      <c r="AR24" s="107">
        <f t="shared" si="121"/>
        <v>1139.6633333333332</v>
      </c>
      <c r="AS24" s="107">
        <f t="shared" si="121"/>
        <v>1139.6633333333332</v>
      </c>
      <c r="AT24" s="107">
        <f t="shared" si="121"/>
        <v>1139.6633333333332</v>
      </c>
      <c r="AU24" s="107">
        <f t="shared" si="121"/>
        <v>1139.6633333333332</v>
      </c>
      <c r="AV24" s="107">
        <f t="shared" si="121"/>
        <v>1139.6633333333332</v>
      </c>
      <c r="AW24" s="107">
        <f t="shared" si="121"/>
        <v>1139.6633333333332</v>
      </c>
      <c r="AX24" s="107">
        <f t="shared" si="121"/>
        <v>1139.6633333333332</v>
      </c>
      <c r="AY24" s="107">
        <f t="shared" si="121"/>
        <v>1139.6633333333332</v>
      </c>
      <c r="AZ24" s="107">
        <f t="shared" si="121"/>
        <v>1139.6633333333332</v>
      </c>
      <c r="BA24" s="107">
        <f t="shared" si="121"/>
        <v>1139.6633333333332</v>
      </c>
      <c r="BB24" s="107">
        <f t="shared" si="121"/>
        <v>1139.6633333333332</v>
      </c>
      <c r="BC24" s="107">
        <f t="shared" si="121"/>
        <v>1139.6633333333332</v>
      </c>
      <c r="BD24" s="107">
        <f t="shared" si="121"/>
        <v>1139.6633333333332</v>
      </c>
      <c r="BE24" s="107">
        <f t="shared" si="121"/>
        <v>1139.6633333333332</v>
      </c>
      <c r="BF24" s="107">
        <f t="shared" si="121"/>
        <v>1139.6633333333332</v>
      </c>
      <c r="BG24" s="107">
        <f t="shared" si="121"/>
        <v>1139.6633333333332</v>
      </c>
      <c r="BH24" s="107">
        <f t="shared" si="121"/>
        <v>1139.6633333333332</v>
      </c>
      <c r="BI24" s="107">
        <f t="shared" si="121"/>
        <v>1139.6633333333332</v>
      </c>
      <c r="BJ24" s="107">
        <f t="shared" si="121"/>
        <v>1139.6633333333332</v>
      </c>
      <c r="BK24" s="107">
        <f t="shared" si="121"/>
        <v>1139.6633333333332</v>
      </c>
      <c r="BL24" s="107">
        <f t="shared" si="121"/>
        <v>1139.6633333333332</v>
      </c>
      <c r="BM24" s="107">
        <f t="shared" si="121"/>
        <v>1139.6633333333332</v>
      </c>
      <c r="BN24" s="107">
        <f t="shared" si="121"/>
        <v>1139.6633333333332</v>
      </c>
      <c r="BO24" s="107">
        <f t="shared" si="121"/>
        <v>1139.6633333333332</v>
      </c>
      <c r="BP24" s="107">
        <f t="shared" si="121"/>
        <v>1139.6633333333332</v>
      </c>
      <c r="BQ24" s="107">
        <f t="shared" ref="BQ24:CD24" si="122">BP24</f>
        <v>1139.6633333333332</v>
      </c>
      <c r="BR24" s="107">
        <f t="shared" si="122"/>
        <v>1139.6633333333332</v>
      </c>
      <c r="BS24" s="107">
        <f t="shared" si="122"/>
        <v>1139.6633333333332</v>
      </c>
      <c r="BT24" s="107">
        <f t="shared" si="122"/>
        <v>1139.6633333333332</v>
      </c>
      <c r="BU24" s="107">
        <f t="shared" si="122"/>
        <v>1139.6633333333332</v>
      </c>
      <c r="BV24" s="107">
        <f t="shared" si="122"/>
        <v>1139.6633333333332</v>
      </c>
      <c r="BW24" s="107">
        <f t="shared" si="122"/>
        <v>1139.6633333333332</v>
      </c>
      <c r="BX24" s="107">
        <f t="shared" si="122"/>
        <v>1139.6633333333332</v>
      </c>
      <c r="BY24" s="107">
        <f t="shared" si="122"/>
        <v>1139.6633333333332</v>
      </c>
      <c r="BZ24" s="107">
        <f t="shared" si="122"/>
        <v>1139.6633333333332</v>
      </c>
      <c r="CA24" s="107">
        <f t="shared" si="122"/>
        <v>1139.6633333333332</v>
      </c>
      <c r="CB24" s="107">
        <f t="shared" si="122"/>
        <v>1139.6633333333332</v>
      </c>
      <c r="CC24" s="107">
        <f t="shared" si="122"/>
        <v>1139.6633333333332</v>
      </c>
      <c r="CD24" s="107">
        <f t="shared" si="122"/>
        <v>1139.6633333333332</v>
      </c>
    </row>
    <row r="25" spans="1:83">
      <c r="C25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CB25" s="107"/>
      <c r="CC25" s="107"/>
      <c r="CD25" s="107"/>
    </row>
    <row r="26" spans="1:83" customFormat="1">
      <c r="A26" s="106"/>
      <c r="B26" s="106" t="s">
        <v>379</v>
      </c>
      <c r="C26" s="106"/>
      <c r="D26" s="106"/>
      <c r="E26" s="106"/>
      <c r="F26" s="106"/>
      <c r="G26" s="265">
        <v>0</v>
      </c>
      <c r="H26" s="265">
        <v>0</v>
      </c>
      <c r="I26" s="265">
        <v>0</v>
      </c>
      <c r="J26" s="265">
        <v>0</v>
      </c>
      <c r="K26" s="265">
        <v>0</v>
      </c>
      <c r="L26" s="265">
        <v>0</v>
      </c>
      <c r="M26" s="265">
        <v>0</v>
      </c>
      <c r="N26" s="265">
        <v>0</v>
      </c>
    </row>
    <row r="27" spans="1:83"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CB27" s="107"/>
      <c r="CC27" s="107"/>
      <c r="CD27" s="107"/>
    </row>
    <row r="28" spans="1:83">
      <c r="A28" s="106" t="s">
        <v>380</v>
      </c>
      <c r="C28" s="107">
        <f t="shared" ref="C28:G28" si="123">SUM(C10-C24)</f>
        <v>2923793.1634132676</v>
      </c>
      <c r="D28" s="107">
        <f t="shared" si="123"/>
        <v>2056123.263332315</v>
      </c>
      <c r="E28" s="107">
        <f t="shared" si="123"/>
        <v>1159533.2276639824</v>
      </c>
      <c r="F28" s="107">
        <f t="shared" si="123"/>
        <v>618003.25111172907</v>
      </c>
      <c r="G28" s="107">
        <f t="shared" si="123"/>
        <v>379652.7556335741</v>
      </c>
      <c r="H28" s="107">
        <f t="shared" ref="H28:AM28" si="124">SUM(H10-H24)</f>
        <v>363683.33104371431</v>
      </c>
      <c r="I28" s="107">
        <f t="shared" si="124"/>
        <v>370195.73028442607</v>
      </c>
      <c r="J28" s="107">
        <f t="shared" si="124"/>
        <v>420565.04315261735</v>
      </c>
      <c r="K28" s="107">
        <f t="shared" si="124"/>
        <v>1040072.8180855532</v>
      </c>
      <c r="L28" s="107">
        <f t="shared" si="124"/>
        <v>2083968.6987619507</v>
      </c>
      <c r="M28" s="107">
        <f t="shared" si="124"/>
        <v>3092300.4940669946</v>
      </c>
      <c r="N28" s="107">
        <f t="shared" si="124"/>
        <v>3302977.9306155383</v>
      </c>
      <c r="O28" s="107">
        <f t="shared" si="124"/>
        <v>2922582.5039655222</v>
      </c>
      <c r="P28" s="107">
        <f t="shared" si="124"/>
        <v>2057871.4270103893</v>
      </c>
      <c r="Q28" s="107">
        <f t="shared" si="124"/>
        <v>1160567.2760757504</v>
      </c>
      <c r="R28" s="107">
        <f t="shared" si="124"/>
        <v>618597.6270192985</v>
      </c>
      <c r="S28" s="107">
        <f t="shared" si="124"/>
        <v>380086.75280312292</v>
      </c>
      <c r="T28" s="107">
        <f t="shared" si="124"/>
        <v>364117.4521094489</v>
      </c>
      <c r="U28" s="107">
        <f t="shared" si="124"/>
        <v>370629.85394375835</v>
      </c>
      <c r="V28" s="107">
        <f t="shared" si="124"/>
        <v>421042.82227325928</v>
      </c>
      <c r="W28" s="107">
        <f t="shared" si="124"/>
        <v>1041065.480528899</v>
      </c>
      <c r="X28" s="107">
        <f t="shared" si="124"/>
        <v>2085794.677769565</v>
      </c>
      <c r="Y28" s="107">
        <f t="shared" si="124"/>
        <v>3094908.4485011306</v>
      </c>
      <c r="Z28" s="107">
        <f t="shared" si="124"/>
        <v>3305696.1289661299</v>
      </c>
      <c r="AA28" s="107">
        <f t="shared" si="124"/>
        <v>2925000.139387412</v>
      </c>
      <c r="AB28" s="107">
        <f t="shared" si="124"/>
        <v>2059618.6607675594</v>
      </c>
      <c r="AC28" s="107">
        <f t="shared" si="124"/>
        <v>1161600.4100977581</v>
      </c>
      <c r="AD28" s="107">
        <f t="shared" si="124"/>
        <v>619192.10729332245</v>
      </c>
      <c r="AE28" s="107">
        <f t="shared" si="124"/>
        <v>380520.856530177</v>
      </c>
      <c r="AF28" s="107">
        <f t="shared" si="124"/>
        <v>364551.62352759694</v>
      </c>
      <c r="AG28" s="107">
        <f t="shared" si="124"/>
        <v>371064.02778963244</v>
      </c>
      <c r="AH28" s="107">
        <f t="shared" si="124"/>
        <v>421520.66052570706</v>
      </c>
      <c r="AI28" s="107">
        <f t="shared" si="124"/>
        <v>1042057.3035814847</v>
      </c>
      <c r="AJ28" s="107">
        <f t="shared" si="124"/>
        <v>2087621.0121899445</v>
      </c>
      <c r="AK28" s="107">
        <f t="shared" si="124"/>
        <v>3097516.9339319337</v>
      </c>
      <c r="AL28" s="107">
        <f t="shared" si="124"/>
        <v>3308413.8772881515</v>
      </c>
      <c r="AM28" s="107">
        <f t="shared" si="124"/>
        <v>2927419.2779817889</v>
      </c>
      <c r="AN28" s="107">
        <f t="shared" ref="AN28:CA28" si="125">SUM(AN10-AN24)</f>
        <v>2061366.2392339432</v>
      </c>
      <c r="AO28" s="107">
        <f t="shared" si="125"/>
        <v>1162634.7407655891</v>
      </c>
      <c r="AP28" s="107">
        <f t="shared" si="125"/>
        <v>619787.68553266546</v>
      </c>
      <c r="AQ28" s="107">
        <f t="shared" si="125"/>
        <v>380955.01171852666</v>
      </c>
      <c r="AR28" s="107">
        <f t="shared" si="125"/>
        <v>364985.69351395901</v>
      </c>
      <c r="AS28" s="107">
        <f t="shared" si="125"/>
        <v>371498.10049443168</v>
      </c>
      <c r="AT28" s="107">
        <f t="shared" si="125"/>
        <v>421998.40020532411</v>
      </c>
      <c r="AU28" s="107">
        <f t="shared" si="125"/>
        <v>1043050.0593086578</v>
      </c>
      <c r="AV28" s="107">
        <f t="shared" si="125"/>
        <v>2089447.3016709662</v>
      </c>
      <c r="AW28" s="107">
        <f t="shared" si="125"/>
        <v>3100125.4044748978</v>
      </c>
      <c r="AX28" s="107">
        <f t="shared" si="125"/>
        <v>3311131.6122764843</v>
      </c>
      <c r="AY28" s="107">
        <f t="shared" si="125"/>
        <v>2929837.3811665191</v>
      </c>
      <c r="AZ28" s="107">
        <f t="shared" si="125"/>
        <v>2063113.7647137162</v>
      </c>
      <c r="BA28" s="107">
        <f t="shared" si="125"/>
        <v>1163667.9789445035</v>
      </c>
      <c r="BB28" s="107">
        <f t="shared" si="125"/>
        <v>620382.15509941475</v>
      </c>
      <c r="BC28" s="107">
        <f t="shared" si="125"/>
        <v>381389.06353163294</v>
      </c>
      <c r="BD28" s="107">
        <f t="shared" si="125"/>
        <v>365419.65962846851</v>
      </c>
      <c r="BE28" s="107">
        <f t="shared" si="125"/>
        <v>371932.06962297187</v>
      </c>
      <c r="BF28" s="107">
        <f t="shared" si="125"/>
        <v>422476.02385835891</v>
      </c>
      <c r="BG28" s="107">
        <f t="shared" si="125"/>
        <v>1044041.5305077214</v>
      </c>
      <c r="BH28" s="107">
        <f t="shared" si="125"/>
        <v>2091272.036860629</v>
      </c>
      <c r="BI28" s="107">
        <f t="shared" si="125"/>
        <v>3102733.070131409</v>
      </c>
      <c r="BJ28" s="107">
        <f t="shared" si="125"/>
        <v>3313849.5028705746</v>
      </c>
      <c r="BK28" s="107">
        <f t="shared" si="125"/>
        <v>2932254.7286399528</v>
      </c>
      <c r="BL28" s="107">
        <f t="shared" si="125"/>
        <v>2064861.7624986924</v>
      </c>
      <c r="BM28" s="107">
        <f t="shared" si="125"/>
        <v>1164700.9115581161</v>
      </c>
      <c r="BN28" s="107">
        <f t="shared" si="125"/>
        <v>620976.46526436741</v>
      </c>
      <c r="BO28" s="107">
        <f t="shared" si="125"/>
        <v>381823.00949678937</v>
      </c>
      <c r="BP28" s="107">
        <f t="shared" si="125"/>
        <v>365853.88184903038</v>
      </c>
      <c r="BQ28" s="107">
        <f t="shared" si="125"/>
        <v>372366.29407709761</v>
      </c>
      <c r="BR28" s="107">
        <f t="shared" si="125"/>
        <v>422952.89791791531</v>
      </c>
      <c r="BS28" s="107">
        <f t="shared" si="125"/>
        <v>1045034.3561746591</v>
      </c>
      <c r="BT28" s="107">
        <f t="shared" si="125"/>
        <v>2093098.2661974616</v>
      </c>
      <c r="BU28" s="107">
        <f t="shared" si="125"/>
        <v>3105341.350614951</v>
      </c>
      <c r="BV28" s="107">
        <f t="shared" si="125"/>
        <v>3316567.0218447829</v>
      </c>
      <c r="BW28" s="107">
        <f t="shared" si="125"/>
        <v>2934672.6658013402</v>
      </c>
      <c r="BX28" s="107">
        <f t="shared" si="125"/>
        <v>2066609.2322653164</v>
      </c>
      <c r="BY28" s="107">
        <f t="shared" si="125"/>
        <v>1165735.221806444</v>
      </c>
      <c r="BZ28" s="107">
        <f t="shared" si="125"/>
        <v>621572.07782803464</v>
      </c>
      <c r="CA28" s="107">
        <f t="shared" si="125"/>
        <v>382257.21678556246</v>
      </c>
      <c r="CB28" s="107">
        <f t="shared" ref="CB28:CD28" si="126">SUM(CB10-CB24)</f>
        <v>365853.88184903038</v>
      </c>
      <c r="CC28" s="107">
        <f t="shared" si="126"/>
        <v>372366.29407709761</v>
      </c>
      <c r="CD28" s="107">
        <f t="shared" si="126"/>
        <v>422952.89791791531</v>
      </c>
    </row>
    <row r="29" spans="1:83"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</row>
    <row r="30" spans="1:83"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</row>
    <row r="31" spans="1:83">
      <c r="A31" s="106" t="s">
        <v>381</v>
      </c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</row>
    <row r="32" spans="1:83" customFormat="1">
      <c r="A32" s="106"/>
      <c r="B32" s="106" t="s">
        <v>382</v>
      </c>
      <c r="C32" s="263"/>
      <c r="D32" s="263"/>
      <c r="E32" s="263"/>
      <c r="F32" s="263"/>
      <c r="G32" s="324">
        <v>0</v>
      </c>
      <c r="H32" s="324">
        <v>0</v>
      </c>
      <c r="I32" s="324">
        <v>0</v>
      </c>
      <c r="J32" s="324">
        <v>0</v>
      </c>
      <c r="K32" s="324">
        <v>0</v>
      </c>
      <c r="L32" s="324">
        <v>0</v>
      </c>
      <c r="M32" s="324">
        <v>0</v>
      </c>
      <c r="N32" s="324">
        <v>0</v>
      </c>
    </row>
    <row r="34" spans="1:87" customFormat="1" ht="13.5" thickBot="1">
      <c r="A34" s="106"/>
      <c r="B34" s="106" t="s">
        <v>383</v>
      </c>
      <c r="C34" s="241"/>
      <c r="D34" s="241"/>
      <c r="E34" s="241"/>
      <c r="F34" s="241"/>
      <c r="G34" s="241"/>
      <c r="H34" s="241"/>
      <c r="I34" s="557">
        <v>2.9225000000000003</v>
      </c>
      <c r="J34" s="557">
        <v>2.9015</v>
      </c>
      <c r="K34" s="557">
        <v>2.9790999999999999</v>
      </c>
      <c r="L34" s="557">
        <v>2.3140000000000001</v>
      </c>
      <c r="M34" s="557">
        <v>2.6869999999999998</v>
      </c>
      <c r="N34" s="557">
        <v>3.4950000000000001</v>
      </c>
      <c r="O34" s="557">
        <v>3.35</v>
      </c>
      <c r="P34" s="557">
        <v>3.03</v>
      </c>
      <c r="Q34" s="557">
        <v>2.8929999999999998</v>
      </c>
      <c r="R34" s="557">
        <v>2.94</v>
      </c>
      <c r="S34" s="557">
        <v>3.093</v>
      </c>
      <c r="T34" s="557">
        <v>3.2610000000000001</v>
      </c>
      <c r="U34" s="557">
        <v>3.2650000000000001</v>
      </c>
      <c r="V34" s="557">
        <v>3.3279999999999998</v>
      </c>
      <c r="W34" s="557">
        <v>3.6030000000000002</v>
      </c>
      <c r="X34" s="557">
        <v>4.008</v>
      </c>
      <c r="Y34" s="557">
        <v>4.2649999999999997</v>
      </c>
      <c r="Z34" s="557">
        <v>4.0369999999999999</v>
      </c>
      <c r="AA34" s="557">
        <v>3.508</v>
      </c>
      <c r="AB34" s="557">
        <v>3.1549999999999998</v>
      </c>
      <c r="AC34" s="557">
        <v>3.1880000000000002</v>
      </c>
      <c r="AD34" s="557">
        <v>3.3239999999999998</v>
      </c>
      <c r="AE34" s="557">
        <v>3.4740000000000002</v>
      </c>
      <c r="AF34" s="557">
        <v>3.51</v>
      </c>
      <c r="AG34" s="557">
        <v>3.48</v>
      </c>
      <c r="AH34" s="557">
        <v>3.54</v>
      </c>
      <c r="AI34" s="557">
        <v>3.8079999999999998</v>
      </c>
      <c r="AJ34" s="557">
        <v>4.2080000000000002</v>
      </c>
      <c r="AK34" s="557">
        <v>4.4580000000000002</v>
      </c>
      <c r="AL34" s="557">
        <v>4.2249999999999996</v>
      </c>
      <c r="AM34" s="557">
        <v>3.6190000000000002</v>
      </c>
      <c r="AN34" s="557">
        <v>3.1509999999999998</v>
      </c>
      <c r="AO34" s="557">
        <v>3.1669999999999998</v>
      </c>
      <c r="AP34" s="557">
        <v>3.294</v>
      </c>
      <c r="AQ34" s="557">
        <v>3.4340000000000002</v>
      </c>
      <c r="AR34" s="557">
        <v>3.476</v>
      </c>
      <c r="AS34" s="557">
        <v>3.4609999999999999</v>
      </c>
      <c r="AT34" s="557">
        <v>3.5259999999999998</v>
      </c>
      <c r="AU34" s="557">
        <v>3.7639999999999998</v>
      </c>
      <c r="AV34" s="557">
        <v>4.1589999999999998</v>
      </c>
      <c r="AW34" s="557">
        <v>4.4409999999999998</v>
      </c>
      <c r="AX34" s="557">
        <v>4.1950000000000003</v>
      </c>
      <c r="AY34" s="557">
        <v>3.5019999999999998</v>
      </c>
      <c r="AZ34" s="557">
        <v>2.9809999999999999</v>
      </c>
      <c r="BA34" s="557">
        <v>3.0310000000000001</v>
      </c>
      <c r="BB34" s="557">
        <v>3.1789999999999998</v>
      </c>
      <c r="BC34" s="557">
        <v>3.3610000000000002</v>
      </c>
      <c r="BD34" s="557">
        <v>3.4049999999999998</v>
      </c>
      <c r="BE34" s="557">
        <v>3.379</v>
      </c>
      <c r="BF34" s="557">
        <v>3.4359999999999999</v>
      </c>
      <c r="BG34" s="557">
        <v>3.6819999999999999</v>
      </c>
      <c r="BH34" s="557">
        <v>4.0949999999999998</v>
      </c>
      <c r="BI34" s="557">
        <v>4.3609999999999998</v>
      </c>
      <c r="BJ34" s="557">
        <v>4.1180000000000003</v>
      </c>
      <c r="BK34" s="557">
        <v>3.44</v>
      </c>
      <c r="BL34" s="557">
        <v>2.96</v>
      </c>
      <c r="BM34" s="557">
        <v>2.976</v>
      </c>
      <c r="BN34" s="557">
        <v>3.1589999999999998</v>
      </c>
      <c r="BO34" s="557">
        <v>3.351</v>
      </c>
      <c r="BP34" s="557">
        <v>3.3839999999999999</v>
      </c>
      <c r="BQ34" s="557">
        <v>3.3530000000000002</v>
      </c>
      <c r="BR34" s="557">
        <v>3.42</v>
      </c>
      <c r="BS34" s="557">
        <v>3.6859999999999999</v>
      </c>
      <c r="BT34" s="557">
        <v>4.0860000000000003</v>
      </c>
      <c r="BU34" s="557">
        <v>4.3380000000000001</v>
      </c>
      <c r="BV34" s="557">
        <v>4.077</v>
      </c>
      <c r="BW34" s="557">
        <v>3.379</v>
      </c>
      <c r="BX34" s="557">
        <v>2.8559999999999999</v>
      </c>
      <c r="BY34" s="557">
        <v>2.879</v>
      </c>
      <c r="BZ34" s="557">
        <v>3.03</v>
      </c>
      <c r="CA34" s="557">
        <v>3.1930000000000001</v>
      </c>
      <c r="CB34" s="557">
        <v>3.2189999999999999</v>
      </c>
      <c r="CC34" s="557">
        <v>3.157</v>
      </c>
      <c r="CD34" s="557">
        <v>3.2029999999999998</v>
      </c>
    </row>
    <row r="35" spans="1:87" ht="13.5" thickBot="1">
      <c r="A35" s="558">
        <v>1.210513533125745E-2</v>
      </c>
      <c r="B35" s="106" t="str">
        <f>"Pipeline Losses @ "&amp;TEXT(A35,"0.00%")</f>
        <v>Pipeline Losses @ 1.21%</v>
      </c>
      <c r="C35" s="104">
        <f t="shared" ref="C35:G35" si="127">+((1/(1-$A$35))-1)*C34</f>
        <v>0</v>
      </c>
      <c r="D35" s="104">
        <f t="shared" si="127"/>
        <v>0</v>
      </c>
      <c r="E35" s="104">
        <f t="shared" si="127"/>
        <v>0</v>
      </c>
      <c r="F35" s="104">
        <f t="shared" si="127"/>
        <v>0</v>
      </c>
      <c r="G35" s="104">
        <f t="shared" si="127"/>
        <v>0</v>
      </c>
      <c r="H35" s="104">
        <f>+((1/(1-$A$35))-1)*H34</f>
        <v>0</v>
      </c>
      <c r="I35" s="104">
        <f t="shared" ref="I35:BT35" si="128">+((1/(1-$A$35))-1)*I34</f>
        <v>3.5810752004933846E-2</v>
      </c>
      <c r="J35" s="104">
        <f t="shared" si="128"/>
        <v>3.5553429236036112E-2</v>
      </c>
      <c r="K35" s="104">
        <f t="shared" si="128"/>
        <v>3.6504298134439145E-2</v>
      </c>
      <c r="L35" s="104">
        <f t="shared" si="128"/>
        <v>2.8354518439492528E-2</v>
      </c>
      <c r="M35" s="104">
        <f t="shared" si="128"/>
        <v>3.2925060953723599E-2</v>
      </c>
      <c r="N35" s="104">
        <f t="shared" si="128"/>
        <v>4.2825860823693336E-2</v>
      </c>
      <c r="O35" s="104">
        <f t="shared" si="128"/>
        <v>4.1049108371780454E-2</v>
      </c>
      <c r="P35" s="104">
        <f t="shared" si="128"/>
        <v>3.7127999512386496E-2</v>
      </c>
      <c r="Q35" s="104">
        <f t="shared" si="128"/>
        <v>3.5449274781958459E-2</v>
      </c>
      <c r="R35" s="104">
        <f t="shared" si="128"/>
        <v>3.6025187645681946E-2</v>
      </c>
      <c r="S35" s="104">
        <f t="shared" si="128"/>
        <v>3.7899967819079686E-2</v>
      </c>
      <c r="T35" s="104">
        <f t="shared" si="128"/>
        <v>3.9958549970261513E-2</v>
      </c>
      <c r="U35" s="104">
        <f t="shared" si="128"/>
        <v>4.0007563831003935E-2</v>
      </c>
      <c r="V35" s="104">
        <f t="shared" si="128"/>
        <v>4.0779532137697118E-2</v>
      </c>
      <c r="W35" s="104">
        <f t="shared" si="128"/>
        <v>4.4149235063738801E-2</v>
      </c>
      <c r="X35" s="104">
        <f t="shared" si="128"/>
        <v>4.9111888463909271E-2</v>
      </c>
      <c r="Y35" s="104">
        <f t="shared" si="128"/>
        <v>5.2261029016610033E-2</v>
      </c>
      <c r="Z35" s="104">
        <f t="shared" si="128"/>
        <v>4.9467238954291844E-2</v>
      </c>
      <c r="AA35" s="104">
        <f t="shared" si="128"/>
        <v>4.2985155871106219E-2</v>
      </c>
      <c r="AB35" s="104">
        <f t="shared" si="128"/>
        <v>3.8659682660587259E-2</v>
      </c>
      <c r="AC35" s="104">
        <f t="shared" si="128"/>
        <v>3.9064047011712268E-2</v>
      </c>
      <c r="AD35" s="104">
        <f t="shared" si="128"/>
        <v>4.0730518276954689E-2</v>
      </c>
      <c r="AE35" s="104">
        <f t="shared" si="128"/>
        <v>4.2568538054795609E-2</v>
      </c>
      <c r="AF35" s="104">
        <f t="shared" si="128"/>
        <v>4.3009662801477423E-2</v>
      </c>
      <c r="AG35" s="104">
        <f t="shared" si="128"/>
        <v>4.2642058845909242E-2</v>
      </c>
      <c r="AH35" s="104">
        <f t="shared" si="128"/>
        <v>4.3377266757045611E-2</v>
      </c>
      <c r="AI35" s="104">
        <f t="shared" si="128"/>
        <v>4.6661195426788045E-2</v>
      </c>
      <c r="AJ35" s="104">
        <f t="shared" si="128"/>
        <v>5.1562581501030491E-2</v>
      </c>
      <c r="AK35" s="104">
        <f t="shared" si="128"/>
        <v>5.4625947797432017E-2</v>
      </c>
      <c r="AL35" s="104">
        <f t="shared" si="128"/>
        <v>5.1770890409185789E-2</v>
      </c>
      <c r="AM35" s="104">
        <f t="shared" si="128"/>
        <v>4.4345290506708497E-2</v>
      </c>
      <c r="AN35" s="104">
        <f t="shared" si="128"/>
        <v>3.8610668799844837E-2</v>
      </c>
      <c r="AO35" s="104">
        <f t="shared" si="128"/>
        <v>3.8806724242814533E-2</v>
      </c>
      <c r="AP35" s="104">
        <f t="shared" si="128"/>
        <v>4.0362914321386507E-2</v>
      </c>
      <c r="AQ35" s="104">
        <f t="shared" si="128"/>
        <v>4.2078399447371365E-2</v>
      </c>
      <c r="AR35" s="104">
        <f t="shared" si="128"/>
        <v>4.259304498516682E-2</v>
      </c>
      <c r="AS35" s="104">
        <f t="shared" si="128"/>
        <v>4.2409243007382726E-2</v>
      </c>
      <c r="AT35" s="104">
        <f t="shared" si="128"/>
        <v>4.3205718244447126E-2</v>
      </c>
      <c r="AU35" s="104">
        <f t="shared" si="128"/>
        <v>4.6122042958621379E-2</v>
      </c>
      <c r="AV35" s="104">
        <f t="shared" si="128"/>
        <v>5.0962161706935787E-2</v>
      </c>
      <c r="AW35" s="104">
        <f t="shared" si="128"/>
        <v>5.4417638889276712E-2</v>
      </c>
      <c r="AX35" s="104">
        <f t="shared" si="128"/>
        <v>5.1403286453617615E-2</v>
      </c>
      <c r="AY35" s="104">
        <f t="shared" si="128"/>
        <v>4.2911635079992579E-2</v>
      </c>
      <c r="AZ35" s="104">
        <f t="shared" si="128"/>
        <v>3.6527579718291799E-2</v>
      </c>
      <c r="BA35" s="104">
        <f t="shared" si="128"/>
        <v>3.7140252977572105E-2</v>
      </c>
      <c r="BB35" s="104">
        <f t="shared" si="128"/>
        <v>3.8953765825041807E-2</v>
      </c>
      <c r="BC35" s="104">
        <f t="shared" si="128"/>
        <v>4.1183896488822119E-2</v>
      </c>
      <c r="BD35" s="104">
        <f t="shared" si="128"/>
        <v>4.1723048956988786E-2</v>
      </c>
      <c r="BE35" s="104">
        <f t="shared" si="128"/>
        <v>4.1404458862163027E-2</v>
      </c>
      <c r="BF35" s="104">
        <f t="shared" si="128"/>
        <v>4.2102906377742576E-2</v>
      </c>
      <c r="BG35" s="104">
        <f t="shared" si="128"/>
        <v>4.511725881340168E-2</v>
      </c>
      <c r="BH35" s="104">
        <f t="shared" si="128"/>
        <v>5.0177939935056995E-2</v>
      </c>
      <c r="BI35" s="104">
        <f t="shared" si="128"/>
        <v>5.3437361674428224E-2</v>
      </c>
      <c r="BJ35" s="104">
        <f t="shared" si="128"/>
        <v>5.0459769634325947E-2</v>
      </c>
      <c r="BK35" s="104">
        <f t="shared" si="128"/>
        <v>4.2151920238484998E-2</v>
      </c>
      <c r="BL35" s="104">
        <f t="shared" si="128"/>
        <v>3.6270256949394071E-2</v>
      </c>
      <c r="BM35" s="104">
        <f t="shared" si="128"/>
        <v>3.6466312392363767E-2</v>
      </c>
      <c r="BN35" s="104">
        <f t="shared" si="128"/>
        <v>3.8708696521329682E-2</v>
      </c>
      <c r="BO35" s="104">
        <f t="shared" si="128"/>
        <v>4.1061361836966057E-2</v>
      </c>
      <c r="BP35" s="104">
        <f t="shared" si="128"/>
        <v>4.1465726188091058E-2</v>
      </c>
      <c r="BQ35" s="104">
        <f t="shared" si="128"/>
        <v>4.1085868767337275E-2</v>
      </c>
      <c r="BR35" s="104">
        <f t="shared" si="128"/>
        <v>4.190685093477288E-2</v>
      </c>
      <c r="BS35" s="104">
        <f t="shared" si="128"/>
        <v>4.5166272674144102E-2</v>
      </c>
      <c r="BT35" s="104">
        <f t="shared" si="128"/>
        <v>5.0067658748386548E-2</v>
      </c>
      <c r="BU35" s="104">
        <f t="shared" ref="BU35:CD35" si="129">+((1/(1-$A$35))-1)*BU34</f>
        <v>5.3155531975159286E-2</v>
      </c>
      <c r="BV35" s="104">
        <f t="shared" si="129"/>
        <v>4.9957377561716088E-2</v>
      </c>
      <c r="BW35" s="104">
        <f t="shared" si="129"/>
        <v>4.1404458862163027E-2</v>
      </c>
      <c r="BX35" s="104">
        <f t="shared" si="129"/>
        <v>3.4995896570091035E-2</v>
      </c>
      <c r="BY35" s="104">
        <f t="shared" si="129"/>
        <v>3.5277726269359974E-2</v>
      </c>
      <c r="BZ35" s="104">
        <f t="shared" si="129"/>
        <v>3.7127999512386496E-2</v>
      </c>
      <c r="CA35" s="104">
        <f t="shared" si="129"/>
        <v>3.9125314337640292E-2</v>
      </c>
      <c r="CB35" s="104">
        <f t="shared" si="129"/>
        <v>3.9443904432466051E-2</v>
      </c>
      <c r="CC35" s="104">
        <f t="shared" si="129"/>
        <v>3.868418959095847E-2</v>
      </c>
      <c r="CD35" s="104">
        <f t="shared" si="129"/>
        <v>3.9247848989496355E-2</v>
      </c>
      <c r="CE35" s="104"/>
      <c r="CF35" s="104"/>
      <c r="CG35" s="104"/>
      <c r="CH35" s="104"/>
      <c r="CI35" s="104"/>
    </row>
    <row r="36" spans="1:87" ht="13.5" thickBot="1">
      <c r="B36" s="106" t="s">
        <v>384</v>
      </c>
      <c r="C36" s="559">
        <v>4.9000000000000002E-2</v>
      </c>
      <c r="D36" s="559">
        <f>C36</f>
        <v>4.9000000000000002E-2</v>
      </c>
      <c r="E36" s="559">
        <f t="shared" ref="E36:H36" si="130">D36</f>
        <v>4.9000000000000002E-2</v>
      </c>
      <c r="F36" s="559">
        <f t="shared" si="130"/>
        <v>4.9000000000000002E-2</v>
      </c>
      <c r="G36" s="559">
        <f t="shared" si="130"/>
        <v>4.9000000000000002E-2</v>
      </c>
      <c r="H36" s="559">
        <f t="shared" si="130"/>
        <v>4.9000000000000002E-2</v>
      </c>
      <c r="I36" s="559">
        <v>4.9000000000000002E-2</v>
      </c>
      <c r="J36" s="104">
        <f t="shared" ref="J36:BU36" si="131">+I36</f>
        <v>4.9000000000000002E-2</v>
      </c>
      <c r="K36" s="104">
        <f t="shared" si="131"/>
        <v>4.9000000000000002E-2</v>
      </c>
      <c r="L36" s="104">
        <f t="shared" si="131"/>
        <v>4.9000000000000002E-2</v>
      </c>
      <c r="M36" s="104">
        <f t="shared" si="131"/>
        <v>4.9000000000000002E-2</v>
      </c>
      <c r="N36" s="104">
        <f t="shared" si="131"/>
        <v>4.9000000000000002E-2</v>
      </c>
      <c r="O36" s="104">
        <f t="shared" si="131"/>
        <v>4.9000000000000002E-2</v>
      </c>
      <c r="P36" s="104">
        <f t="shared" si="131"/>
        <v>4.9000000000000002E-2</v>
      </c>
      <c r="Q36" s="104">
        <f t="shared" si="131"/>
        <v>4.9000000000000002E-2</v>
      </c>
      <c r="R36" s="104">
        <f t="shared" si="131"/>
        <v>4.9000000000000002E-2</v>
      </c>
      <c r="S36" s="104">
        <f t="shared" si="131"/>
        <v>4.9000000000000002E-2</v>
      </c>
      <c r="T36" s="104">
        <f t="shared" si="131"/>
        <v>4.9000000000000002E-2</v>
      </c>
      <c r="U36" s="104">
        <f t="shared" si="131"/>
        <v>4.9000000000000002E-2</v>
      </c>
      <c r="V36" s="104">
        <f t="shared" si="131"/>
        <v>4.9000000000000002E-2</v>
      </c>
      <c r="W36" s="104">
        <f t="shared" si="131"/>
        <v>4.9000000000000002E-2</v>
      </c>
      <c r="X36" s="104">
        <f t="shared" si="131"/>
        <v>4.9000000000000002E-2</v>
      </c>
      <c r="Y36" s="104">
        <f t="shared" si="131"/>
        <v>4.9000000000000002E-2</v>
      </c>
      <c r="Z36" s="104">
        <f t="shared" si="131"/>
        <v>4.9000000000000002E-2</v>
      </c>
      <c r="AA36" s="104">
        <f t="shared" si="131"/>
        <v>4.9000000000000002E-2</v>
      </c>
      <c r="AB36" s="104">
        <f t="shared" si="131"/>
        <v>4.9000000000000002E-2</v>
      </c>
      <c r="AC36" s="104">
        <f t="shared" si="131"/>
        <v>4.9000000000000002E-2</v>
      </c>
      <c r="AD36" s="104">
        <f t="shared" si="131"/>
        <v>4.9000000000000002E-2</v>
      </c>
      <c r="AE36" s="104">
        <f t="shared" si="131"/>
        <v>4.9000000000000002E-2</v>
      </c>
      <c r="AF36" s="104">
        <f t="shared" si="131"/>
        <v>4.9000000000000002E-2</v>
      </c>
      <c r="AG36" s="104">
        <f t="shared" si="131"/>
        <v>4.9000000000000002E-2</v>
      </c>
      <c r="AH36" s="104">
        <f t="shared" si="131"/>
        <v>4.9000000000000002E-2</v>
      </c>
      <c r="AI36" s="104">
        <f t="shared" si="131"/>
        <v>4.9000000000000002E-2</v>
      </c>
      <c r="AJ36" s="104">
        <f t="shared" si="131"/>
        <v>4.9000000000000002E-2</v>
      </c>
      <c r="AK36" s="104">
        <f t="shared" si="131"/>
        <v>4.9000000000000002E-2</v>
      </c>
      <c r="AL36" s="104">
        <f t="shared" si="131"/>
        <v>4.9000000000000002E-2</v>
      </c>
      <c r="AM36" s="104">
        <f t="shared" si="131"/>
        <v>4.9000000000000002E-2</v>
      </c>
      <c r="AN36" s="104">
        <f t="shared" si="131"/>
        <v>4.9000000000000002E-2</v>
      </c>
      <c r="AO36" s="104">
        <f t="shared" si="131"/>
        <v>4.9000000000000002E-2</v>
      </c>
      <c r="AP36" s="104">
        <f t="shared" si="131"/>
        <v>4.9000000000000002E-2</v>
      </c>
      <c r="AQ36" s="104">
        <f t="shared" si="131"/>
        <v>4.9000000000000002E-2</v>
      </c>
      <c r="AR36" s="104">
        <f t="shared" si="131"/>
        <v>4.9000000000000002E-2</v>
      </c>
      <c r="AS36" s="104">
        <f t="shared" si="131"/>
        <v>4.9000000000000002E-2</v>
      </c>
      <c r="AT36" s="104">
        <f t="shared" si="131"/>
        <v>4.9000000000000002E-2</v>
      </c>
      <c r="AU36" s="104">
        <f t="shared" si="131"/>
        <v>4.9000000000000002E-2</v>
      </c>
      <c r="AV36" s="104">
        <f t="shared" si="131"/>
        <v>4.9000000000000002E-2</v>
      </c>
      <c r="AW36" s="104">
        <f t="shared" si="131"/>
        <v>4.9000000000000002E-2</v>
      </c>
      <c r="AX36" s="104">
        <f t="shared" si="131"/>
        <v>4.9000000000000002E-2</v>
      </c>
      <c r="AY36" s="104">
        <f t="shared" si="131"/>
        <v>4.9000000000000002E-2</v>
      </c>
      <c r="AZ36" s="104">
        <f t="shared" si="131"/>
        <v>4.9000000000000002E-2</v>
      </c>
      <c r="BA36" s="104">
        <f t="shared" si="131"/>
        <v>4.9000000000000002E-2</v>
      </c>
      <c r="BB36" s="104">
        <f t="shared" si="131"/>
        <v>4.9000000000000002E-2</v>
      </c>
      <c r="BC36" s="104">
        <f t="shared" si="131"/>
        <v>4.9000000000000002E-2</v>
      </c>
      <c r="BD36" s="104">
        <f t="shared" si="131"/>
        <v>4.9000000000000002E-2</v>
      </c>
      <c r="BE36" s="104">
        <f t="shared" si="131"/>
        <v>4.9000000000000002E-2</v>
      </c>
      <c r="BF36" s="104">
        <f t="shared" si="131"/>
        <v>4.9000000000000002E-2</v>
      </c>
      <c r="BG36" s="104">
        <f t="shared" si="131"/>
        <v>4.9000000000000002E-2</v>
      </c>
      <c r="BH36" s="104">
        <f t="shared" si="131"/>
        <v>4.9000000000000002E-2</v>
      </c>
      <c r="BI36" s="104">
        <f t="shared" si="131"/>
        <v>4.9000000000000002E-2</v>
      </c>
      <c r="BJ36" s="104">
        <f t="shared" si="131"/>
        <v>4.9000000000000002E-2</v>
      </c>
      <c r="BK36" s="104">
        <f t="shared" si="131"/>
        <v>4.9000000000000002E-2</v>
      </c>
      <c r="BL36" s="104">
        <f t="shared" si="131"/>
        <v>4.9000000000000002E-2</v>
      </c>
      <c r="BM36" s="104">
        <f t="shared" si="131"/>
        <v>4.9000000000000002E-2</v>
      </c>
      <c r="BN36" s="104">
        <f t="shared" si="131"/>
        <v>4.9000000000000002E-2</v>
      </c>
      <c r="BO36" s="104">
        <f t="shared" si="131"/>
        <v>4.9000000000000002E-2</v>
      </c>
      <c r="BP36" s="104">
        <f t="shared" si="131"/>
        <v>4.9000000000000002E-2</v>
      </c>
      <c r="BQ36" s="104">
        <f t="shared" si="131"/>
        <v>4.9000000000000002E-2</v>
      </c>
      <c r="BR36" s="104">
        <f t="shared" si="131"/>
        <v>4.9000000000000002E-2</v>
      </c>
      <c r="BS36" s="104">
        <f t="shared" si="131"/>
        <v>4.9000000000000002E-2</v>
      </c>
      <c r="BT36" s="104">
        <f t="shared" si="131"/>
        <v>4.9000000000000002E-2</v>
      </c>
      <c r="BU36" s="104">
        <f t="shared" si="131"/>
        <v>4.9000000000000002E-2</v>
      </c>
      <c r="BV36" s="104">
        <f t="shared" ref="BV36:CA36" si="132">+BU36</f>
        <v>4.9000000000000002E-2</v>
      </c>
      <c r="BW36" s="104">
        <f t="shared" si="132"/>
        <v>4.9000000000000002E-2</v>
      </c>
      <c r="BX36" s="104">
        <f t="shared" si="132"/>
        <v>4.9000000000000002E-2</v>
      </c>
      <c r="BY36" s="104">
        <f t="shared" si="132"/>
        <v>4.9000000000000002E-2</v>
      </c>
      <c r="BZ36" s="104">
        <f t="shared" si="132"/>
        <v>4.9000000000000002E-2</v>
      </c>
      <c r="CA36" s="104">
        <f t="shared" si="132"/>
        <v>4.9000000000000002E-2</v>
      </c>
      <c r="CB36" s="104">
        <f t="shared" ref="CB36:CB38" si="133">+CA36</f>
        <v>4.9000000000000002E-2</v>
      </c>
      <c r="CC36" s="104">
        <f t="shared" ref="CC36:CC38" si="134">+CB36</f>
        <v>4.9000000000000002E-2</v>
      </c>
      <c r="CD36" s="104">
        <f t="shared" ref="CD36:CD38" si="135">+CC36</f>
        <v>4.9000000000000002E-2</v>
      </c>
      <c r="CE36" s="104"/>
      <c r="CF36" s="104"/>
      <c r="CG36" s="104"/>
      <c r="CH36" s="104"/>
      <c r="CI36" s="104"/>
    </row>
    <row r="37" spans="1:87" ht="13.5" thickBot="1">
      <c r="B37" s="106" t="s">
        <v>385</v>
      </c>
      <c r="C37" s="557">
        <v>0.72209999999999996</v>
      </c>
      <c r="D37" s="557">
        <f>C37</f>
        <v>0.72209999999999996</v>
      </c>
      <c r="E37" s="557">
        <f t="shared" ref="E37:H37" si="136">D37</f>
        <v>0.72209999999999996</v>
      </c>
      <c r="F37" s="557">
        <f t="shared" si="136"/>
        <v>0.72209999999999996</v>
      </c>
      <c r="G37" s="557">
        <f t="shared" si="136"/>
        <v>0.72209999999999996</v>
      </c>
      <c r="H37" s="557">
        <f t="shared" si="136"/>
        <v>0.72209999999999996</v>
      </c>
      <c r="I37" s="557">
        <v>0.72209999999999996</v>
      </c>
      <c r="J37" s="104">
        <f t="shared" ref="J37:BT37" si="137">+I37</f>
        <v>0.72209999999999996</v>
      </c>
      <c r="K37" s="104">
        <f t="shared" si="137"/>
        <v>0.72209999999999996</v>
      </c>
      <c r="L37" s="104">
        <f t="shared" si="137"/>
        <v>0.72209999999999996</v>
      </c>
      <c r="M37" s="104">
        <f t="shared" si="137"/>
        <v>0.72209999999999996</v>
      </c>
      <c r="N37" s="104">
        <f t="shared" si="137"/>
        <v>0.72209999999999996</v>
      </c>
      <c r="O37" s="104">
        <f t="shared" si="137"/>
        <v>0.72209999999999996</v>
      </c>
      <c r="P37" s="104">
        <f t="shared" si="137"/>
        <v>0.72209999999999996</v>
      </c>
      <c r="Q37" s="104">
        <f t="shared" si="137"/>
        <v>0.72209999999999996</v>
      </c>
      <c r="R37" s="104">
        <f t="shared" si="137"/>
        <v>0.72209999999999996</v>
      </c>
      <c r="S37" s="104">
        <f t="shared" si="137"/>
        <v>0.72209999999999996</v>
      </c>
      <c r="T37" s="104">
        <f t="shared" si="137"/>
        <v>0.72209999999999996</v>
      </c>
      <c r="U37" s="104">
        <f t="shared" si="137"/>
        <v>0.72209999999999996</v>
      </c>
      <c r="V37" s="104">
        <f t="shared" si="137"/>
        <v>0.72209999999999996</v>
      </c>
      <c r="W37" s="104">
        <f t="shared" si="137"/>
        <v>0.72209999999999996</v>
      </c>
      <c r="X37" s="104">
        <f t="shared" si="137"/>
        <v>0.72209999999999996</v>
      </c>
      <c r="Y37" s="104">
        <f t="shared" si="137"/>
        <v>0.72209999999999996</v>
      </c>
      <c r="Z37" s="104">
        <f t="shared" si="137"/>
        <v>0.72209999999999996</v>
      </c>
      <c r="AA37" s="104">
        <f t="shared" si="137"/>
        <v>0.72209999999999996</v>
      </c>
      <c r="AB37" s="104">
        <f t="shared" si="137"/>
        <v>0.72209999999999996</v>
      </c>
      <c r="AC37" s="104">
        <f t="shared" si="137"/>
        <v>0.72209999999999996</v>
      </c>
      <c r="AD37" s="104">
        <f t="shared" si="137"/>
        <v>0.72209999999999996</v>
      </c>
      <c r="AE37" s="104">
        <f t="shared" si="137"/>
        <v>0.72209999999999996</v>
      </c>
      <c r="AF37" s="104">
        <f t="shared" si="137"/>
        <v>0.72209999999999996</v>
      </c>
      <c r="AG37" s="104">
        <f t="shared" si="137"/>
        <v>0.72209999999999996</v>
      </c>
      <c r="AH37" s="104">
        <f t="shared" si="137"/>
        <v>0.72209999999999996</v>
      </c>
      <c r="AI37" s="104">
        <f t="shared" si="137"/>
        <v>0.72209999999999996</v>
      </c>
      <c r="AJ37" s="104">
        <f t="shared" si="137"/>
        <v>0.72209999999999996</v>
      </c>
      <c r="AK37" s="104">
        <f t="shared" si="137"/>
        <v>0.72209999999999996</v>
      </c>
      <c r="AL37" s="104">
        <f t="shared" si="137"/>
        <v>0.72209999999999996</v>
      </c>
      <c r="AM37" s="104">
        <f t="shared" si="137"/>
        <v>0.72209999999999996</v>
      </c>
      <c r="AN37" s="104">
        <f t="shared" si="137"/>
        <v>0.72209999999999996</v>
      </c>
      <c r="AO37" s="104">
        <f t="shared" si="137"/>
        <v>0.72209999999999996</v>
      </c>
      <c r="AP37" s="104">
        <f t="shared" si="137"/>
        <v>0.72209999999999996</v>
      </c>
      <c r="AQ37" s="104">
        <f t="shared" si="137"/>
        <v>0.72209999999999996</v>
      </c>
      <c r="AR37" s="104">
        <f t="shared" si="137"/>
        <v>0.72209999999999996</v>
      </c>
      <c r="AS37" s="104">
        <f t="shared" si="137"/>
        <v>0.72209999999999996</v>
      </c>
      <c r="AT37" s="104">
        <f t="shared" si="137"/>
        <v>0.72209999999999996</v>
      </c>
      <c r="AU37" s="104">
        <f t="shared" si="137"/>
        <v>0.72209999999999996</v>
      </c>
      <c r="AV37" s="104">
        <f t="shared" si="137"/>
        <v>0.72209999999999996</v>
      </c>
      <c r="AW37" s="104">
        <f t="shared" si="137"/>
        <v>0.72209999999999996</v>
      </c>
      <c r="AX37" s="104">
        <f t="shared" si="137"/>
        <v>0.72209999999999996</v>
      </c>
      <c r="AY37" s="104">
        <f t="shared" si="137"/>
        <v>0.72209999999999996</v>
      </c>
      <c r="AZ37" s="104">
        <f t="shared" si="137"/>
        <v>0.72209999999999996</v>
      </c>
      <c r="BA37" s="104">
        <f t="shared" si="137"/>
        <v>0.72209999999999996</v>
      </c>
      <c r="BB37" s="104">
        <f t="shared" si="137"/>
        <v>0.72209999999999996</v>
      </c>
      <c r="BC37" s="104">
        <f t="shared" si="137"/>
        <v>0.72209999999999996</v>
      </c>
      <c r="BD37" s="104">
        <f t="shared" si="137"/>
        <v>0.72209999999999996</v>
      </c>
      <c r="BE37" s="104">
        <f t="shared" si="137"/>
        <v>0.72209999999999996</v>
      </c>
      <c r="BF37" s="104">
        <f t="shared" si="137"/>
        <v>0.72209999999999996</v>
      </c>
      <c r="BG37" s="104">
        <f t="shared" si="137"/>
        <v>0.72209999999999996</v>
      </c>
      <c r="BH37" s="104">
        <f t="shared" si="137"/>
        <v>0.72209999999999996</v>
      </c>
      <c r="BI37" s="104">
        <f t="shared" si="137"/>
        <v>0.72209999999999996</v>
      </c>
      <c r="BJ37" s="104">
        <f t="shared" si="137"/>
        <v>0.72209999999999996</v>
      </c>
      <c r="BK37" s="104">
        <f t="shared" si="137"/>
        <v>0.72209999999999996</v>
      </c>
      <c r="BL37" s="104">
        <f t="shared" si="137"/>
        <v>0.72209999999999996</v>
      </c>
      <c r="BM37" s="104">
        <f t="shared" si="137"/>
        <v>0.72209999999999996</v>
      </c>
      <c r="BN37" s="104">
        <f t="shared" si="137"/>
        <v>0.72209999999999996</v>
      </c>
      <c r="BO37" s="104">
        <f t="shared" si="137"/>
        <v>0.72209999999999996</v>
      </c>
      <c r="BP37" s="104">
        <f t="shared" si="137"/>
        <v>0.72209999999999996</v>
      </c>
      <c r="BQ37" s="104">
        <f t="shared" si="137"/>
        <v>0.72209999999999996</v>
      </c>
      <c r="BR37" s="104">
        <f t="shared" si="137"/>
        <v>0.72209999999999996</v>
      </c>
      <c r="BS37" s="104">
        <f t="shared" si="137"/>
        <v>0.72209999999999996</v>
      </c>
      <c r="BT37" s="104">
        <f t="shared" si="137"/>
        <v>0.72209999999999996</v>
      </c>
      <c r="BU37" s="104">
        <f t="shared" ref="BU37:CA37" si="138">+BT37</f>
        <v>0.72209999999999996</v>
      </c>
      <c r="BV37" s="104">
        <f t="shared" si="138"/>
        <v>0.72209999999999996</v>
      </c>
      <c r="BW37" s="104">
        <f t="shared" si="138"/>
        <v>0.72209999999999996</v>
      </c>
      <c r="BX37" s="104">
        <f t="shared" si="138"/>
        <v>0.72209999999999996</v>
      </c>
      <c r="BY37" s="104">
        <f t="shared" si="138"/>
        <v>0.72209999999999996</v>
      </c>
      <c r="BZ37" s="104">
        <f t="shared" si="138"/>
        <v>0.72209999999999996</v>
      </c>
      <c r="CA37" s="104">
        <f t="shared" si="138"/>
        <v>0.72209999999999996</v>
      </c>
      <c r="CB37" s="104">
        <f t="shared" si="133"/>
        <v>0.72209999999999996</v>
      </c>
      <c r="CC37" s="104">
        <f t="shared" si="134"/>
        <v>0.72209999999999996</v>
      </c>
      <c r="CD37" s="104">
        <f t="shared" si="135"/>
        <v>0.72209999999999996</v>
      </c>
      <c r="CE37" s="104"/>
      <c r="CF37" s="104"/>
      <c r="CG37" s="104"/>
      <c r="CH37" s="104"/>
      <c r="CI37" s="104"/>
    </row>
    <row r="38" spans="1:87" ht="13.5" thickBot="1">
      <c r="B38" s="106" t="s">
        <v>386</v>
      </c>
      <c r="C38" s="560">
        <v>1.8817999999999998E-2</v>
      </c>
      <c r="D38" s="560">
        <f>C38</f>
        <v>1.8817999999999998E-2</v>
      </c>
      <c r="E38" s="560">
        <f t="shared" ref="E38:H38" si="139">D38</f>
        <v>1.8817999999999998E-2</v>
      </c>
      <c r="F38" s="560">
        <f t="shared" si="139"/>
        <v>1.8817999999999998E-2</v>
      </c>
      <c r="G38" s="560">
        <f t="shared" si="139"/>
        <v>1.8817999999999998E-2</v>
      </c>
      <c r="H38" s="560">
        <f t="shared" si="139"/>
        <v>1.8817999999999998E-2</v>
      </c>
      <c r="I38" s="560">
        <v>1.8817999999999998E-2</v>
      </c>
      <c r="J38" s="104">
        <f t="shared" ref="J38:BT38" si="140">+I38</f>
        <v>1.8817999999999998E-2</v>
      </c>
      <c r="K38" s="104">
        <f t="shared" si="140"/>
        <v>1.8817999999999998E-2</v>
      </c>
      <c r="L38" s="104">
        <f t="shared" si="140"/>
        <v>1.8817999999999998E-2</v>
      </c>
      <c r="M38" s="104">
        <f t="shared" si="140"/>
        <v>1.8817999999999998E-2</v>
      </c>
      <c r="N38" s="104">
        <f t="shared" si="140"/>
        <v>1.8817999999999998E-2</v>
      </c>
      <c r="O38" s="104">
        <f t="shared" si="140"/>
        <v>1.8817999999999998E-2</v>
      </c>
      <c r="P38" s="104">
        <f t="shared" si="140"/>
        <v>1.8817999999999998E-2</v>
      </c>
      <c r="Q38" s="104">
        <f t="shared" si="140"/>
        <v>1.8817999999999998E-2</v>
      </c>
      <c r="R38" s="104">
        <f t="shared" si="140"/>
        <v>1.8817999999999998E-2</v>
      </c>
      <c r="S38" s="104">
        <f t="shared" si="140"/>
        <v>1.8817999999999998E-2</v>
      </c>
      <c r="T38" s="104">
        <f t="shared" si="140"/>
        <v>1.8817999999999998E-2</v>
      </c>
      <c r="U38" s="104">
        <f t="shared" si="140"/>
        <v>1.8817999999999998E-2</v>
      </c>
      <c r="V38" s="104">
        <f t="shared" si="140"/>
        <v>1.8817999999999998E-2</v>
      </c>
      <c r="W38" s="104">
        <f t="shared" si="140"/>
        <v>1.8817999999999998E-2</v>
      </c>
      <c r="X38" s="104">
        <f t="shared" si="140"/>
        <v>1.8817999999999998E-2</v>
      </c>
      <c r="Y38" s="104">
        <f t="shared" si="140"/>
        <v>1.8817999999999998E-2</v>
      </c>
      <c r="Z38" s="104">
        <f t="shared" si="140"/>
        <v>1.8817999999999998E-2</v>
      </c>
      <c r="AA38" s="104">
        <f t="shared" si="140"/>
        <v>1.8817999999999998E-2</v>
      </c>
      <c r="AB38" s="104">
        <f t="shared" si="140"/>
        <v>1.8817999999999998E-2</v>
      </c>
      <c r="AC38" s="104">
        <f t="shared" si="140"/>
        <v>1.8817999999999998E-2</v>
      </c>
      <c r="AD38" s="104">
        <f t="shared" si="140"/>
        <v>1.8817999999999998E-2</v>
      </c>
      <c r="AE38" s="104">
        <f t="shared" si="140"/>
        <v>1.8817999999999998E-2</v>
      </c>
      <c r="AF38" s="104">
        <f t="shared" si="140"/>
        <v>1.8817999999999998E-2</v>
      </c>
      <c r="AG38" s="104">
        <f t="shared" si="140"/>
        <v>1.8817999999999998E-2</v>
      </c>
      <c r="AH38" s="104">
        <f t="shared" si="140"/>
        <v>1.8817999999999998E-2</v>
      </c>
      <c r="AI38" s="104">
        <f t="shared" si="140"/>
        <v>1.8817999999999998E-2</v>
      </c>
      <c r="AJ38" s="104">
        <f t="shared" si="140"/>
        <v>1.8817999999999998E-2</v>
      </c>
      <c r="AK38" s="104">
        <f t="shared" si="140"/>
        <v>1.8817999999999998E-2</v>
      </c>
      <c r="AL38" s="104">
        <f t="shared" si="140"/>
        <v>1.8817999999999998E-2</v>
      </c>
      <c r="AM38" s="104">
        <f t="shared" si="140"/>
        <v>1.8817999999999998E-2</v>
      </c>
      <c r="AN38" s="104">
        <f t="shared" si="140"/>
        <v>1.8817999999999998E-2</v>
      </c>
      <c r="AO38" s="104">
        <f t="shared" si="140"/>
        <v>1.8817999999999998E-2</v>
      </c>
      <c r="AP38" s="104">
        <f t="shared" si="140"/>
        <v>1.8817999999999998E-2</v>
      </c>
      <c r="AQ38" s="104">
        <f t="shared" si="140"/>
        <v>1.8817999999999998E-2</v>
      </c>
      <c r="AR38" s="104">
        <f t="shared" si="140"/>
        <v>1.8817999999999998E-2</v>
      </c>
      <c r="AS38" s="104">
        <f t="shared" si="140"/>
        <v>1.8817999999999998E-2</v>
      </c>
      <c r="AT38" s="104">
        <f t="shared" si="140"/>
        <v>1.8817999999999998E-2</v>
      </c>
      <c r="AU38" s="104">
        <f t="shared" si="140"/>
        <v>1.8817999999999998E-2</v>
      </c>
      <c r="AV38" s="104">
        <f t="shared" si="140"/>
        <v>1.8817999999999998E-2</v>
      </c>
      <c r="AW38" s="104">
        <f t="shared" si="140"/>
        <v>1.8817999999999998E-2</v>
      </c>
      <c r="AX38" s="104">
        <f t="shared" si="140"/>
        <v>1.8817999999999998E-2</v>
      </c>
      <c r="AY38" s="104">
        <f t="shared" si="140"/>
        <v>1.8817999999999998E-2</v>
      </c>
      <c r="AZ38" s="104">
        <f t="shared" si="140"/>
        <v>1.8817999999999998E-2</v>
      </c>
      <c r="BA38" s="104">
        <f t="shared" si="140"/>
        <v>1.8817999999999998E-2</v>
      </c>
      <c r="BB38" s="104">
        <f t="shared" si="140"/>
        <v>1.8817999999999998E-2</v>
      </c>
      <c r="BC38" s="104">
        <f t="shared" si="140"/>
        <v>1.8817999999999998E-2</v>
      </c>
      <c r="BD38" s="104">
        <f t="shared" si="140"/>
        <v>1.8817999999999998E-2</v>
      </c>
      <c r="BE38" s="104">
        <f t="shared" si="140"/>
        <v>1.8817999999999998E-2</v>
      </c>
      <c r="BF38" s="104">
        <f t="shared" si="140"/>
        <v>1.8817999999999998E-2</v>
      </c>
      <c r="BG38" s="104">
        <f t="shared" si="140"/>
        <v>1.8817999999999998E-2</v>
      </c>
      <c r="BH38" s="104">
        <f t="shared" si="140"/>
        <v>1.8817999999999998E-2</v>
      </c>
      <c r="BI38" s="104">
        <f t="shared" si="140"/>
        <v>1.8817999999999998E-2</v>
      </c>
      <c r="BJ38" s="104">
        <f t="shared" si="140"/>
        <v>1.8817999999999998E-2</v>
      </c>
      <c r="BK38" s="104">
        <f t="shared" si="140"/>
        <v>1.8817999999999998E-2</v>
      </c>
      <c r="BL38" s="104">
        <f t="shared" si="140"/>
        <v>1.8817999999999998E-2</v>
      </c>
      <c r="BM38" s="104">
        <f t="shared" si="140"/>
        <v>1.8817999999999998E-2</v>
      </c>
      <c r="BN38" s="104">
        <f t="shared" si="140"/>
        <v>1.8817999999999998E-2</v>
      </c>
      <c r="BO38" s="104">
        <f t="shared" si="140"/>
        <v>1.8817999999999998E-2</v>
      </c>
      <c r="BP38" s="104">
        <f t="shared" si="140"/>
        <v>1.8817999999999998E-2</v>
      </c>
      <c r="BQ38" s="104">
        <f t="shared" si="140"/>
        <v>1.8817999999999998E-2</v>
      </c>
      <c r="BR38" s="104">
        <f t="shared" si="140"/>
        <v>1.8817999999999998E-2</v>
      </c>
      <c r="BS38" s="104">
        <f t="shared" si="140"/>
        <v>1.8817999999999998E-2</v>
      </c>
      <c r="BT38" s="104">
        <f t="shared" si="140"/>
        <v>1.8817999999999998E-2</v>
      </c>
      <c r="BU38" s="104">
        <f t="shared" ref="BU38:CA38" si="141">+BT38</f>
        <v>1.8817999999999998E-2</v>
      </c>
      <c r="BV38" s="104">
        <f t="shared" si="141"/>
        <v>1.8817999999999998E-2</v>
      </c>
      <c r="BW38" s="104">
        <f t="shared" si="141"/>
        <v>1.8817999999999998E-2</v>
      </c>
      <c r="BX38" s="104">
        <f t="shared" si="141"/>
        <v>1.8817999999999998E-2</v>
      </c>
      <c r="BY38" s="104">
        <f t="shared" si="141"/>
        <v>1.8817999999999998E-2</v>
      </c>
      <c r="BZ38" s="104">
        <f t="shared" si="141"/>
        <v>1.8817999999999998E-2</v>
      </c>
      <c r="CA38" s="104">
        <f t="shared" si="141"/>
        <v>1.8817999999999998E-2</v>
      </c>
      <c r="CB38" s="104">
        <f t="shared" si="133"/>
        <v>1.8817999999999998E-2</v>
      </c>
      <c r="CC38" s="104">
        <f t="shared" si="134"/>
        <v>1.8817999999999998E-2</v>
      </c>
      <c r="CD38" s="104">
        <f t="shared" si="135"/>
        <v>1.8817999999999998E-2</v>
      </c>
      <c r="CE38" s="104"/>
      <c r="CF38" s="104"/>
      <c r="CG38" s="104"/>
      <c r="CH38" s="104"/>
      <c r="CI38" s="104"/>
    </row>
    <row r="39" spans="1:87">
      <c r="D39"/>
      <c r="E39"/>
      <c r="F39"/>
      <c r="G39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242"/>
      <c r="AA39" s="107"/>
    </row>
    <row r="40" spans="1:87">
      <c r="A40" s="106" t="s">
        <v>387</v>
      </c>
      <c r="C40" s="191"/>
      <c r="D40" s="361"/>
      <c r="E40" s="104"/>
      <c r="F40" s="104"/>
      <c r="G40" s="104"/>
      <c r="H40" s="162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29"/>
      <c r="U40" s="29"/>
      <c r="V40" s="29"/>
      <c r="W40" s="29"/>
      <c r="X40" s="29"/>
      <c r="Y40" s="29"/>
      <c r="Z40" s="29"/>
      <c r="AA40" s="107"/>
      <c r="AB40" s="107"/>
      <c r="AC40" s="107"/>
      <c r="AD40" s="107"/>
      <c r="AE40" s="107"/>
      <c r="AF40" s="107"/>
      <c r="AG40" s="107"/>
    </row>
    <row r="41" spans="1:87">
      <c r="B41" s="106" t="s">
        <v>597</v>
      </c>
      <c r="C41" s="29">
        <v>4246237</v>
      </c>
      <c r="D41" s="29">
        <v>3176679</v>
      </c>
      <c r="E41" s="29">
        <v>3386933</v>
      </c>
      <c r="F41" s="29">
        <v>4534092</v>
      </c>
      <c r="G41" s="29">
        <v>5683432</v>
      </c>
      <c r="H41" s="29">
        <v>6841030</v>
      </c>
      <c r="I41" s="29">
        <f t="shared" ref="I41:J41" si="142">H41+(I18+I20)-(I13+I15)</f>
        <v>7144020</v>
      </c>
      <c r="J41" s="29">
        <f t="shared" si="142"/>
        <v>7447010</v>
      </c>
      <c r="K41" s="29">
        <f>J41+(K18+K20)-(K13+K15)</f>
        <v>7750000</v>
      </c>
      <c r="L41" s="29">
        <f t="shared" ref="L41" si="143">K41+(L18+L20)-(L13+L15)</f>
        <v>7127050</v>
      </c>
      <c r="M41" s="29">
        <f t="shared" ref="M41" si="144">L41+(M18+M20)-(M13+M15)</f>
        <v>6142769</v>
      </c>
      <c r="N41" s="29">
        <f t="shared" ref="N41" si="145">M41+(N18+N20)-(N13+N15)</f>
        <v>5047291</v>
      </c>
      <c r="O41" s="29">
        <f t="shared" ref="O41" si="146">N41+(O18+O20)-(O13+O15)</f>
        <v>3493811</v>
      </c>
      <c r="P41" s="29">
        <f t="shared" ref="P41" si="147">O41+(P18+P20)-(P13+P15)</f>
        <v>2039818</v>
      </c>
      <c r="Q41" s="29">
        <f t="shared" ref="Q41" si="148">P41+(Q18+Q20)-(Q13+Q15)</f>
        <v>2855558.2857142854</v>
      </c>
      <c r="R41" s="29">
        <f t="shared" ref="R41" si="149">Q41+(R18+R20)-(R13+R15)</f>
        <v>3671298.5714285709</v>
      </c>
      <c r="S41" s="29">
        <f t="shared" ref="S41" si="150">R41+(S18+S20)-(S13+S15)</f>
        <v>4487038.8571428563</v>
      </c>
      <c r="T41" s="29">
        <f t="shared" ref="T41" si="151">S41+(T18+T20)-(T13+T15)</f>
        <v>5302779.1428571418</v>
      </c>
      <c r="U41" s="29">
        <f t="shared" ref="U41" si="152">T41+(U18+U20)-(U13+U15)</f>
        <v>6118519.4285714272</v>
      </c>
      <c r="V41" s="29">
        <f t="shared" ref="V41" si="153">U41+(V18+V20)-(V13+V15)</f>
        <v>6934259.7142857127</v>
      </c>
      <c r="W41" s="29">
        <f>V41+(W18+W20)-(W13+W15)</f>
        <v>7749999.9999999981</v>
      </c>
      <c r="X41" s="29">
        <f t="shared" ref="X41" si="154">W41+(X18+X20)-(X13+X15)</f>
        <v>7127049.9999999981</v>
      </c>
      <c r="Y41" s="29">
        <f t="shared" ref="Y41" si="155">X41+(Y18+Y20)-(Y13+Y15)</f>
        <v>6142768.9999999981</v>
      </c>
      <c r="Z41" s="29">
        <f t="shared" ref="Z41" si="156">Y41+(Z18+Z20)-(Z13+Z15)</f>
        <v>5047290.9999999981</v>
      </c>
      <c r="AA41" s="29">
        <f t="shared" ref="AA41" si="157">Z41+(AA18+AA20)-(AA13+AA15)</f>
        <v>3493810.9999999981</v>
      </c>
      <c r="AB41" s="29">
        <f t="shared" ref="AB41" si="158">AA41+(AB18+AB20)-(AB13+AB15)</f>
        <v>2039817.9999999981</v>
      </c>
      <c r="AC41" s="29">
        <f t="shared" ref="AC41" si="159">AB41+(AC18+AC20)-(AC13+AC15)</f>
        <v>2855558.2857142836</v>
      </c>
      <c r="AD41" s="29">
        <f t="shared" ref="AD41" si="160">AC41+(AD18+AD20)-(AD13+AD15)</f>
        <v>3671298.571428569</v>
      </c>
      <c r="AE41" s="29">
        <f t="shared" ref="AE41" si="161">AD41+(AE18+AE20)-(AE13+AE15)</f>
        <v>4487038.8571428545</v>
      </c>
      <c r="AF41" s="29">
        <f t="shared" ref="AF41" si="162">AE41+(AF18+AF20)-(AF13+AF15)</f>
        <v>5302779.1428571399</v>
      </c>
      <c r="AG41" s="29">
        <f t="shared" ref="AG41" si="163">AF41+(AG18+AG20)-(AG13+AG15)</f>
        <v>6118519.4285714254</v>
      </c>
      <c r="AH41" s="29">
        <f t="shared" ref="AH41" si="164">AG41+(AH18+AH20)-(AH13+AH15)</f>
        <v>6934259.7142857108</v>
      </c>
      <c r="AI41" s="29">
        <f>AH41+(AI18+AI20)-(AI13+AI15)</f>
        <v>7749999.9999999963</v>
      </c>
      <c r="AJ41" s="29">
        <f t="shared" ref="AJ41" si="165">AI41+(AJ18+AJ20)-(AJ13+AJ15)</f>
        <v>7127049.9999999963</v>
      </c>
      <c r="AK41" s="29">
        <f t="shared" ref="AK41" si="166">AJ41+(AK18+AK20)-(AK13+AK15)</f>
        <v>6142768.9999999963</v>
      </c>
      <c r="AL41" s="29">
        <f t="shared" ref="AL41" si="167">AK41+(AL18+AL20)-(AL13+AL15)</f>
        <v>5047290.9999999963</v>
      </c>
      <c r="AM41" s="29">
        <f t="shared" ref="AM41" si="168">AL41+(AM18+AM20)-(AM13+AM15)</f>
        <v>3493810.9999999963</v>
      </c>
      <c r="AN41" s="29">
        <f t="shared" ref="AN41" si="169">AM41+(AN18+AN20)-(AN13+AN15)</f>
        <v>2039817.9999999963</v>
      </c>
      <c r="AO41" s="29">
        <f t="shared" ref="AO41" si="170">AN41+(AO18+AO20)-(AO13+AO15)</f>
        <v>2855558.2857142817</v>
      </c>
      <c r="AP41" s="29">
        <f t="shared" ref="AP41" si="171">AO41+(AP18+AP20)-(AP13+AP15)</f>
        <v>3671298.5714285672</v>
      </c>
      <c r="AQ41" s="29">
        <f t="shared" ref="AQ41" si="172">AP41+(AQ18+AQ20)-(AQ13+AQ15)</f>
        <v>4487038.8571428526</v>
      </c>
      <c r="AR41" s="29">
        <f t="shared" ref="AR41" si="173">AQ41+(AR18+AR20)-(AR13+AR15)</f>
        <v>5302779.1428571381</v>
      </c>
      <c r="AS41" s="29">
        <f t="shared" ref="AS41" si="174">AR41+(AS18+AS20)-(AS13+AS15)</f>
        <v>6118519.4285714235</v>
      </c>
      <c r="AT41" s="29">
        <f t="shared" ref="AT41" si="175">AS41+(AT18+AT20)-(AT13+AT15)</f>
        <v>6934259.714285709</v>
      </c>
      <c r="AU41" s="29">
        <f>AT41+(AU18+AU20)-(AU13+AU15)</f>
        <v>7749999.9999999944</v>
      </c>
      <c r="AV41" s="29">
        <f t="shared" ref="AV41" si="176">AU41+(AV18+AV20)-(AV13+AV15)</f>
        <v>7127049.9999999944</v>
      </c>
      <c r="AW41" s="29">
        <f t="shared" ref="AW41" si="177">AV41+(AW18+AW20)-(AW13+AW15)</f>
        <v>6142768.9999999944</v>
      </c>
      <c r="AX41" s="29">
        <f t="shared" ref="AX41" si="178">AW41+(AX18+AX20)-(AX13+AX15)</f>
        <v>5047290.9999999944</v>
      </c>
      <c r="AY41" s="29">
        <f t="shared" ref="AY41" si="179">AX41+(AY18+AY20)-(AY13+AY15)</f>
        <v>3493810.9999999944</v>
      </c>
      <c r="AZ41" s="29">
        <f t="shared" ref="AZ41" si="180">AY41+(AZ18+AZ20)-(AZ13+AZ15)</f>
        <v>2039817.9999999944</v>
      </c>
      <c r="BA41" s="29">
        <f t="shared" ref="BA41" si="181">AZ41+(BA18+BA20)-(BA13+BA15)</f>
        <v>2855558.2857142799</v>
      </c>
      <c r="BB41" s="29">
        <f t="shared" ref="BB41" si="182">BA41+(BB18+BB20)-(BB13+BB15)</f>
        <v>3671298.5714285653</v>
      </c>
      <c r="BC41" s="29">
        <f t="shared" ref="BC41" si="183">BB41+(BC18+BC20)-(BC13+BC15)</f>
        <v>4487038.8571428508</v>
      </c>
      <c r="BD41" s="29">
        <f t="shared" ref="BD41" si="184">BC41+(BD18+BD20)-(BD13+BD15)</f>
        <v>5302779.1428571362</v>
      </c>
      <c r="BE41" s="29">
        <f t="shared" ref="BE41" si="185">BD41+(BE18+BE20)-(BE13+BE15)</f>
        <v>6118519.4285714217</v>
      </c>
      <c r="BF41" s="29">
        <f t="shared" ref="BF41" si="186">BE41+(BF18+BF20)-(BF13+BF15)</f>
        <v>6934259.7142857071</v>
      </c>
      <c r="BG41" s="29">
        <f>BF41+(BG18+BG20)-(BG13+BG15)</f>
        <v>7749999.9999999925</v>
      </c>
      <c r="BH41" s="29">
        <f t="shared" ref="BH41" si="187">BG41+(BH18+BH20)-(BH13+BH15)</f>
        <v>7127049.9999999925</v>
      </c>
      <c r="BI41" s="29">
        <f t="shared" ref="BI41" si="188">BH41+(BI18+BI20)-(BI13+BI15)</f>
        <v>6142768.9999999925</v>
      </c>
      <c r="BJ41" s="29">
        <f t="shared" ref="BJ41" si="189">BI41+(BJ18+BJ20)-(BJ13+BJ15)</f>
        <v>5047290.9999999925</v>
      </c>
      <c r="BK41" s="29">
        <f t="shared" ref="BK41" si="190">BJ41+(BK18+BK20)-(BK13+BK15)</f>
        <v>3493810.9999999925</v>
      </c>
      <c r="BL41" s="29">
        <f t="shared" ref="BL41" si="191">BK41+(BL18+BL20)-(BL13+BL15)</f>
        <v>2039817.9999999925</v>
      </c>
      <c r="BM41" s="29">
        <f t="shared" ref="BM41" si="192">BL41+(BM18+BM20)-(BM13+BM15)</f>
        <v>2855558.285714278</v>
      </c>
      <c r="BN41" s="29">
        <f t="shared" ref="BN41" si="193">BM41+(BN18+BN20)-(BN13+BN15)</f>
        <v>3671298.5714285634</v>
      </c>
      <c r="BO41" s="29">
        <f t="shared" ref="BO41" si="194">BN41+(BO18+BO20)-(BO13+BO15)</f>
        <v>4487038.8571428489</v>
      </c>
      <c r="BP41" s="29">
        <f t="shared" ref="BP41" si="195">BO41+(BP18+BP20)-(BP13+BP15)</f>
        <v>5302779.1428571343</v>
      </c>
      <c r="BQ41" s="29">
        <f t="shared" ref="BQ41" si="196">BP41+(BQ18+BQ20)-(BQ13+BQ15)</f>
        <v>6118519.4285714198</v>
      </c>
      <c r="BR41" s="29">
        <f t="shared" ref="BR41" si="197">BQ41+(BR18+BR20)-(BR13+BR15)</f>
        <v>6934259.7142857052</v>
      </c>
      <c r="BS41" s="29">
        <f>BR41+(BS18+BS20)-(BS13+BS15)</f>
        <v>7749999.9999999907</v>
      </c>
      <c r="BT41" s="29">
        <f t="shared" ref="BT41" si="198">BS41+(BT18+BT20)-(BT13+BT15)</f>
        <v>7127049.9999999907</v>
      </c>
      <c r="BU41" s="29">
        <f t="shared" ref="BU41" si="199">BT41+(BU18+BU20)-(BU13+BU15)</f>
        <v>6142768.9999999907</v>
      </c>
      <c r="BV41" s="29">
        <f t="shared" ref="BV41" si="200">BU41+(BV18+BV20)-(BV13+BV15)</f>
        <v>5047290.9999999907</v>
      </c>
      <c r="BW41" s="29">
        <f t="shared" ref="BW41" si="201">BV41+(BW18+BW20)-(BW13+BW15)</f>
        <v>3493810.9999999907</v>
      </c>
      <c r="BX41" s="29">
        <f t="shared" ref="BX41" si="202">BW41+(BX18+BX20)-(BX13+BX15)</f>
        <v>2039817.9999999907</v>
      </c>
      <c r="BY41" s="29">
        <f t="shared" ref="BY41" si="203">BX41+(BY18+BY20)-(BY13+BY15)</f>
        <v>2855558.2857142761</v>
      </c>
      <c r="BZ41" s="29">
        <f t="shared" ref="BZ41" si="204">BY41+(BZ18+BZ20)-(BZ13+BZ15)</f>
        <v>3671298.5714285616</v>
      </c>
      <c r="CA41" s="29">
        <f t="shared" ref="CA41" si="205">BZ41+(CA18+CA20)-(CA13+CA15)</f>
        <v>4487038.857142847</v>
      </c>
      <c r="CB41" s="29">
        <f t="shared" ref="CB41" si="206">CA41+(CB18+CB20)-(CB13+CB15)</f>
        <v>5302779.1428571325</v>
      </c>
      <c r="CC41" s="29">
        <f t="shared" ref="CC41" si="207">CB41+(CC18+CC20)-(CC13+CC15)</f>
        <v>6118519.4285714179</v>
      </c>
      <c r="CD41" s="29">
        <f t="shared" ref="CD41" si="208">CC41+(CD18+CD20)-(CD13+CD15)</f>
        <v>6934259.7142857034</v>
      </c>
      <c r="CE41" s="29">
        <f>CD41+(CE18+CE20)-(CE13+CE15)</f>
        <v>6934259.7142857034</v>
      </c>
      <c r="CF41" s="29">
        <f t="shared" ref="CF41" si="209">CE41+(CF18+CF20)-(CF13+CF15)</f>
        <v>6934259.7142857034</v>
      </c>
      <c r="CG41" s="29">
        <f t="shared" ref="CG41" si="210">CF41+(CG18+CG20)-(CG13+CG15)</f>
        <v>6934259.7142857034</v>
      </c>
      <c r="CH41" s="29">
        <f t="shared" ref="CH41" si="211">CG41+(CH18+CH20)-(CH13+CH15)</f>
        <v>6934259.7142857034</v>
      </c>
      <c r="CI41" s="29">
        <f t="shared" ref="CI41" si="212">CH41+(CI18+CI20)-(CI13+CI15)</f>
        <v>6934259.7142857034</v>
      </c>
    </row>
    <row r="42" spans="1:87">
      <c r="B42" s="106" t="s">
        <v>595</v>
      </c>
      <c r="C42" s="94">
        <v>-4136616.3499999978</v>
      </c>
      <c r="D42" s="94">
        <v>-3792198.6400000006</v>
      </c>
      <c r="E42" s="94">
        <v>903804.6400000006</v>
      </c>
      <c r="F42" s="94">
        <v>1335301.839999998</v>
      </c>
      <c r="G42" s="94">
        <v>2384337.2400000002</v>
      </c>
      <c r="H42" s="94">
        <v>2550145.6900000013</v>
      </c>
      <c r="I42" s="94">
        <f>IF(AND(MONTH(I4)&gt;=4,MONTH(I4)&lt;=10),(I34+I35)*(I18+I20)+(I18*I38)+(I20*I36),"Withdrawl")</f>
        <v>909207.047015975</v>
      </c>
      <c r="J42" s="94">
        <f>IF(AND(MONTH(J4)&gt;=4,MONTH(J4)&lt;=10),(J34+J35)*(J18+J20)+(J18*J38)+(J20*J36),"Withdrawl")</f>
        <v>902766.29079022654</v>
      </c>
      <c r="K42" s="94">
        <f>IF(AND(MONTH(K4)&gt;=4,MONTH(K4)&lt;=10),(K34+K35)*(K18+K20)+(K18*K38)+(K20*K36),"Withdrawl")</f>
        <v>926566.41855775367</v>
      </c>
      <c r="L42" s="94">
        <f>IF(AND(MONTH(L4)&gt;=4,MONTH(L4)&lt;=10),(L34+L35)*(L18+L20)+(L18*L38)+(L20*L36),-(L13+L15)*MAX(G44:K44))</f>
        <v>-1757186.5972310225</v>
      </c>
      <c r="M42" s="94">
        <f t="shared" ref="M42:BX42" si="213">IF(AND(MONTH(M4)&gt;=4,MONTH(M4)&lt;=10),(M34+M35)*(M18+M20)+(M18*M38)+(M20*M36),-(M13+M15)*MAX(H44:L44))</f>
        <v>-2776411.2386373677</v>
      </c>
      <c r="N42" s="94">
        <f t="shared" si="213"/>
        <v>-3090070.2450621175</v>
      </c>
      <c r="O42" s="94">
        <f t="shared" si="213"/>
        <v>-4381979.669422023</v>
      </c>
      <c r="P42" s="94">
        <f t="shared" si="213"/>
        <v>-4101351.6527293143</v>
      </c>
      <c r="Q42" s="94">
        <f t="shared" si="213"/>
        <v>2423727.8970655701</v>
      </c>
      <c r="R42" s="94">
        <f t="shared" si="213"/>
        <v>2462537.4858181421</v>
      </c>
      <c r="S42" s="94">
        <f t="shared" si="213"/>
        <v>2588875.083246727</v>
      </c>
      <c r="T42" s="94">
        <f t="shared" si="213"/>
        <v>2727598.7196388985</v>
      </c>
      <c r="U42" s="94">
        <f t="shared" si="213"/>
        <v>2730901.6633625212</v>
      </c>
      <c r="V42" s="94">
        <f t="shared" si="213"/>
        <v>2782923.0270095854</v>
      </c>
      <c r="W42" s="94">
        <f t="shared" si="213"/>
        <v>3010000.4080086756</v>
      </c>
      <c r="X42" s="94">
        <f t="shared" si="213"/>
        <v>-1967748.9124131498</v>
      </c>
      <c r="Y42" s="94">
        <f t="shared" si="213"/>
        <v>-3109106.4567925637</v>
      </c>
      <c r="Z42" s="94">
        <f t="shared" si="213"/>
        <v>-3460350.9801308815</v>
      </c>
      <c r="AA42" s="94">
        <f t="shared" si="213"/>
        <v>-4907068.914769372</v>
      </c>
      <c r="AB42" s="94">
        <f t="shared" si="213"/>
        <v>-4592813.4591962965</v>
      </c>
      <c r="AC42" s="94">
        <f t="shared" si="213"/>
        <v>2667319.9966827761</v>
      </c>
      <c r="AD42" s="94">
        <f t="shared" si="213"/>
        <v>2779620.0832859622</v>
      </c>
      <c r="AE42" s="94">
        <f t="shared" si="213"/>
        <v>2903480.4729218297</v>
      </c>
      <c r="AF42" s="94">
        <f t="shared" si="213"/>
        <v>2933206.9664344373</v>
      </c>
      <c r="AG42" s="94">
        <f t="shared" si="213"/>
        <v>2908434.8885072642</v>
      </c>
      <c r="AH42" s="94">
        <f t="shared" si="213"/>
        <v>2957979.0443616114</v>
      </c>
      <c r="AI42" s="94">
        <f t="shared" si="213"/>
        <v>3179276.2738443608</v>
      </c>
      <c r="AJ42" s="94">
        <f t="shared" si="213"/>
        <v>-2151999.7585104899</v>
      </c>
      <c r="AK42" s="94">
        <f t="shared" si="213"/>
        <v>-3400228.7090560454</v>
      </c>
      <c r="AL42" s="94">
        <f t="shared" si="213"/>
        <v>-3784362.1341256187</v>
      </c>
      <c r="AM42" s="94">
        <f t="shared" si="213"/>
        <v>-5366544.0000816686</v>
      </c>
      <c r="AN42" s="94">
        <f t="shared" si="213"/>
        <v>-5022863.1268576011</v>
      </c>
      <c r="AO42" s="94">
        <f t="shared" si="213"/>
        <v>2649979.5421337546</v>
      </c>
      <c r="AP42" s="94">
        <f t="shared" si="213"/>
        <v>2754848.0053587891</v>
      </c>
      <c r="AQ42" s="94">
        <f t="shared" si="213"/>
        <v>2870451.0356855984</v>
      </c>
      <c r="AR42" s="94">
        <f t="shared" si="213"/>
        <v>2905131.944783641</v>
      </c>
      <c r="AS42" s="94">
        <f t="shared" si="213"/>
        <v>2892745.9058200545</v>
      </c>
      <c r="AT42" s="94">
        <f t="shared" si="213"/>
        <v>2946418.74132893</v>
      </c>
      <c r="AU42" s="94">
        <f t="shared" si="213"/>
        <v>3142943.8928845064</v>
      </c>
      <c r="AV42" s="94">
        <f t="shared" si="213"/>
        <v>-2187087.6253952268</v>
      </c>
      <c r="AW42" s="94">
        <f t="shared" si="213"/>
        <v>-3455668.6652406119</v>
      </c>
      <c r="AX42" s="94">
        <f t="shared" si="213"/>
        <v>-3846065.2984873783</v>
      </c>
      <c r="AY42" s="94">
        <f t="shared" si="213"/>
        <v>-5454044.2801171476</v>
      </c>
      <c r="AZ42" s="94">
        <f t="shared" si="213"/>
        <v>-5104759.7683783323</v>
      </c>
      <c r="BA42" s="94">
        <f t="shared" si="213"/>
        <v>2537679.4555305685</v>
      </c>
      <c r="BB42" s="94">
        <f t="shared" si="213"/>
        <v>2659888.3733046236</v>
      </c>
      <c r="BC42" s="94">
        <f t="shared" si="213"/>
        <v>2810172.3127294765</v>
      </c>
      <c r="BD42" s="94">
        <f t="shared" si="213"/>
        <v>2846504.6936893305</v>
      </c>
      <c r="BE42" s="94">
        <f t="shared" si="213"/>
        <v>2825035.5594857801</v>
      </c>
      <c r="BF42" s="94">
        <f t="shared" si="213"/>
        <v>2872102.5075474097</v>
      </c>
      <c r="BG42" s="94">
        <f t="shared" si="213"/>
        <v>3075233.5465502325</v>
      </c>
      <c r="BH42" s="94">
        <f t="shared" si="213"/>
        <v>-2153246.6351821567</v>
      </c>
      <c r="BI42" s="94">
        <f t="shared" si="213"/>
        <v>-3402198.8142286353</v>
      </c>
      <c r="BJ42" s="94">
        <f t="shared" si="213"/>
        <v>-3786554.8076347676</v>
      </c>
      <c r="BK42" s="94">
        <f t="shared" si="213"/>
        <v>-5369653.3956541885</v>
      </c>
      <c r="BL42" s="94">
        <f t="shared" si="213"/>
        <v>-5025773.3924527001</v>
      </c>
      <c r="BM42" s="94">
        <f t="shared" si="213"/>
        <v>2492263.9793307502</v>
      </c>
      <c r="BN42" s="94">
        <f t="shared" si="213"/>
        <v>2643373.6546865082</v>
      </c>
      <c r="BO42" s="94">
        <f t="shared" si="213"/>
        <v>2801914.9534204183</v>
      </c>
      <c r="BP42" s="94">
        <f t="shared" si="213"/>
        <v>2829164.2391403094</v>
      </c>
      <c r="BQ42" s="94">
        <f t="shared" si="213"/>
        <v>2803566.4252822301</v>
      </c>
      <c r="BR42" s="94">
        <f t="shared" si="213"/>
        <v>2858890.7326529175</v>
      </c>
      <c r="BS42" s="94">
        <f t="shared" si="213"/>
        <v>3078536.4902738556</v>
      </c>
      <c r="BT42" s="94">
        <f t="shared" si="213"/>
        <v>-2134781.8690519421</v>
      </c>
      <c r="BU42" s="94">
        <f t="shared" si="213"/>
        <v>-3373023.8909259406</v>
      </c>
      <c r="BV42" s="94">
        <f t="shared" si="213"/>
        <v>-3754083.9109804695</v>
      </c>
      <c r="BW42" s="94">
        <f t="shared" si="213"/>
        <v>-5323606.9314307915</v>
      </c>
      <c r="BX42" s="94">
        <f t="shared" si="213"/>
        <v>-4982675.8072532956</v>
      </c>
      <c r="BY42" s="94">
        <f t="shared" ref="BY42:CI42" si="214">IF(AND(MONTH(BY4)&gt;=4,MONTH(BY4)&lt;=10),(BY34+BY35)*(BY18+BY20)+(BY18*BY38)+(BY20*BY36),-(BY13+BY15)*MAX(BT44:BX44))</f>
        <v>2412167.5940328892</v>
      </c>
      <c r="BZ42" s="94">
        <f t="shared" si="214"/>
        <v>2536853.7195996623</v>
      </c>
      <c r="CA42" s="94">
        <f t="shared" si="214"/>
        <v>2671448.676337305</v>
      </c>
      <c r="CB42" s="94">
        <f t="shared" si="214"/>
        <v>2692917.8105408554</v>
      </c>
      <c r="CC42" s="94">
        <f t="shared" si="214"/>
        <v>2641722.1828246969</v>
      </c>
      <c r="CD42" s="94">
        <f t="shared" si="214"/>
        <v>2679706.0356463627</v>
      </c>
      <c r="CE42" s="94">
        <f t="shared" si="214"/>
        <v>0</v>
      </c>
      <c r="CF42" s="94">
        <f t="shared" si="214"/>
        <v>0</v>
      </c>
      <c r="CG42" s="94">
        <f t="shared" si="214"/>
        <v>0</v>
      </c>
      <c r="CH42" s="94">
        <f t="shared" si="214"/>
        <v>0</v>
      </c>
      <c r="CI42" s="94">
        <f t="shared" si="214"/>
        <v>0</v>
      </c>
    </row>
    <row r="43" spans="1:87">
      <c r="B43" s="106" t="s">
        <v>596</v>
      </c>
      <c r="C43" s="94">
        <v>15740886.760000002</v>
      </c>
      <c r="D43" s="94">
        <f>C43+D42</f>
        <v>11948688.120000001</v>
      </c>
      <c r="E43" s="94">
        <f t="shared" ref="E43:G43" si="215">D43+E42</f>
        <v>12852492.760000002</v>
      </c>
      <c r="F43" s="94">
        <f t="shared" si="215"/>
        <v>14187794.6</v>
      </c>
      <c r="G43" s="94">
        <f t="shared" si="215"/>
        <v>16572131.84</v>
      </c>
      <c r="H43" s="94">
        <f>G43+H42</f>
        <v>19122277.530000001</v>
      </c>
      <c r="I43" s="94">
        <f t="shared" ref="I43:K43" si="216">+H43+I42</f>
        <v>20031484.577015977</v>
      </c>
      <c r="J43" s="94">
        <f t="shared" ref="J43" si="217">+I43+J42</f>
        <v>20934250.867806204</v>
      </c>
      <c r="K43" s="94">
        <f t="shared" si="216"/>
        <v>21860817.286363956</v>
      </c>
      <c r="L43" s="94">
        <f t="shared" ref="L43" si="218">+K43+L42</f>
        <v>20103630.689132933</v>
      </c>
      <c r="M43" s="94">
        <f t="shared" ref="M43" si="219">+L43+M42</f>
        <v>17327219.450495563</v>
      </c>
      <c r="N43" s="94">
        <f t="shared" ref="N43" si="220">+M43+N42</f>
        <v>14237149.205433447</v>
      </c>
      <c r="O43" s="94">
        <f t="shared" ref="O43" si="221">+N43+O42</f>
        <v>9855169.5360114239</v>
      </c>
      <c r="P43" s="94">
        <f t="shared" ref="P43" si="222">+O43+P42</f>
        <v>5753817.8832821101</v>
      </c>
      <c r="Q43" s="94">
        <f t="shared" ref="Q43" si="223">+P43+Q42</f>
        <v>8177545.7803476807</v>
      </c>
      <c r="R43" s="94">
        <f t="shared" ref="R43" si="224">+Q43+R42</f>
        <v>10640083.266165823</v>
      </c>
      <c r="S43" s="94">
        <f t="shared" ref="S43" si="225">+R43+S42</f>
        <v>13228958.349412549</v>
      </c>
      <c r="T43" s="94">
        <f t="shared" ref="T43" si="226">+S43+T42</f>
        <v>15956557.069051448</v>
      </c>
      <c r="U43" s="94">
        <f t="shared" ref="U43" si="227">+T43+U42</f>
        <v>18687458.73241397</v>
      </c>
      <c r="V43" s="94">
        <f t="shared" ref="V43" si="228">+U43+V42</f>
        <v>21470381.759423554</v>
      </c>
      <c r="W43" s="94">
        <f t="shared" ref="W43" si="229">+V43+W42</f>
        <v>24480382.16743223</v>
      </c>
      <c r="X43" s="94">
        <f t="shared" ref="X43" si="230">+W43+X42</f>
        <v>22512633.25501908</v>
      </c>
      <c r="Y43" s="94">
        <f t="shared" ref="Y43" si="231">+X43+Y42</f>
        <v>19403526.798226517</v>
      </c>
      <c r="Z43" s="94">
        <f t="shared" ref="Z43" si="232">+Y43+Z42</f>
        <v>15943175.818095636</v>
      </c>
      <c r="AA43" s="94">
        <f t="shared" ref="AA43" si="233">+Z43+AA42</f>
        <v>11036106.903326264</v>
      </c>
      <c r="AB43" s="94">
        <f t="shared" ref="AB43" si="234">+AA43+AB42</f>
        <v>6443293.4441299671</v>
      </c>
      <c r="AC43" s="94">
        <f t="shared" ref="AC43" si="235">+AB43+AC42</f>
        <v>9110613.4408127442</v>
      </c>
      <c r="AD43" s="94">
        <f t="shared" ref="AD43" si="236">+AC43+AD42</f>
        <v>11890233.524098706</v>
      </c>
      <c r="AE43" s="94">
        <f t="shared" ref="AE43" si="237">+AD43+AE42</f>
        <v>14793713.997020535</v>
      </c>
      <c r="AF43" s="94">
        <f t="shared" ref="AF43" si="238">+AE43+AF42</f>
        <v>17726920.963454973</v>
      </c>
      <c r="AG43" s="94">
        <f t="shared" ref="AG43" si="239">+AF43+AG42</f>
        <v>20635355.851962239</v>
      </c>
      <c r="AH43" s="94">
        <f t="shared" ref="AH43" si="240">+AG43+AH42</f>
        <v>23593334.896323849</v>
      </c>
      <c r="AI43" s="94">
        <f t="shared" ref="AI43" si="241">+AH43+AI42</f>
        <v>26772611.17016821</v>
      </c>
      <c r="AJ43" s="94">
        <f t="shared" ref="AJ43" si="242">+AI43+AJ42</f>
        <v>24620611.411657721</v>
      </c>
      <c r="AK43" s="94">
        <f t="shared" ref="AK43" si="243">+AJ43+AK42</f>
        <v>21220382.702601675</v>
      </c>
      <c r="AL43" s="94">
        <f t="shared" ref="AL43" si="244">+AK43+AL42</f>
        <v>17436020.568476055</v>
      </c>
      <c r="AM43" s="94">
        <f t="shared" ref="AM43" si="245">+AL43+AM42</f>
        <v>12069476.568394385</v>
      </c>
      <c r="AN43" s="94">
        <f t="shared" ref="AN43" si="246">+AM43+AN42</f>
        <v>7046613.4415367842</v>
      </c>
      <c r="AO43" s="94">
        <f t="shared" ref="AO43" si="247">+AN43+AO42</f>
        <v>9696592.9836705383</v>
      </c>
      <c r="AP43" s="94">
        <f t="shared" ref="AP43" si="248">+AO43+AP42</f>
        <v>12451440.989029327</v>
      </c>
      <c r="AQ43" s="94">
        <f t="shared" ref="AQ43" si="249">+AP43+AQ42</f>
        <v>15321892.024714926</v>
      </c>
      <c r="AR43" s="94">
        <f t="shared" ref="AR43" si="250">+AQ43+AR42</f>
        <v>18227023.969498567</v>
      </c>
      <c r="AS43" s="94">
        <f t="shared" ref="AS43" si="251">+AR43+AS42</f>
        <v>21119769.87531862</v>
      </c>
      <c r="AT43" s="94">
        <f t="shared" ref="AT43" si="252">+AS43+AT42</f>
        <v>24066188.616647549</v>
      </c>
      <c r="AU43" s="94">
        <f t="shared" ref="AU43" si="253">+AT43+AU42</f>
        <v>27209132.509532057</v>
      </c>
      <c r="AV43" s="94">
        <f t="shared" ref="AV43" si="254">+AU43+AV42</f>
        <v>25022044.88413683</v>
      </c>
      <c r="AW43" s="94">
        <f t="shared" ref="AW43" si="255">+AV43+AW42</f>
        <v>21566376.218896218</v>
      </c>
      <c r="AX43" s="94">
        <f t="shared" ref="AX43" si="256">+AW43+AX42</f>
        <v>17720310.920408837</v>
      </c>
      <c r="AY43" s="94">
        <f t="shared" ref="AY43" si="257">+AX43+AY42</f>
        <v>12266266.640291691</v>
      </c>
      <c r="AZ43" s="94">
        <f t="shared" ref="AZ43" si="258">+AY43+AZ42</f>
        <v>7161506.8719133586</v>
      </c>
      <c r="BA43" s="94">
        <f t="shared" ref="BA43" si="259">+AZ43+BA42</f>
        <v>9699186.3274439275</v>
      </c>
      <c r="BB43" s="94">
        <f t="shared" ref="BB43" si="260">+BA43+BB42</f>
        <v>12359074.700748552</v>
      </c>
      <c r="BC43" s="94">
        <f t="shared" ref="BC43" si="261">+BB43+BC42</f>
        <v>15169247.013478028</v>
      </c>
      <c r="BD43" s="94">
        <f t="shared" ref="BD43" si="262">+BC43+BD42</f>
        <v>18015751.707167357</v>
      </c>
      <c r="BE43" s="94">
        <f t="shared" ref="BE43" si="263">+BD43+BE42</f>
        <v>20840787.266653135</v>
      </c>
      <c r="BF43" s="94">
        <f t="shared" ref="BF43" si="264">+BE43+BF42</f>
        <v>23712889.774200544</v>
      </c>
      <c r="BG43" s="94">
        <f t="shared" ref="BG43" si="265">+BF43+BG42</f>
        <v>26788123.320750777</v>
      </c>
      <c r="BH43" s="94">
        <f t="shared" ref="BH43" si="266">+BG43+BH42</f>
        <v>24634876.68556862</v>
      </c>
      <c r="BI43" s="94">
        <f t="shared" ref="BI43" si="267">+BH43+BI42</f>
        <v>21232677.871339984</v>
      </c>
      <c r="BJ43" s="94">
        <f t="shared" ref="BJ43" si="268">+BI43+BJ42</f>
        <v>17446123.063705217</v>
      </c>
      <c r="BK43" s="94">
        <f t="shared" ref="BK43" si="269">+BJ43+BK42</f>
        <v>12076469.668051029</v>
      </c>
      <c r="BL43" s="94">
        <f t="shared" ref="BL43" si="270">+BK43+BL42</f>
        <v>7050696.2755983286</v>
      </c>
      <c r="BM43" s="94">
        <f t="shared" ref="BM43" si="271">+BL43+BM42</f>
        <v>9542960.2549290787</v>
      </c>
      <c r="BN43" s="94">
        <f t="shared" ref="BN43" si="272">+BM43+BN42</f>
        <v>12186333.909615587</v>
      </c>
      <c r="BO43" s="94">
        <f t="shared" ref="BO43" si="273">+BN43+BO42</f>
        <v>14988248.863036007</v>
      </c>
      <c r="BP43" s="94">
        <f t="shared" ref="BP43" si="274">+BO43+BP42</f>
        <v>17817413.102176316</v>
      </c>
      <c r="BQ43" s="94">
        <f t="shared" ref="BQ43" si="275">+BP43+BQ42</f>
        <v>20620979.527458545</v>
      </c>
      <c r="BR43" s="94">
        <f t="shared" ref="BR43" si="276">+BQ43+BR42</f>
        <v>23479870.260111462</v>
      </c>
      <c r="BS43" s="94">
        <f t="shared" ref="BS43" si="277">+BR43+BS42</f>
        <v>26558406.750385318</v>
      </c>
      <c r="BT43" s="94">
        <f t="shared" ref="BT43" si="278">+BS43+BT42</f>
        <v>24423624.881333377</v>
      </c>
      <c r="BU43" s="94">
        <f t="shared" ref="BU43" si="279">+BT43+BU42</f>
        <v>21050600.990407437</v>
      </c>
      <c r="BV43" s="94">
        <f t="shared" ref="BV43" si="280">+BU43+BV42</f>
        <v>17296517.079426967</v>
      </c>
      <c r="BW43" s="94">
        <f t="shared" ref="BW43" si="281">+BV43+BW42</f>
        <v>11972910.147996176</v>
      </c>
      <c r="BX43" s="94">
        <f t="shared" ref="BX43" si="282">+BW43+BX42</f>
        <v>6990234.3407428805</v>
      </c>
      <c r="BY43" s="94">
        <f t="shared" ref="BY43" si="283">+BX43+BY42</f>
        <v>9402401.9347757697</v>
      </c>
      <c r="BZ43" s="94">
        <f t="shared" ref="BZ43" si="284">+BY43+BZ42</f>
        <v>11939255.654375432</v>
      </c>
      <c r="CA43" s="94">
        <f t="shared" ref="CA43" si="285">+BZ43+CA42</f>
        <v>14610704.330712738</v>
      </c>
      <c r="CB43" s="94">
        <f t="shared" ref="CB43" si="286">+CA43+CB42</f>
        <v>17303622.141253594</v>
      </c>
      <c r="CC43" s="94">
        <f t="shared" ref="CC43" si="287">+CB43+CC42</f>
        <v>19945344.324078292</v>
      </c>
      <c r="CD43" s="94">
        <f t="shared" ref="CD43" si="288">+CC43+CD42</f>
        <v>22625050.359724656</v>
      </c>
      <c r="CE43" s="94">
        <f t="shared" ref="CE43" si="289">+CD43+CE42</f>
        <v>22625050.359724656</v>
      </c>
      <c r="CF43" s="94">
        <f t="shared" ref="CF43" si="290">+CE43+CF42</f>
        <v>22625050.359724656</v>
      </c>
      <c r="CG43" s="94">
        <f t="shared" ref="CG43" si="291">+CF43+CG42</f>
        <v>22625050.359724656</v>
      </c>
      <c r="CH43" s="94">
        <f t="shared" ref="CH43" si="292">+CG43+CH42</f>
        <v>22625050.359724656</v>
      </c>
      <c r="CI43" s="94">
        <f t="shared" ref="CI43" si="293">+CH43+CI42</f>
        <v>22625050.359724656</v>
      </c>
    </row>
    <row r="44" spans="1:87">
      <c r="A44" s="158"/>
      <c r="B44" s="365" t="s">
        <v>388</v>
      </c>
      <c r="C44" s="207" t="str">
        <f>IF(MONTH(C4)=10,C41/C43,"")</f>
        <v/>
      </c>
      <c r="D44" s="207" t="str">
        <f t="shared" ref="D44:J44" si="294">IF(MONTH(D4)=10,D41/D43,"")</f>
        <v/>
      </c>
      <c r="E44" s="207" t="str">
        <f t="shared" si="294"/>
        <v/>
      </c>
      <c r="F44" s="207" t="str">
        <f t="shared" si="294"/>
        <v/>
      </c>
      <c r="G44" s="207" t="str">
        <f t="shared" si="294"/>
        <v/>
      </c>
      <c r="H44" s="207" t="str">
        <f t="shared" si="294"/>
        <v/>
      </c>
      <c r="I44" s="207" t="str">
        <f t="shared" si="294"/>
        <v/>
      </c>
      <c r="J44" s="207" t="str">
        <f t="shared" si="294"/>
        <v/>
      </c>
      <c r="K44" s="207">
        <f>IF(MONTH(K4)=10,K43/K41,"")</f>
        <v>2.820750617595349</v>
      </c>
      <c r="L44" s="207" t="str">
        <f t="shared" ref="L44:N44" si="295">IF(MONTH(L4)=10,L43/L41,"")</f>
        <v/>
      </c>
      <c r="M44" s="207" t="str">
        <f t="shared" si="295"/>
        <v/>
      </c>
      <c r="N44" s="207" t="str">
        <f t="shared" si="295"/>
        <v/>
      </c>
      <c r="O44" s="207" t="str">
        <f t="shared" ref="O44" si="296">IF(MONTH(O4)=10,O43/O41,"")</f>
        <v/>
      </c>
      <c r="P44" s="207" t="str">
        <f t="shared" ref="P44" si="297">IF(MONTH(P4)=10,P43/P41,"")</f>
        <v/>
      </c>
      <c r="Q44" s="207" t="str">
        <f t="shared" ref="Q44" si="298">IF(MONTH(Q4)=10,Q43/Q41,"")</f>
        <v/>
      </c>
      <c r="R44" s="207" t="str">
        <f t="shared" ref="R44" si="299">IF(MONTH(R4)=10,R43/R41,"")</f>
        <v/>
      </c>
      <c r="S44" s="207" t="str">
        <f t="shared" ref="S44" si="300">IF(MONTH(S4)=10,S43/S41,"")</f>
        <v/>
      </c>
      <c r="T44" s="207" t="str">
        <f t="shared" ref="T44" si="301">IF(MONTH(T4)=10,T43/T41,"")</f>
        <v/>
      </c>
      <c r="U44" s="207" t="str">
        <f t="shared" ref="U44" si="302">IF(MONTH(U4)=10,U43/U41,"")</f>
        <v/>
      </c>
      <c r="V44" s="207" t="str">
        <f t="shared" ref="V44" si="303">IF(MONTH(V4)=10,V43/V41,"")</f>
        <v/>
      </c>
      <c r="W44" s="207">
        <f>IF(MONTH(W4)=10,W43/W41,"")</f>
        <v>3.158758989346095</v>
      </c>
      <c r="X44" s="207" t="str">
        <f t="shared" ref="X44:CD44" si="304">IF(MONTH(X4)=10,X43/X41,"")</f>
        <v/>
      </c>
      <c r="Y44" s="207" t="str">
        <f t="shared" si="304"/>
        <v/>
      </c>
      <c r="Z44" s="207" t="str">
        <f t="shared" si="304"/>
        <v/>
      </c>
      <c r="AA44" s="207" t="str">
        <f t="shared" si="304"/>
        <v/>
      </c>
      <c r="AB44" s="207" t="str">
        <f t="shared" si="304"/>
        <v/>
      </c>
      <c r="AC44" s="207" t="str">
        <f t="shared" si="304"/>
        <v/>
      </c>
      <c r="AD44" s="207" t="str">
        <f t="shared" si="304"/>
        <v/>
      </c>
      <c r="AE44" s="207" t="str">
        <f t="shared" si="304"/>
        <v/>
      </c>
      <c r="AF44" s="207" t="str">
        <f t="shared" si="304"/>
        <v/>
      </c>
      <c r="AG44" s="207" t="str">
        <f t="shared" si="304"/>
        <v/>
      </c>
      <c r="AH44" s="207" t="str">
        <f t="shared" si="304"/>
        <v/>
      </c>
      <c r="AI44" s="207">
        <f t="shared" si="304"/>
        <v>3.4545304735700935</v>
      </c>
      <c r="AJ44" s="207" t="str">
        <f t="shared" si="304"/>
        <v/>
      </c>
      <c r="AK44" s="207" t="str">
        <f t="shared" si="304"/>
        <v/>
      </c>
      <c r="AL44" s="207" t="str">
        <f t="shared" si="304"/>
        <v/>
      </c>
      <c r="AM44" s="207" t="str">
        <f t="shared" si="304"/>
        <v/>
      </c>
      <c r="AN44" s="207" t="str">
        <f t="shared" si="304"/>
        <v/>
      </c>
      <c r="AO44" s="207" t="str">
        <f t="shared" si="304"/>
        <v/>
      </c>
      <c r="AP44" s="207" t="str">
        <f t="shared" si="304"/>
        <v/>
      </c>
      <c r="AQ44" s="207" t="str">
        <f t="shared" si="304"/>
        <v/>
      </c>
      <c r="AR44" s="207" t="str">
        <f t="shared" si="304"/>
        <v/>
      </c>
      <c r="AS44" s="207" t="str">
        <f t="shared" si="304"/>
        <v/>
      </c>
      <c r="AT44" s="207" t="str">
        <f t="shared" si="304"/>
        <v/>
      </c>
      <c r="AU44" s="207">
        <f t="shared" si="304"/>
        <v>3.5108558076815584</v>
      </c>
      <c r="AV44" s="207" t="str">
        <f t="shared" si="304"/>
        <v/>
      </c>
      <c r="AW44" s="207" t="str">
        <f t="shared" si="304"/>
        <v/>
      </c>
      <c r="AX44" s="207" t="str">
        <f t="shared" si="304"/>
        <v/>
      </c>
      <c r="AY44" s="207" t="str">
        <f t="shared" si="304"/>
        <v/>
      </c>
      <c r="AZ44" s="207" t="str">
        <f t="shared" si="304"/>
        <v/>
      </c>
      <c r="BA44" s="207" t="str">
        <f t="shared" si="304"/>
        <v/>
      </c>
      <c r="BB44" s="207" t="str">
        <f t="shared" si="304"/>
        <v/>
      </c>
      <c r="BC44" s="207" t="str">
        <f t="shared" si="304"/>
        <v/>
      </c>
      <c r="BD44" s="207" t="str">
        <f t="shared" si="304"/>
        <v/>
      </c>
      <c r="BE44" s="207" t="str">
        <f t="shared" si="304"/>
        <v/>
      </c>
      <c r="BF44" s="207" t="str">
        <f t="shared" si="304"/>
        <v/>
      </c>
      <c r="BG44" s="207">
        <f t="shared" si="304"/>
        <v>3.4565320413872005</v>
      </c>
      <c r="BH44" s="207" t="str">
        <f t="shared" si="304"/>
        <v/>
      </c>
      <c r="BI44" s="207" t="str">
        <f t="shared" si="304"/>
        <v/>
      </c>
      <c r="BJ44" s="207" t="str">
        <f t="shared" si="304"/>
        <v/>
      </c>
      <c r="BK44" s="207" t="str">
        <f t="shared" si="304"/>
        <v/>
      </c>
      <c r="BL44" s="207" t="str">
        <f t="shared" si="304"/>
        <v/>
      </c>
      <c r="BM44" s="207" t="str">
        <f t="shared" si="304"/>
        <v/>
      </c>
      <c r="BN44" s="207" t="str">
        <f t="shared" si="304"/>
        <v/>
      </c>
      <c r="BO44" s="207" t="str">
        <f t="shared" si="304"/>
        <v/>
      </c>
      <c r="BP44" s="207" t="str">
        <f t="shared" si="304"/>
        <v/>
      </c>
      <c r="BQ44" s="207" t="str">
        <f t="shared" si="304"/>
        <v/>
      </c>
      <c r="BR44" s="207" t="str">
        <f t="shared" si="304"/>
        <v/>
      </c>
      <c r="BS44" s="207">
        <f t="shared" si="304"/>
        <v>3.4268911935981095</v>
      </c>
      <c r="BT44" s="207" t="str">
        <f t="shared" si="304"/>
        <v/>
      </c>
      <c r="BU44" s="207" t="str">
        <f t="shared" si="304"/>
        <v/>
      </c>
      <c r="BV44" s="207" t="str">
        <f t="shared" si="304"/>
        <v/>
      </c>
      <c r="BW44" s="207" t="str">
        <f t="shared" si="304"/>
        <v/>
      </c>
      <c r="BX44" s="207" t="str">
        <f t="shared" si="304"/>
        <v/>
      </c>
      <c r="BY44" s="207" t="str">
        <f t="shared" si="304"/>
        <v/>
      </c>
      <c r="BZ44" s="207" t="str">
        <f t="shared" si="304"/>
        <v/>
      </c>
      <c r="CA44" s="207" t="str">
        <f t="shared" si="304"/>
        <v/>
      </c>
      <c r="CB44" s="207" t="str">
        <f t="shared" si="304"/>
        <v/>
      </c>
      <c r="CC44" s="207" t="str">
        <f t="shared" si="304"/>
        <v/>
      </c>
      <c r="CD44" s="207" t="str">
        <f t="shared" si="304"/>
        <v/>
      </c>
      <c r="CE44" s="207" t="str">
        <f t="shared" ref="CE44" si="305">IF(MONTH(CE4)=10,CE43/CE41,"")</f>
        <v/>
      </c>
      <c r="CF44" s="207" t="str">
        <f t="shared" ref="CF44" si="306">IF(MONTH(CF4)=10,CF43/CF41,"")</f>
        <v/>
      </c>
      <c r="CG44" s="207" t="str">
        <f t="shared" ref="CG44" si="307">IF(MONTH(CG4)=10,CG43/CG41,"")</f>
        <v/>
      </c>
      <c r="CH44" s="207" t="str">
        <f t="shared" ref="CH44" si="308">IF(MONTH(CH4)=10,CH43/CH41,"")</f>
        <v/>
      </c>
      <c r="CI44" s="207" t="str">
        <f t="shared" ref="CI44" si="309">IF(MONTH(CI4)=10,CI43/CI41,"")</f>
        <v/>
      </c>
    </row>
    <row r="45" spans="1:87">
      <c r="C45" s="162"/>
      <c r="D45" s="162"/>
      <c r="E45" s="162"/>
      <c r="F45" s="162"/>
      <c r="G45" s="162"/>
      <c r="H45" s="162"/>
      <c r="I45" s="162"/>
      <c r="J45" s="29"/>
      <c r="K45" s="162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107"/>
      <c r="AD45" s="108"/>
      <c r="AE45" s="108"/>
      <c r="AF45" s="108"/>
      <c r="AG45" s="108"/>
    </row>
    <row r="46" spans="1:87">
      <c r="B46" s="106" t="s">
        <v>598</v>
      </c>
      <c r="C46" s="29">
        <v>-2688805</v>
      </c>
      <c r="D46" s="29">
        <v>-3341800</v>
      </c>
      <c r="E46" s="29">
        <v>-2727217</v>
      </c>
      <c r="F46" s="29">
        <v>-2381513</v>
      </c>
      <c r="G46" s="29">
        <v>-1843752</v>
      </c>
      <c r="H46" s="29">
        <v>-1229168</v>
      </c>
      <c r="I46" s="29">
        <f t="shared" ref="I46:J46" si="310">H46+I19-I14</f>
        <v>-929168</v>
      </c>
      <c r="J46" s="29">
        <f t="shared" si="310"/>
        <v>-629168</v>
      </c>
      <c r="K46" s="29">
        <f>J46+K19-K14</f>
        <v>-329168</v>
      </c>
      <c r="L46" s="29">
        <f t="shared" ref="L46" si="311">K46+L19-L14</f>
        <v>-666344</v>
      </c>
      <c r="M46" s="29">
        <f t="shared" ref="M46" si="312">L46+M19-M14</f>
        <v>-1265549.2000000002</v>
      </c>
      <c r="N46" s="29">
        <f t="shared" ref="N46" si="313">M46+N19-N14</f>
        <v>-1950959.2000000002</v>
      </c>
      <c r="O46" s="29">
        <f t="shared" ref="O46" si="314">N46+O19-O14</f>
        <v>-2788663.2</v>
      </c>
      <c r="P46" s="29">
        <f t="shared" ref="P46" si="315">O46+P19-P14</f>
        <v>-3440196.4000000004</v>
      </c>
      <c r="Q46" s="29">
        <f t="shared" ref="Q46" si="316">P46+Q19-Q14</f>
        <v>-2995763.7714285715</v>
      </c>
      <c r="R46" s="29">
        <f t="shared" ref="R46" si="317">Q46+R19-R14</f>
        <v>-2551331.1428571427</v>
      </c>
      <c r="S46" s="29">
        <f t="shared" ref="S46" si="318">R46+S19-S14</f>
        <v>-2106898.5142857139</v>
      </c>
      <c r="T46" s="29">
        <f t="shared" ref="T46" si="319">S46+T19-T14</f>
        <v>-1662465.8857142853</v>
      </c>
      <c r="U46" s="29">
        <f t="shared" ref="U46" si="320">T46+U19-U14</f>
        <v>-1218033.2571428567</v>
      </c>
      <c r="V46" s="29">
        <f t="shared" ref="V46" si="321">U46+V19-V14</f>
        <v>-773600.62857142813</v>
      </c>
      <c r="W46" s="29">
        <f>V46+W19-W14</f>
        <v>-329167.99999999948</v>
      </c>
      <c r="X46" s="29">
        <f t="shared" ref="X46" si="322">W46+X19-X14</f>
        <v>-666343.99999999953</v>
      </c>
      <c r="Y46" s="29">
        <f t="shared" ref="Y46" si="323">X46+Y19-Y14</f>
        <v>-1265549.1999999997</v>
      </c>
      <c r="Z46" s="29">
        <f t="shared" ref="Z46" si="324">Y46+Z19-Z14</f>
        <v>-1950959.1999999997</v>
      </c>
      <c r="AA46" s="29">
        <f t="shared" ref="AA46" si="325">Z46+AA19-AA14</f>
        <v>-2788663.1999999997</v>
      </c>
      <c r="AB46" s="29">
        <f t="shared" ref="AB46" si="326">AA46+AB19-AB14</f>
        <v>-3440196.4</v>
      </c>
      <c r="AC46" s="29">
        <f t="shared" ref="AC46" si="327">AB46+AC19-AC14</f>
        <v>-2995763.7714285711</v>
      </c>
      <c r="AD46" s="29">
        <f t="shared" ref="AD46" si="328">AC46+AD19-AD14</f>
        <v>-2551331.1428571423</v>
      </c>
      <c r="AE46" s="29">
        <f t="shared" ref="AE46" si="329">AD46+AE19-AE14</f>
        <v>-2106898.5142857134</v>
      </c>
      <c r="AF46" s="29">
        <f t="shared" ref="AF46" si="330">AE46+AF19-AF14</f>
        <v>-1662465.8857142848</v>
      </c>
      <c r="AG46" s="29">
        <f t="shared" ref="AG46" si="331">AF46+AG19-AG14</f>
        <v>-1218033.2571428563</v>
      </c>
      <c r="AH46" s="29">
        <f t="shared" ref="AH46" si="332">AG46+AH19-AH14</f>
        <v>-773600.62857142766</v>
      </c>
      <c r="AI46" s="29">
        <f>AH46+AI19-AI14</f>
        <v>-329167.99999999901</v>
      </c>
      <c r="AJ46" s="29">
        <f t="shared" ref="AJ46" si="333">AI46+AJ19-AJ14</f>
        <v>-666343.99999999907</v>
      </c>
      <c r="AK46" s="29">
        <f t="shared" ref="AK46" si="334">AJ46+AK19-AK14</f>
        <v>-1265549.1999999993</v>
      </c>
      <c r="AL46" s="29">
        <f t="shared" ref="AL46" si="335">AK46+AL19-AL14</f>
        <v>-1950959.1999999993</v>
      </c>
      <c r="AM46" s="29">
        <f t="shared" ref="AM46" si="336">AL46+AM19-AM14</f>
        <v>-2788663.1999999993</v>
      </c>
      <c r="AN46" s="29">
        <f t="shared" ref="AN46" si="337">AM46+AN19-AN14</f>
        <v>-3440196.3999999994</v>
      </c>
      <c r="AO46" s="29">
        <f t="shared" ref="AO46" si="338">AN46+AO19-AO14</f>
        <v>-2995763.7714285706</v>
      </c>
      <c r="AP46" s="29">
        <f t="shared" ref="AP46" si="339">AO46+AP19-AP14</f>
        <v>-2551331.1428571418</v>
      </c>
      <c r="AQ46" s="29">
        <f t="shared" ref="AQ46" si="340">AP46+AQ19-AQ14</f>
        <v>-2106898.514285713</v>
      </c>
      <c r="AR46" s="29">
        <f t="shared" ref="AR46" si="341">AQ46+AR19-AR14</f>
        <v>-1662465.8857142844</v>
      </c>
      <c r="AS46" s="29">
        <f t="shared" ref="AS46" si="342">AR46+AS19-AS14</f>
        <v>-1218033.2571428558</v>
      </c>
      <c r="AT46" s="29">
        <f t="shared" ref="AT46" si="343">AS46+AT19-AT14</f>
        <v>-773600.62857142719</v>
      </c>
      <c r="AU46" s="29">
        <f>AT46+AU19-AU14</f>
        <v>-329167.99999999854</v>
      </c>
      <c r="AV46" s="29">
        <f t="shared" ref="AV46" si="344">AU46+AV19-AV14</f>
        <v>-666343.9999999986</v>
      </c>
      <c r="AW46" s="29">
        <f t="shared" ref="AW46" si="345">AV46+AW19-AW14</f>
        <v>-1265549.1999999988</v>
      </c>
      <c r="AX46" s="29">
        <f t="shared" ref="AX46" si="346">AW46+AX19-AX14</f>
        <v>-1950959.1999999988</v>
      </c>
      <c r="AY46" s="29">
        <f t="shared" ref="AY46" si="347">AX46+AY19-AY14</f>
        <v>-2788663.1999999988</v>
      </c>
      <c r="AZ46" s="29">
        <f t="shared" ref="AZ46" si="348">AY46+AZ19-AZ14</f>
        <v>-3440196.399999999</v>
      </c>
      <c r="BA46" s="29">
        <f t="shared" ref="BA46" si="349">AZ46+BA19-BA14</f>
        <v>-2995763.7714285702</v>
      </c>
      <c r="BB46" s="29">
        <f t="shared" ref="BB46" si="350">BA46+BB19-BB14</f>
        <v>-2551331.1428571413</v>
      </c>
      <c r="BC46" s="29">
        <f t="shared" ref="BC46" si="351">BB46+BC19-BC14</f>
        <v>-2106898.5142857125</v>
      </c>
      <c r="BD46" s="29">
        <f t="shared" ref="BD46" si="352">BC46+BD19-BD14</f>
        <v>-1662465.8857142839</v>
      </c>
      <c r="BE46" s="29">
        <f t="shared" ref="BE46" si="353">BD46+BE19-BE14</f>
        <v>-1218033.2571428553</v>
      </c>
      <c r="BF46" s="29">
        <f t="shared" ref="BF46" si="354">BE46+BF19-BF14</f>
        <v>-773600.62857142673</v>
      </c>
      <c r="BG46" s="29">
        <f>BF46+BG19-BG14</f>
        <v>-329167.99999999808</v>
      </c>
      <c r="BH46" s="29">
        <f t="shared" ref="BH46" si="355">BG46+BH19-BH14</f>
        <v>-666343.99999999814</v>
      </c>
      <c r="BI46" s="29">
        <f t="shared" ref="BI46" si="356">BH46+BI19-BI14</f>
        <v>-1265549.1999999983</v>
      </c>
      <c r="BJ46" s="29">
        <f t="shared" ref="BJ46" si="357">BI46+BJ19-BJ14</f>
        <v>-1950959.1999999983</v>
      </c>
      <c r="BK46" s="29">
        <f t="shared" ref="BK46" si="358">BJ46+BK19-BK14</f>
        <v>-2788663.1999999983</v>
      </c>
      <c r="BL46" s="29">
        <f t="shared" ref="BL46" si="359">BK46+BL19-BL14</f>
        <v>-3440196.3999999985</v>
      </c>
      <c r="BM46" s="29">
        <f t="shared" ref="BM46" si="360">BL46+BM19-BM14</f>
        <v>-2995763.7714285697</v>
      </c>
      <c r="BN46" s="29">
        <f t="shared" ref="BN46" si="361">BM46+BN19-BN14</f>
        <v>-2551331.1428571409</v>
      </c>
      <c r="BO46" s="29">
        <f t="shared" ref="BO46" si="362">BN46+BO19-BO14</f>
        <v>-2106898.514285712</v>
      </c>
      <c r="BP46" s="29">
        <f t="shared" ref="BP46" si="363">BO46+BP19-BP14</f>
        <v>-1662465.8857142834</v>
      </c>
      <c r="BQ46" s="29">
        <f t="shared" ref="BQ46" si="364">BP46+BQ19-BQ14</f>
        <v>-1218033.2571428549</v>
      </c>
      <c r="BR46" s="29">
        <f t="shared" ref="BR46" si="365">BQ46+BR19-BR14</f>
        <v>-773600.62857142626</v>
      </c>
      <c r="BS46" s="29">
        <f>BR46+BS19-BS14</f>
        <v>-329167.99999999761</v>
      </c>
      <c r="BT46" s="29">
        <f t="shared" ref="BT46" si="366">BS46+BT19-BT14</f>
        <v>-666343.99999999767</v>
      </c>
      <c r="BU46" s="29">
        <f t="shared" ref="BU46" si="367">BT46+BU19-BU14</f>
        <v>-1265549.1999999979</v>
      </c>
      <c r="BV46" s="29">
        <f t="shared" ref="BV46" si="368">BU46+BV19-BV14</f>
        <v>-1950959.1999999979</v>
      </c>
      <c r="BW46" s="29">
        <f t="shared" ref="BW46" si="369">BV46+BW19-BW14</f>
        <v>-2788663.1999999979</v>
      </c>
      <c r="BX46" s="29">
        <f t="shared" ref="BX46" si="370">BW46+BX19-BX14</f>
        <v>-3440196.399999998</v>
      </c>
      <c r="BY46" s="29">
        <f t="shared" ref="BY46" si="371">BX46+BY19-BY14</f>
        <v>-2995763.7714285692</v>
      </c>
      <c r="BZ46" s="29">
        <f t="shared" ref="BZ46" si="372">BY46+BZ19-BZ14</f>
        <v>-2551331.1428571404</v>
      </c>
      <c r="CA46" s="29">
        <f t="shared" ref="CA46" si="373">BZ46+CA19-CA14</f>
        <v>-2106898.5142857116</v>
      </c>
      <c r="CB46" s="29">
        <f t="shared" ref="CB46" si="374">CA46+CB19-CB14</f>
        <v>-1662465.885714283</v>
      </c>
      <c r="CC46" s="29">
        <f t="shared" ref="CC46" si="375">CB46+CC19-CC14</f>
        <v>-1218033.2571428544</v>
      </c>
      <c r="CD46" s="29">
        <f t="shared" ref="CD46" si="376">CC46+CD19-CD14</f>
        <v>-773600.6285714258</v>
      </c>
      <c r="CE46" s="29">
        <f>CD46+CE19-CE14</f>
        <v>-773600.6285714258</v>
      </c>
      <c r="CF46" s="29">
        <f t="shared" ref="CF46" si="377">CE46+CF19-CF14</f>
        <v>-773600.6285714258</v>
      </c>
      <c r="CG46" s="29">
        <f t="shared" ref="CG46" si="378">CF46+CG19-CG14</f>
        <v>-773600.6285714258</v>
      </c>
      <c r="CH46" s="29">
        <f t="shared" ref="CH46" si="379">CG46+CH19-CH14</f>
        <v>-773600.6285714258</v>
      </c>
      <c r="CI46" s="29">
        <f t="shared" ref="CI46" si="380">CH46+CI19-CI14</f>
        <v>-773600.6285714258</v>
      </c>
    </row>
    <row r="47" spans="1:87">
      <c r="B47" s="106" t="s">
        <v>389</v>
      </c>
      <c r="C47" s="29"/>
      <c r="D47" s="29">
        <f>D48-C48</f>
        <v>-1149194.3700000001</v>
      </c>
      <c r="E47" s="29">
        <f t="shared" ref="E47:I47" si="381">E48-D48</f>
        <v>2180465.6499999994</v>
      </c>
      <c r="F47" s="29">
        <f t="shared" si="381"/>
        <v>-1532003.58</v>
      </c>
      <c r="G47" s="29">
        <f t="shared" si="381"/>
        <v>1651156.7300000004</v>
      </c>
      <c r="H47" s="29">
        <f t="shared" si="381"/>
        <v>1390189.0099999998</v>
      </c>
      <c r="I47" s="29">
        <f t="shared" si="381"/>
        <v>244535.67000000179</v>
      </c>
      <c r="J47" s="29">
        <f>IF(AND(MONTH(J4)&gt;=4,MONTH(J4)&lt;=10),SUM(J34:J36)*J19,"")</f>
        <v>895816.02877081081</v>
      </c>
      <c r="K47" s="29">
        <f>IF(AND(MONTH(K4)&gt;=4,MONTH(K4)&lt;=10),SUM(K34:K36)*K19,-K14*MAX(F49:J49))</f>
        <v>919381.28944033175</v>
      </c>
      <c r="L47" s="29">
        <f t="shared" ref="L47:Z47" si="382">IF(AND(MONTH(L4)&gt;=4,MONTH(L4)&lt;=10),SUM(L34:L36)*L19,-L14*MAX(G49:K49))</f>
        <v>-1107876.972184262</v>
      </c>
      <c r="M47" s="29">
        <f t="shared" si="382"/>
        <v>-1968840.1389572958</v>
      </c>
      <c r="N47" s="29">
        <f t="shared" si="382"/>
        <v>-2252087.7983747805</v>
      </c>
      <c r="O47" s="29">
        <f t="shared" si="382"/>
        <v>-2752488.2290158402</v>
      </c>
      <c r="P47" s="29">
        <f t="shared" si="382"/>
        <v>-2140777.0093171615</v>
      </c>
      <c r="Q47" s="29">
        <f t="shared" si="382"/>
        <v>1323275.6076294396</v>
      </c>
      <c r="R47" s="29">
        <f t="shared" si="382"/>
        <v>1344419.8956401497</v>
      </c>
      <c r="S47" s="29">
        <f t="shared" si="382"/>
        <v>1413251.301292035</v>
      </c>
      <c r="T47" s="29">
        <f t="shared" si="382"/>
        <v>1488830.883968615</v>
      </c>
      <c r="U47" s="29">
        <f t="shared" si="382"/>
        <v>1490630.3978418668</v>
      </c>
      <c r="V47" s="29">
        <f t="shared" si="382"/>
        <v>1518972.7413455842</v>
      </c>
      <c r="W47" s="29">
        <f t="shared" si="382"/>
        <v>1642689.3201316528</v>
      </c>
      <c r="X47" s="29">
        <f t="shared" si="382"/>
        <v>-1202516.6867366298</v>
      </c>
      <c r="Y47" s="29">
        <f t="shared" si="382"/>
        <v>-2137027.1068503088</v>
      </c>
      <c r="Z47" s="29">
        <f t="shared" si="382"/>
        <v>-2444471.0247946279</v>
      </c>
      <c r="AA47" s="29">
        <f t="shared" ref="AA47" si="383">IF(AND(MONTH(AA4)&gt;=4,MONTH(AA4)&lt;=10),SUM(AA34:AA36)*AA19,-AA14*MAX(V49:Z49))</f>
        <v>-2987617.856982768</v>
      </c>
      <c r="AB47" s="29">
        <f t="shared" ref="AB47" si="384">IF(AND(MONTH(AB4)&gt;=4,MONTH(AB4)&lt;=10),SUM(AB34:AB36)*AB19,-AB14*MAX(W49:AA49))</f>
        <v>-2323651.5794804911</v>
      </c>
      <c r="AC47" s="29">
        <f t="shared" ref="AC47" si="385">IF(AND(MONTH(AC4)&gt;=4,MONTH(AC4)&lt;=10),SUM(AC34:AC36)*AC19,-AC14*MAX(X49:AB49))</f>
        <v>1455989.7557817677</v>
      </c>
      <c r="AD47" s="29">
        <f t="shared" ref="AD47" si="386">IF(AND(MONTH(AD4)&gt;=4,MONTH(AD4)&lt;=10),SUM(AD34:AD36)*AD19,-AD14*MAX(Y49:AC49))</f>
        <v>1517173.2274723323</v>
      </c>
      <c r="AE47" s="29">
        <f t="shared" ref="AE47" si="387">IF(AND(MONTH(AE4)&gt;=4,MONTH(AE4)&lt;=10),SUM(AE34:AE36)*AE19,-AE14*MAX(Z49:AD49))</f>
        <v>1584654.9977192788</v>
      </c>
      <c r="AF47" s="29">
        <f t="shared" ref="AF47" si="388">IF(AND(MONTH(AF4)&gt;=4,MONTH(AF4)&lt;=10),SUM(AF34:AF36)*AF19,-AF14*MAX(AA49:AE49))</f>
        <v>1600850.6225785457</v>
      </c>
      <c r="AG47" s="29">
        <f t="shared" ref="AG47" si="389">IF(AND(MONTH(AG4)&gt;=4,MONTH(AG4)&lt;=10),SUM(AG34:AG36)*AG19,-AG14*MAX(AB49:AF49))</f>
        <v>1587354.2685291567</v>
      </c>
      <c r="AH47" s="29">
        <f t="shared" ref="AH47" si="390">IF(AND(MONTH(AH4)&gt;=4,MONTH(AH4)&lt;=10),SUM(AH34:AH36)*AH19,-AH14*MAX(AC49:AG49))</f>
        <v>1614346.9766279354</v>
      </c>
      <c r="AI47" s="29">
        <f t="shared" ref="AI47" si="391">IF(AND(MONTH(AI4)&gt;=4,MONTH(AI4)&lt;=10),SUM(AI34:AI36)*AI19,-AI14*MAX(AD49:AH49))</f>
        <v>1734914.4061358126</v>
      </c>
      <c r="AJ47" s="29">
        <f t="shared" ref="AJ47" si="392">IF(AND(MONTH(AJ4)&gt;=4,MONTH(AJ4)&lt;=10),SUM(AJ34:AJ36)*AJ19,-AJ14*MAX(AE49:AI49))</f>
        <v>-1192667.5253045957</v>
      </c>
      <c r="AK47" s="29">
        <f t="shared" ref="AK47" si="393">IF(AND(MONTH(AK4)&gt;=4,MONTH(AK4)&lt;=10),SUM(AK34:AK36)*AK19,-AK14*MAX(AF49:AJ49))</f>
        <v>-2119523.8778372286</v>
      </c>
      <c r="AL47" s="29">
        <f t="shared" ref="AL47" si="394">IF(AND(MONTH(AL4)&gt;=4,MONTH(AL4)&lt;=10),SUM(AL34:AL36)*AL19,-AL14*MAX(AG49:AK49))</f>
        <v>-2424449.689536097</v>
      </c>
      <c r="AM47" s="29">
        <f t="shared" ref="AM47" si="395">IF(AND(MONTH(AM4)&gt;=4,MONTH(AM4)&lt;=10),SUM(AM34:AM36)*AM19,-AM14*MAX(AH49:AL49))</f>
        <v>-2963147.9008522583</v>
      </c>
      <c r="AN47" s="29">
        <f t="shared" ref="AN47:AO47" si="396">IF(AND(MONTH(AN4)&gt;=4,MONTH(AN4)&lt;=10),SUM(AN34:AN36)*AN19,-AN14*MAX(AI49:AM49))</f>
        <v>-2304619.8107154258</v>
      </c>
      <c r="AO47" s="29">
        <f t="shared" si="396"/>
        <v>1446542.3079471951</v>
      </c>
      <c r="AP47" s="29">
        <f t="shared" ref="AP47" si="397">IF(AND(MONTH(AP4)&gt;=4,MONTH(AP4)&lt;=10),SUM(AP34:AP36)*AP19,-AP14*MAX(AK49:AO49))</f>
        <v>1503676.8734229433</v>
      </c>
      <c r="AQ47" s="29">
        <f t="shared" ref="AQ47" si="398">IF(AND(MONTH(AQ4)&gt;=4,MONTH(AQ4)&lt;=10),SUM(AQ34:AQ36)*AQ19,-AQ14*MAX(AL49:AP49))</f>
        <v>1566659.8589867598</v>
      </c>
      <c r="AR47" s="29">
        <f t="shared" ref="AR47" si="399">IF(AND(MONTH(AR4)&gt;=4,MONTH(AR4)&lt;=10),SUM(AR34:AR36)*AR19,-AR14*MAX(AM49:AQ49))</f>
        <v>1585554.7546559048</v>
      </c>
      <c r="AS47" s="29">
        <f t="shared" ref="AS47" si="400">IF(AND(MONTH(AS4)&gt;=4,MONTH(AS4)&lt;=10),SUM(AS34:AS36)*AS19,-AS14*MAX(AN49:AR49))</f>
        <v>1578806.57763121</v>
      </c>
      <c r="AT47" s="29">
        <f t="shared" ref="AT47" si="401">IF(AND(MONTH(AT4)&gt;=4,MONTH(AT4)&lt;=10),SUM(AT34:AT36)*AT19,-AT14*MAX(AO49:AS49))</f>
        <v>1608048.6780715534</v>
      </c>
      <c r="AU47" s="29">
        <f t="shared" ref="AU47" si="402">IF(AND(MONTH(AU4)&gt;=4,MONTH(AU4)&lt;=10),SUM(AU34:AU36)*AU19,-AU14*MAX(AP49:AT49))</f>
        <v>1715119.7535300418</v>
      </c>
      <c r="AV47" s="29">
        <f t="shared" ref="AV47" si="403">IF(AND(MONTH(AV4)&gt;=4,MONTH(AV4)&lt;=10),SUM(AV34:AV36)*AV19,-AV14*MAX(AQ49:AU49))</f>
        <v>-1161023.4373373177</v>
      </c>
      <c r="AW47" s="29">
        <f t="shared" ref="AW47" si="404">IF(AND(MONTH(AW4)&gt;=4,MONTH(AW4)&lt;=10),SUM(AW34:AW36)*AW19,-AW14*MAX(AR49:AV49))</f>
        <v>-2063288.2559090655</v>
      </c>
      <c r="AX47" s="29">
        <f t="shared" ref="AX47" si="405">IF(AND(MONTH(AX4)&gt;=4,MONTH(AX4)&lt;=10),SUM(AX34:AX36)*AX19,-AX14*MAX(AS49:AW49))</f>
        <v>-2360123.7163539841</v>
      </c>
      <c r="AY47" s="29">
        <f t="shared" ref="AY47" si="406">IF(AND(MONTH(AY4)&gt;=4,MONTH(AY4)&lt;=10),SUM(AY34:AY36)*AY19,-AY14*MAX(AT49:AX49))</f>
        <v>-2884529.0814032448</v>
      </c>
      <c r="AZ47" s="29">
        <f t="shared" ref="AZ47" si="407">IF(AND(MONTH(AZ4)&gt;=4,MONTH(AZ4)&lt;=10),SUM(AZ34:AZ36)*AZ19,-AZ14*MAX(AU49:AY49))</f>
        <v>-2243473.187306873</v>
      </c>
      <c r="BA47" s="29">
        <f t="shared" ref="BA47" si="408">IF(AND(MONTH(BA4)&gt;=4,MONTH(BA4)&lt;=10),SUM(BA34:BA36)*BA19,-BA14*MAX(AV49:AZ49))</f>
        <v>1385358.8362566305</v>
      </c>
      <c r="BB47" s="29">
        <f t="shared" ref="BB47" si="409">IF(AND(MONTH(BB4)&gt;=4,MONTH(BB4)&lt;=10),SUM(BB34:BB36)*BB19,-BB14*MAX(AW49:BA49))</f>
        <v>1451940.8495669507</v>
      </c>
      <c r="BC47" s="29">
        <f t="shared" ref="BC47:BD47" si="410">IF(AND(MONTH(BC4)&gt;=4,MONTH(BC4)&lt;=10),SUM(BC34:BC36)*BC19,-BC14*MAX(AX49:BB49))</f>
        <v>1533818.7307999125</v>
      </c>
      <c r="BD47" s="29">
        <f t="shared" si="410"/>
        <v>1553613.3834056833</v>
      </c>
      <c r="BE47" s="29">
        <f t="shared" ref="BE47" si="411">IF(AND(MONTH(BE4)&gt;=4,MONTH(BE4)&lt;=10),SUM(BE34:BE36)*BE19,-BE14*MAX(AZ49:BD49))</f>
        <v>1541916.5432295459</v>
      </c>
      <c r="BF47" s="29">
        <f t="shared" ref="BF47" si="412">IF(AND(MONTH(BF4)&gt;=4,MONTH(BF4)&lt;=10),SUM(BF34:BF36)*BF19,-BF14*MAX(BA49:BE49))</f>
        <v>1567559.6159233856</v>
      </c>
      <c r="BG47" s="29">
        <f t="shared" ref="BG47" si="413">IF(AND(MONTH(BG4)&gt;=4,MONTH(BG4)&lt;=10),SUM(BG34:BG36)*BG19,-BG14*MAX(BB49:BF49))</f>
        <v>1678229.7191283777</v>
      </c>
      <c r="BH47" s="29">
        <f t="shared" ref="BH47" si="414">IF(AND(MONTH(BH4)&gt;=4,MONTH(BH4)&lt;=10),SUM(BH34:BH36)*BH19,-BH14*MAX(BC49:BG49))</f>
        <v>-1154002.2529501247</v>
      </c>
      <c r="BI47" s="29">
        <f t="shared" ref="BI47" si="415">IF(AND(MONTH(BI4)&gt;=4,MONTH(BI4)&lt;=10),SUM(BI34:BI36)*BI19,-BI14*MAX(BD49:BH49))</f>
        <v>-2050810.7065136018</v>
      </c>
      <c r="BJ47" s="29">
        <f t="shared" ref="BJ47" si="416">IF(AND(MONTH(BJ4)&gt;=4,MONTH(BJ4)&lt;=10),SUM(BJ34:BJ36)*BJ19,-BJ14*MAX(BE49:BI49))</f>
        <v>-2345851.0813181987</v>
      </c>
      <c r="BK47" s="29">
        <f t="shared" ref="BK47" si="417">IF(AND(MONTH(BK4)&gt;=4,MONTH(BK4)&lt;=10),SUM(BK34:BK36)*BK19,-BK14*MAX(BF49:BJ49))</f>
        <v>-2867085.1522805043</v>
      </c>
      <c r="BL47" s="29">
        <f t="shared" ref="BL47" si="418">IF(AND(MONTH(BL4)&gt;=4,MONTH(BL4)&lt;=10),SUM(BL34:BL36)*BL19,-BL14*MAX(BG49:BK49))</f>
        <v>-2229905.9858109839</v>
      </c>
      <c r="BM47" s="29">
        <f t="shared" ref="BM47" si="419">IF(AND(MONTH(BM4)&gt;=4,MONTH(BM4)&lt;=10),SUM(BM34:BM36)*BM19,-BM14*MAX(BH49:BL49))</f>
        <v>1360615.5204994169</v>
      </c>
      <c r="BN47" s="29">
        <f t="shared" ref="BN47" si="420">IF(AND(MONTH(BN4)&gt;=4,MONTH(BN4)&lt;=10),SUM(BN34:BN36)*BN19,-BN14*MAX(BI49:BM49))</f>
        <v>1442943.2802006912</v>
      </c>
      <c r="BO47" s="29">
        <f t="shared" ref="BO47" si="421">IF(AND(MONTH(BO4)&gt;=4,MONTH(BO4)&lt;=10),SUM(BO34:BO36)*BO19,-BO14*MAX(BJ49:BN49))</f>
        <v>1529319.9461167827</v>
      </c>
      <c r="BP47" s="29">
        <f t="shared" ref="BP47" si="422">IF(AND(MONTH(BP4)&gt;=4,MONTH(BP4)&lt;=10),SUM(BP34:BP36)*BP19,-BP14*MAX(BK49:BO49))</f>
        <v>1544165.9355711108</v>
      </c>
      <c r="BQ47" s="29">
        <f t="shared" ref="BQ47" si="423">IF(AND(MONTH(BQ4)&gt;=4,MONTH(BQ4)&lt;=10),SUM(BQ34:BQ36)*BQ19,-BQ14*MAX(BL49:BP49))</f>
        <v>1530219.7030534088</v>
      </c>
      <c r="BR47" s="29">
        <f t="shared" ref="BR47:BS47" si="424">IF(AND(MONTH(BR4)&gt;=4,MONTH(BR4)&lt;=10),SUM(BR34:BR36)*BR19,-BR14*MAX(BM49:BQ49))</f>
        <v>1560361.560430378</v>
      </c>
      <c r="BS47" s="29">
        <f t="shared" si="424"/>
        <v>1680029.2330016298</v>
      </c>
      <c r="BT47" s="29">
        <f t="shared" ref="BT47" si="425">IF(AND(MONTH(BT4)&gt;=4,MONTH(BT4)&lt;=10),SUM(BT34:BT36)*BT19,-BT14*MAX(BO49:BS49))</f>
        <v>-1079182.756824103</v>
      </c>
      <c r="BU47" s="29">
        <f t="shared" ref="BU47" si="426">IF(AND(MONTH(BU4)&gt;=4,MONTH(BU4)&lt;=10),SUM(BU34:BU36)*BU19,-BU14*MAX(BP49:BT49))</f>
        <v>-1917846.8207681985</v>
      </c>
      <c r="BV47" s="29">
        <f t="shared" ref="BV47" si="427">IF(AND(MONTH(BV4)&gt;=4,MONTH(BV4)&lt;=10),SUM(BV34:BV36)*BV19,-BV14*MAX(BQ49:BU49))</f>
        <v>-2193758.3142181188</v>
      </c>
      <c r="BW47" s="29">
        <f t="shared" ref="BW47" si="428">IF(AND(MONTH(BW4)&gt;=4,MONTH(BW4)&lt;=10),SUM(BW34:BW36)*BW19,-BW14*MAX(BR49:BV49))</f>
        <v>-2681198.2825663108</v>
      </c>
      <c r="BX47" s="29">
        <f t="shared" ref="BX47" si="429">IF(AND(MONTH(BX4)&gt;=4,MONTH(BX4)&lt;=10),SUM(BX34:BX36)*BX19,-BX14*MAX(BS49:BW49))</f>
        <v>-2085330.4948704229</v>
      </c>
      <c r="BY47" s="29">
        <f t="shared" ref="BY47" si="430">IF(AND(MONTH(BY4)&gt;=4,MONTH(BY4)&lt;=10),SUM(BY34:BY36)*BY19,-BY14*MAX(BT49:BX49))</f>
        <v>1316977.309073058</v>
      </c>
      <c r="BZ47" s="29">
        <f t="shared" ref="BZ47" si="431">IF(AND(MONTH(BZ4)&gt;=4,MONTH(BZ4)&lt;=10),SUM(BZ34:BZ36)*BZ19,-BZ14*MAX(BU49:BY49))</f>
        <v>1384908.9577883175</v>
      </c>
      <c r="CA47" s="29">
        <f t="shared" ref="CA47" si="432">IF(AND(MONTH(CA4)&gt;=4,MONTH(CA4)&lt;=10),SUM(CA34:CA36)*CA19,-CA14*MAX(BV49:BZ49))</f>
        <v>1458239.1481233325</v>
      </c>
      <c r="CB47" s="29">
        <f t="shared" ref="CB47" si="433">IF(AND(MONTH(CB4)&gt;=4,MONTH(CB4)&lt;=10),SUM(CB34:CB36)*CB19,-CB14*MAX(BW49:CA49))</f>
        <v>1469935.9882994699</v>
      </c>
      <c r="CC47" s="29">
        <f t="shared" ref="CC47" si="434">IF(AND(MONTH(CC4)&gt;=4,MONTH(CC4)&lt;=10),SUM(CC34:CC36)*CC19,-CC14*MAX(BX49:CB49))</f>
        <v>1442043.5232640654</v>
      </c>
      <c r="CD47" s="29">
        <f t="shared" ref="CD47" si="435">IF(AND(MONTH(CD4)&gt;=4,MONTH(CD4)&lt;=10),SUM(CD34:CD36)*CD19,-CD14*MAX(BY49:CC49))</f>
        <v>1462737.9328064623</v>
      </c>
      <c r="CE47" s="29">
        <f t="shared" ref="CE47" si="436">IF(AND(MONTH(CE4)&gt;=4,MONTH(CE4)&lt;=10),SUM(CE34:CE36)*CE19,-CE14*MAX(BZ49:CD49))</f>
        <v>0</v>
      </c>
      <c r="CF47" s="29">
        <f t="shared" ref="CF47" si="437">IF(AND(MONTH(CF4)&gt;=4,MONTH(CF4)&lt;=10),SUM(CF34:CF36)*CF19,-CF14*MAX(CA49:CE49))</f>
        <v>0</v>
      </c>
      <c r="CG47" s="29">
        <f t="shared" ref="CG47:CH47" si="438">IF(AND(MONTH(CG4)&gt;=4,MONTH(CG4)&lt;=10),SUM(CG34:CG36)*CG19,-CG14*MAX(CB49:CF49))</f>
        <v>0</v>
      </c>
      <c r="CH47" s="29">
        <f t="shared" si="438"/>
        <v>0</v>
      </c>
      <c r="CI47" s="29">
        <f t="shared" ref="CI47" si="439">IF(AND(MONTH(CI4)&gt;=4,MONTH(CI4)&lt;=10),SUM(CI34:CI36)*CI19,-CI14*MAX(CD49:CH49))</f>
        <v>0</v>
      </c>
    </row>
    <row r="48" spans="1:87">
      <c r="A48" s="29"/>
      <c r="B48" s="106" t="s">
        <v>596</v>
      </c>
      <c r="C48" s="29">
        <v>-4745740.83</v>
      </c>
      <c r="D48" s="29">
        <v>-5894935.2000000002</v>
      </c>
      <c r="E48" s="29">
        <v>-3714469.5500000007</v>
      </c>
      <c r="F48" s="29">
        <v>-5246473.1300000008</v>
      </c>
      <c r="G48" s="29">
        <v>-3595316.4000000004</v>
      </c>
      <c r="H48" s="29">
        <v>-2205127.3900000006</v>
      </c>
      <c r="I48" s="29">
        <v>-1960591.7199999988</v>
      </c>
      <c r="J48" s="29">
        <f t="shared" ref="J48" si="440">I48+J47</f>
        <v>-1064775.6912291879</v>
      </c>
      <c r="K48" s="29">
        <f t="shared" ref="K48" si="441">J48+K47</f>
        <v>-145394.40178885614</v>
      </c>
      <c r="L48" s="29">
        <f t="shared" ref="L48" si="442">K48+L47</f>
        <v>-1253271.3739731181</v>
      </c>
      <c r="M48" s="29">
        <f t="shared" ref="M48" si="443">L48+M47</f>
        <v>-3222111.5129304137</v>
      </c>
      <c r="N48" s="29">
        <f t="shared" ref="N48" si="444">M48+N47</f>
        <v>-5474199.3113051942</v>
      </c>
      <c r="O48" s="29">
        <f t="shared" ref="O48" si="445">N48+O47</f>
        <v>-8226687.5403210344</v>
      </c>
      <c r="P48" s="29">
        <f t="shared" ref="P48" si="446">O48+P47</f>
        <v>-10367464.549638197</v>
      </c>
      <c r="Q48" s="29">
        <f t="shared" ref="Q48" si="447">P48+Q47</f>
        <v>-9044188.942008758</v>
      </c>
      <c r="R48" s="29">
        <f t="shared" ref="R48" si="448">Q48+R47</f>
        <v>-7699769.0463686083</v>
      </c>
      <c r="S48" s="29">
        <f t="shared" ref="S48" si="449">R48+S47</f>
        <v>-6286517.7450765735</v>
      </c>
      <c r="T48" s="29">
        <f t="shared" ref="T48" si="450">S48+T47</f>
        <v>-4797686.8611079585</v>
      </c>
      <c r="U48" s="29">
        <f t="shared" ref="U48" si="451">T48+U47</f>
        <v>-3307056.4632660914</v>
      </c>
      <c r="V48" s="29">
        <f t="shared" ref="V48" si="452">U48+V47</f>
        <v>-1788083.7219205073</v>
      </c>
      <c r="W48" s="29">
        <f t="shared" ref="W48" si="453">V48+W47</f>
        <v>-145394.40178885451</v>
      </c>
      <c r="X48" s="29">
        <f t="shared" ref="X48" si="454">W48+X47</f>
        <v>-1347911.0885254843</v>
      </c>
      <c r="Y48" s="29">
        <f t="shared" ref="Y48" si="455">X48+Y47</f>
        <v>-3484938.1953757931</v>
      </c>
      <c r="Z48" s="29">
        <f t="shared" ref="Z48" si="456">Y48+Z47</f>
        <v>-5929409.2201704215</v>
      </c>
      <c r="AA48" s="29">
        <f t="shared" ref="AA48" si="457">Z48+AA47</f>
        <v>-8917027.0771531891</v>
      </c>
      <c r="AB48" s="29">
        <f t="shared" ref="AB48" si="458">AA48+AB47</f>
        <v>-11240678.656633681</v>
      </c>
      <c r="AC48" s="29">
        <f t="shared" ref="AC48" si="459">AB48+AC47</f>
        <v>-9784688.9008519128</v>
      </c>
      <c r="AD48" s="29">
        <f t="shared" ref="AD48" si="460">AC48+AD47</f>
        <v>-8267515.6733795805</v>
      </c>
      <c r="AE48" s="29">
        <f t="shared" ref="AE48" si="461">AD48+AE47</f>
        <v>-6682860.6756603019</v>
      </c>
      <c r="AF48" s="29">
        <f t="shared" ref="AF48" si="462">AE48+AF47</f>
        <v>-5082010.0530817565</v>
      </c>
      <c r="AG48" s="29">
        <f t="shared" ref="AG48" si="463">AF48+AG47</f>
        <v>-3494655.7845525998</v>
      </c>
      <c r="AH48" s="29">
        <f t="shared" ref="AH48" si="464">AG48+AH47</f>
        <v>-1880308.8079246643</v>
      </c>
      <c r="AI48" s="29">
        <f t="shared" ref="AI48" si="465">AH48+AI47</f>
        <v>-145394.40178885171</v>
      </c>
      <c r="AJ48" s="29">
        <f t="shared" ref="AJ48" si="466">AI48+AJ47</f>
        <v>-1338061.9270934474</v>
      </c>
      <c r="AK48" s="29">
        <f t="shared" ref="AK48" si="467">AJ48+AK47</f>
        <v>-3457585.8049306758</v>
      </c>
      <c r="AL48" s="29">
        <f t="shared" ref="AL48" si="468">AK48+AL47</f>
        <v>-5882035.4944667723</v>
      </c>
      <c r="AM48" s="29">
        <f t="shared" ref="AM48" si="469">AL48+AM47</f>
        <v>-8845183.3953190297</v>
      </c>
      <c r="AN48" s="29">
        <f t="shared" ref="AN48" si="470">AM48+AN47</f>
        <v>-11149803.206034455</v>
      </c>
      <c r="AO48" s="29">
        <f t="shared" ref="AO48" si="471">AN48+AO47</f>
        <v>-9703260.8980872594</v>
      </c>
      <c r="AP48" s="29">
        <f t="shared" ref="AP48" si="472">AO48+AP47</f>
        <v>-8199584.0246643163</v>
      </c>
      <c r="AQ48" s="29">
        <f t="shared" ref="AQ48" si="473">AP48+AQ47</f>
        <v>-6632924.1656775568</v>
      </c>
      <c r="AR48" s="29">
        <f t="shared" ref="AR48" si="474">AQ48+AR47</f>
        <v>-5047369.4110216517</v>
      </c>
      <c r="AS48" s="29">
        <f t="shared" ref="AS48" si="475">AR48+AS47</f>
        <v>-3468562.8333904417</v>
      </c>
      <c r="AT48" s="29">
        <f t="shared" ref="AT48" si="476">AS48+AT47</f>
        <v>-1860514.1553188884</v>
      </c>
      <c r="AU48" s="29">
        <f t="shared" ref="AU48" si="477">AT48+AU47</f>
        <v>-145394.40178884659</v>
      </c>
      <c r="AV48" s="29">
        <f t="shared" ref="AV48" si="478">AU48+AV47</f>
        <v>-1306417.8391261643</v>
      </c>
      <c r="AW48" s="29">
        <f t="shared" ref="AW48" si="479">AV48+AW47</f>
        <v>-3369706.0950352298</v>
      </c>
      <c r="AX48" s="29">
        <f t="shared" ref="AX48" si="480">AW48+AX47</f>
        <v>-5729829.8113892134</v>
      </c>
      <c r="AY48" s="29">
        <f t="shared" ref="AY48" si="481">AX48+AY47</f>
        <v>-8614358.8927924577</v>
      </c>
      <c r="AZ48" s="29">
        <f t="shared" ref="AZ48" si="482">AY48+AZ47</f>
        <v>-10857832.080099331</v>
      </c>
      <c r="BA48" s="29">
        <f t="shared" ref="BA48" si="483">AZ48+BA47</f>
        <v>-9472473.2438427005</v>
      </c>
      <c r="BB48" s="29">
        <f t="shared" ref="BB48" si="484">BA48+BB47</f>
        <v>-8020532.39427575</v>
      </c>
      <c r="BC48" s="29">
        <f t="shared" ref="BC48" si="485">BB48+BC47</f>
        <v>-6486713.6634758376</v>
      </c>
      <c r="BD48" s="29">
        <f t="shared" ref="BD48" si="486">BC48+BD47</f>
        <v>-4933100.280070154</v>
      </c>
      <c r="BE48" s="29">
        <f t="shared" ref="BE48" si="487">BD48+BE47</f>
        <v>-3391183.7368406081</v>
      </c>
      <c r="BF48" s="29">
        <f t="shared" ref="BF48" si="488">BE48+BF47</f>
        <v>-1823624.1209172225</v>
      </c>
      <c r="BG48" s="29">
        <f t="shared" ref="BG48" si="489">BF48+BG47</f>
        <v>-145394.40178884473</v>
      </c>
      <c r="BH48" s="29">
        <f t="shared" ref="BH48" si="490">BG48+BH47</f>
        <v>-1299396.6547389694</v>
      </c>
      <c r="BI48" s="29">
        <f t="shared" ref="BI48" si="491">BH48+BI47</f>
        <v>-3350207.3612525715</v>
      </c>
      <c r="BJ48" s="29">
        <f t="shared" ref="BJ48" si="492">BI48+BJ47</f>
        <v>-5696058.4425707702</v>
      </c>
      <c r="BK48" s="29">
        <f t="shared" ref="BK48" si="493">BJ48+BK47</f>
        <v>-8563143.594851274</v>
      </c>
      <c r="BL48" s="29">
        <f t="shared" ref="BL48" si="494">BK48+BL47</f>
        <v>-10793049.580662258</v>
      </c>
      <c r="BM48" s="29">
        <f t="shared" ref="BM48" si="495">BL48+BM47</f>
        <v>-9432434.0601628404</v>
      </c>
      <c r="BN48" s="29">
        <f t="shared" ref="BN48" si="496">BM48+BN47</f>
        <v>-7989490.7799621494</v>
      </c>
      <c r="BO48" s="29">
        <f t="shared" ref="BO48" si="497">BN48+BO47</f>
        <v>-6460170.8338453667</v>
      </c>
      <c r="BP48" s="29">
        <f t="shared" ref="BP48" si="498">BO48+BP47</f>
        <v>-4916004.8982742559</v>
      </c>
      <c r="BQ48" s="29">
        <f t="shared" ref="BQ48" si="499">BP48+BQ47</f>
        <v>-3385785.1952208471</v>
      </c>
      <c r="BR48" s="29">
        <f t="shared" ref="BR48" si="500">BQ48+BR47</f>
        <v>-1825423.6347904692</v>
      </c>
      <c r="BS48" s="29">
        <f t="shared" ref="BS48" si="501">BR48+BS47</f>
        <v>-145394.40178883937</v>
      </c>
      <c r="BT48" s="29">
        <f t="shared" ref="BT48" si="502">BS48+BT47</f>
        <v>-1224577.1586129423</v>
      </c>
      <c r="BU48" s="29">
        <f t="shared" ref="BU48" si="503">BT48+BU47</f>
        <v>-3142423.9793811408</v>
      </c>
      <c r="BV48" s="29">
        <f t="shared" ref="BV48" si="504">BU48+BV47</f>
        <v>-5336182.2935992591</v>
      </c>
      <c r="BW48" s="29">
        <f t="shared" ref="BW48" si="505">BV48+BW47</f>
        <v>-8017380.5761655699</v>
      </c>
      <c r="BX48" s="29">
        <f t="shared" ref="BX48" si="506">BW48+BX47</f>
        <v>-10102711.071035992</v>
      </c>
      <c r="BY48" s="29">
        <f t="shared" ref="BY48" si="507">BX48+BY47</f>
        <v>-8785733.7619629353</v>
      </c>
      <c r="BZ48" s="29">
        <f t="shared" ref="BZ48" si="508">BY48+BZ47</f>
        <v>-7400824.8041746179</v>
      </c>
      <c r="CA48" s="29">
        <f t="shared" ref="CA48" si="509">BZ48+CA47</f>
        <v>-5942585.6560512856</v>
      </c>
      <c r="CB48" s="29">
        <f t="shared" ref="CB48" si="510">CA48+CB47</f>
        <v>-4472649.6677518152</v>
      </c>
      <c r="CC48" s="29">
        <f t="shared" ref="CC48" si="511">CB48+CC47</f>
        <v>-3030606.1444877498</v>
      </c>
      <c r="CD48" s="29">
        <f t="shared" ref="CD48" si="512">CC48+CD47</f>
        <v>-1567868.2116812875</v>
      </c>
      <c r="CE48" s="29">
        <f t="shared" ref="CE48" si="513">CD48+CE47</f>
        <v>-1567868.2116812875</v>
      </c>
      <c r="CF48" s="29">
        <f t="shared" ref="CF48" si="514">CE48+CF47</f>
        <v>-1567868.2116812875</v>
      </c>
      <c r="CG48" s="29">
        <f t="shared" ref="CG48" si="515">CF48+CG47</f>
        <v>-1567868.2116812875</v>
      </c>
      <c r="CH48" s="29">
        <f t="shared" ref="CH48" si="516">CG48+CH47</f>
        <v>-1567868.2116812875</v>
      </c>
      <c r="CI48" s="29">
        <f t="shared" ref="CI48" si="517">CH48+CI47</f>
        <v>-1567868.2116812875</v>
      </c>
    </row>
    <row r="49" spans="1:87">
      <c r="A49" s="158"/>
      <c r="B49" s="365" t="s">
        <v>390</v>
      </c>
      <c r="C49" s="104" t="str">
        <f t="shared" ref="C49:J49" si="518">IF(MONTH(C4)=10,SUM(I47:O47)/SUM(I19:O19),"")</f>
        <v/>
      </c>
      <c r="D49" s="104" t="str">
        <f t="shared" si="518"/>
        <v/>
      </c>
      <c r="E49" s="104" t="str">
        <f t="shared" si="518"/>
        <v/>
      </c>
      <c r="F49" s="104" t="str">
        <f t="shared" si="518"/>
        <v/>
      </c>
      <c r="G49" s="104" t="str">
        <f t="shared" si="518"/>
        <v/>
      </c>
      <c r="H49" s="104" t="str">
        <f t="shared" si="518"/>
        <v/>
      </c>
      <c r="I49" s="104" t="str">
        <f t="shared" si="518"/>
        <v/>
      </c>
      <c r="J49" s="104" t="str">
        <f t="shared" si="518"/>
        <v/>
      </c>
      <c r="K49" s="104">
        <f>IF(MONTH(K4)=10,SUM(Q47:W47)/SUM(Q19:W19),"")</f>
        <v>3.2857527587499167</v>
      </c>
      <c r="L49" s="104" t="str">
        <f t="shared" ref="L49:BW49" si="519">IF(MONTH(L4)=10,SUM(R47:X47)/SUM(R19:X19),"")</f>
        <v/>
      </c>
      <c r="M49" s="104" t="str">
        <f t="shared" si="519"/>
        <v/>
      </c>
      <c r="N49" s="104" t="str">
        <f t="shared" si="519"/>
        <v/>
      </c>
      <c r="O49" s="104" t="str">
        <f t="shared" si="519"/>
        <v/>
      </c>
      <c r="P49" s="104" t="str">
        <f t="shared" si="519"/>
        <v/>
      </c>
      <c r="Q49" s="104" t="str">
        <f t="shared" si="519"/>
        <v/>
      </c>
      <c r="R49" s="104" t="str">
        <f t="shared" si="519"/>
        <v/>
      </c>
      <c r="S49" s="104" t="str">
        <f t="shared" si="519"/>
        <v/>
      </c>
      <c r="T49" s="104" t="str">
        <f t="shared" si="519"/>
        <v/>
      </c>
      <c r="U49" s="104" t="str">
        <f t="shared" si="519"/>
        <v/>
      </c>
      <c r="V49" s="104" t="str">
        <f t="shared" si="519"/>
        <v/>
      </c>
      <c r="W49" s="104">
        <f t="shared" si="519"/>
        <v>3.5664361838820966</v>
      </c>
      <c r="X49" s="104" t="str">
        <f t="shared" si="519"/>
        <v/>
      </c>
      <c r="Y49" s="104" t="str">
        <f t="shared" si="519"/>
        <v/>
      </c>
      <c r="Z49" s="104" t="str">
        <f t="shared" si="519"/>
        <v/>
      </c>
      <c r="AA49" s="104" t="str">
        <f t="shared" si="519"/>
        <v/>
      </c>
      <c r="AB49" s="104" t="str">
        <f t="shared" si="519"/>
        <v/>
      </c>
      <c r="AC49" s="104" t="str">
        <f t="shared" si="519"/>
        <v/>
      </c>
      <c r="AD49" s="104" t="str">
        <f t="shared" si="519"/>
        <v/>
      </c>
      <c r="AE49" s="104" t="str">
        <f t="shared" si="519"/>
        <v/>
      </c>
      <c r="AF49" s="104" t="str">
        <f t="shared" si="519"/>
        <v/>
      </c>
      <c r="AG49" s="104" t="str">
        <f t="shared" si="519"/>
        <v/>
      </c>
      <c r="AH49" s="104" t="str">
        <f t="shared" si="519"/>
        <v/>
      </c>
      <c r="AI49" s="104">
        <f t="shared" si="519"/>
        <v>3.537225441029598</v>
      </c>
      <c r="AJ49" s="104" t="str">
        <f t="shared" si="519"/>
        <v/>
      </c>
      <c r="AK49" s="104" t="str">
        <f t="shared" si="519"/>
        <v/>
      </c>
      <c r="AL49" s="104" t="str">
        <f t="shared" si="519"/>
        <v/>
      </c>
      <c r="AM49" s="104" t="str">
        <f t="shared" si="519"/>
        <v/>
      </c>
      <c r="AN49" s="104" t="str">
        <f t="shared" si="519"/>
        <v/>
      </c>
      <c r="AO49" s="104" t="str">
        <f t="shared" si="519"/>
        <v/>
      </c>
      <c r="AP49" s="104" t="str">
        <f t="shared" si="519"/>
        <v/>
      </c>
      <c r="AQ49" s="104" t="str">
        <f t="shared" si="519"/>
        <v/>
      </c>
      <c r="AR49" s="104" t="str">
        <f t="shared" si="519"/>
        <v/>
      </c>
      <c r="AS49" s="104" t="str">
        <f t="shared" si="519"/>
        <v/>
      </c>
      <c r="AT49" s="104" t="str">
        <f t="shared" si="519"/>
        <v/>
      </c>
      <c r="AU49" s="104">
        <f t="shared" si="519"/>
        <v>3.4433750840431046</v>
      </c>
      <c r="AV49" s="104" t="str">
        <f t="shared" si="519"/>
        <v/>
      </c>
      <c r="AW49" s="104" t="str">
        <f t="shared" si="519"/>
        <v/>
      </c>
      <c r="AX49" s="104" t="str">
        <f t="shared" si="519"/>
        <v/>
      </c>
      <c r="AY49" s="104" t="str">
        <f t="shared" si="519"/>
        <v/>
      </c>
      <c r="AZ49" s="104" t="str">
        <f t="shared" si="519"/>
        <v/>
      </c>
      <c r="BA49" s="104" t="str">
        <f t="shared" si="519"/>
        <v/>
      </c>
      <c r="BB49" s="104" t="str">
        <f t="shared" si="519"/>
        <v/>
      </c>
      <c r="BC49" s="104" t="str">
        <f t="shared" si="519"/>
        <v/>
      </c>
      <c r="BD49" s="104" t="str">
        <f t="shared" si="519"/>
        <v/>
      </c>
      <c r="BE49" s="104" t="str">
        <f t="shared" si="519"/>
        <v/>
      </c>
      <c r="BF49" s="104" t="str">
        <f t="shared" si="519"/>
        <v/>
      </c>
      <c r="BG49" s="104">
        <f t="shared" si="519"/>
        <v>3.4225515841878567</v>
      </c>
      <c r="BH49" s="104" t="str">
        <f t="shared" si="519"/>
        <v/>
      </c>
      <c r="BI49" s="104" t="str">
        <f t="shared" si="519"/>
        <v/>
      </c>
      <c r="BJ49" s="104" t="str">
        <f t="shared" si="519"/>
        <v/>
      </c>
      <c r="BK49" s="104" t="str">
        <f t="shared" si="519"/>
        <v/>
      </c>
      <c r="BL49" s="104" t="str">
        <f t="shared" si="519"/>
        <v/>
      </c>
      <c r="BM49" s="104" t="str">
        <f t="shared" si="519"/>
        <v/>
      </c>
      <c r="BN49" s="104" t="str">
        <f t="shared" si="519"/>
        <v/>
      </c>
      <c r="BO49" s="104" t="str">
        <f t="shared" si="519"/>
        <v/>
      </c>
      <c r="BP49" s="104" t="str">
        <f t="shared" si="519"/>
        <v/>
      </c>
      <c r="BQ49" s="104" t="str">
        <f t="shared" si="519"/>
        <v/>
      </c>
      <c r="BR49" s="104" t="str">
        <f t="shared" si="519"/>
        <v/>
      </c>
      <c r="BS49" s="104">
        <f t="shared" si="519"/>
        <v>3.2006511638553841</v>
      </c>
      <c r="BT49" s="104" t="str">
        <f t="shared" si="519"/>
        <v/>
      </c>
      <c r="BU49" s="104" t="str">
        <f t="shared" si="519"/>
        <v/>
      </c>
      <c r="BV49" s="104" t="str">
        <f t="shared" si="519"/>
        <v/>
      </c>
      <c r="BW49" s="104" t="str">
        <f t="shared" si="519"/>
        <v/>
      </c>
      <c r="BX49" s="104" t="str">
        <f t="shared" ref="BX49:CI49" si="520">IF(MONTH(BX4)=10,SUM(CD47:CJ47)/SUM(CD19:CJ19),"")</f>
        <v/>
      </c>
      <c r="BY49" s="104" t="str">
        <f t="shared" si="520"/>
        <v/>
      </c>
      <c r="BZ49" s="104" t="str">
        <f t="shared" si="520"/>
        <v/>
      </c>
      <c r="CA49" s="104" t="str">
        <f t="shared" si="520"/>
        <v/>
      </c>
      <c r="CB49" s="104" t="str">
        <f t="shared" si="520"/>
        <v/>
      </c>
      <c r="CC49" s="104" t="str">
        <f t="shared" si="520"/>
        <v/>
      </c>
      <c r="CD49" s="104" t="str">
        <f t="shared" si="520"/>
        <v/>
      </c>
      <c r="CE49" s="104" t="str">
        <f t="shared" si="520"/>
        <v/>
      </c>
      <c r="CF49" s="104" t="str">
        <f t="shared" si="520"/>
        <v/>
      </c>
      <c r="CG49" s="104" t="str">
        <f t="shared" si="520"/>
        <v/>
      </c>
      <c r="CH49" s="104" t="str">
        <f t="shared" si="520"/>
        <v/>
      </c>
      <c r="CI49" s="104" t="str">
        <f t="shared" si="520"/>
        <v/>
      </c>
    </row>
    <row r="50" spans="1:87">
      <c r="D50" s="207"/>
      <c r="E50" s="207"/>
      <c r="F50" s="207"/>
      <c r="G50" s="207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29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</row>
    <row r="51" spans="1:87">
      <c r="A51" s="264"/>
      <c r="B51" s="264" t="s">
        <v>560</v>
      </c>
      <c r="C51" s="561">
        <f t="shared" ref="C51:F51" si="521">C48+C43</f>
        <v>10995145.930000002</v>
      </c>
      <c r="D51" s="561">
        <f t="shared" si="521"/>
        <v>6053752.9200000009</v>
      </c>
      <c r="E51" s="561">
        <f t="shared" si="521"/>
        <v>9138023.2100000009</v>
      </c>
      <c r="F51" s="561">
        <f t="shared" si="521"/>
        <v>8941321.4699999988</v>
      </c>
      <c r="G51" s="561">
        <f>G48+G43</f>
        <v>12976815.439999999</v>
      </c>
      <c r="H51" s="561">
        <f>H48+H43</f>
        <v>16917150.140000001</v>
      </c>
      <c r="I51" s="561">
        <f t="shared" ref="I51:BT51" si="522">I48+I43</f>
        <v>18070892.857015979</v>
      </c>
      <c r="J51" s="561">
        <f t="shared" si="522"/>
        <v>19869475.176577017</v>
      </c>
      <c r="K51" s="561">
        <f t="shared" si="522"/>
        <v>21715422.884575099</v>
      </c>
      <c r="L51" s="561">
        <f t="shared" si="522"/>
        <v>18850359.315159813</v>
      </c>
      <c r="M51" s="561">
        <f t="shared" si="522"/>
        <v>14105107.93756515</v>
      </c>
      <c r="N51" s="561">
        <f t="shared" si="522"/>
        <v>8762949.8941282518</v>
      </c>
      <c r="O51" s="561">
        <f t="shared" si="522"/>
        <v>1628481.9956903895</v>
      </c>
      <c r="P51" s="561">
        <f t="shared" si="522"/>
        <v>-4613646.6663560867</v>
      </c>
      <c r="Q51" s="561">
        <f t="shared" si="522"/>
        <v>-866643.16166107729</v>
      </c>
      <c r="R51" s="561">
        <f t="shared" si="522"/>
        <v>2940314.2197972145</v>
      </c>
      <c r="S51" s="561">
        <f t="shared" si="522"/>
        <v>6942440.6043359758</v>
      </c>
      <c r="T51" s="561">
        <f t="shared" si="522"/>
        <v>11158870.20794349</v>
      </c>
      <c r="U51" s="561">
        <f t="shared" si="522"/>
        <v>15380402.269147879</v>
      </c>
      <c r="V51" s="561">
        <f t="shared" si="522"/>
        <v>19682298.037503045</v>
      </c>
      <c r="W51" s="561">
        <f t="shared" si="522"/>
        <v>24334987.765643377</v>
      </c>
      <c r="X51" s="561">
        <f t="shared" si="522"/>
        <v>21164722.166493595</v>
      </c>
      <c r="Y51" s="561">
        <f t="shared" si="522"/>
        <v>15918588.602850724</v>
      </c>
      <c r="Z51" s="561">
        <f t="shared" si="522"/>
        <v>10013766.597925214</v>
      </c>
      <c r="AA51" s="561">
        <f t="shared" si="522"/>
        <v>2119079.8261730745</v>
      </c>
      <c r="AB51" s="561">
        <f t="shared" si="522"/>
        <v>-4797385.2125037136</v>
      </c>
      <c r="AC51" s="561">
        <f t="shared" si="522"/>
        <v>-674075.4600391686</v>
      </c>
      <c r="AD51" s="561">
        <f t="shared" si="522"/>
        <v>3622717.850719125</v>
      </c>
      <c r="AE51" s="561">
        <f t="shared" si="522"/>
        <v>8110853.3213602332</v>
      </c>
      <c r="AF51" s="561">
        <f t="shared" si="522"/>
        <v>12644910.910373216</v>
      </c>
      <c r="AG51" s="561">
        <f t="shared" si="522"/>
        <v>17140700.067409638</v>
      </c>
      <c r="AH51" s="561">
        <f t="shared" si="522"/>
        <v>21713026.088399183</v>
      </c>
      <c r="AI51" s="561">
        <f t="shared" si="522"/>
        <v>26627216.768379357</v>
      </c>
      <c r="AJ51" s="561">
        <f t="shared" si="522"/>
        <v>23282549.484564275</v>
      </c>
      <c r="AK51" s="561">
        <f t="shared" si="522"/>
        <v>17762796.897670999</v>
      </c>
      <c r="AL51" s="561">
        <f t="shared" si="522"/>
        <v>11553985.074009283</v>
      </c>
      <c r="AM51" s="561">
        <f t="shared" si="522"/>
        <v>3224293.1730753556</v>
      </c>
      <c r="AN51" s="561">
        <f t="shared" si="522"/>
        <v>-4103189.7644976713</v>
      </c>
      <c r="AO51" s="561">
        <f t="shared" si="522"/>
        <v>-6667.9144167210907</v>
      </c>
      <c r="AP51" s="561">
        <f t="shared" si="522"/>
        <v>4251856.9643650111</v>
      </c>
      <c r="AQ51" s="561">
        <f t="shared" si="522"/>
        <v>8688967.8590373695</v>
      </c>
      <c r="AR51" s="561">
        <f t="shared" si="522"/>
        <v>13179654.558476916</v>
      </c>
      <c r="AS51" s="561">
        <f t="shared" si="522"/>
        <v>17651207.04192818</v>
      </c>
      <c r="AT51" s="561">
        <f t="shared" si="522"/>
        <v>22205674.461328659</v>
      </c>
      <c r="AU51" s="561">
        <f t="shared" si="522"/>
        <v>27063738.107743211</v>
      </c>
      <c r="AV51" s="561">
        <f t="shared" si="522"/>
        <v>23715627.045010664</v>
      </c>
      <c r="AW51" s="561">
        <f t="shared" si="522"/>
        <v>18196670.123860989</v>
      </c>
      <c r="AX51" s="561">
        <f t="shared" si="522"/>
        <v>11990481.109019624</v>
      </c>
      <c r="AY51" s="561">
        <f t="shared" si="522"/>
        <v>3651907.7474992331</v>
      </c>
      <c r="AZ51" s="561">
        <f t="shared" si="522"/>
        <v>-3696325.2081859726</v>
      </c>
      <c r="BA51" s="561">
        <f t="shared" si="522"/>
        <v>226713.08360122703</v>
      </c>
      <c r="BB51" s="561">
        <f t="shared" si="522"/>
        <v>4338542.3064728016</v>
      </c>
      <c r="BC51" s="561">
        <f t="shared" si="522"/>
        <v>8682533.3500021901</v>
      </c>
      <c r="BD51" s="561">
        <f t="shared" si="522"/>
        <v>13082651.427097203</v>
      </c>
      <c r="BE51" s="561">
        <f t="shared" si="522"/>
        <v>17449603.529812526</v>
      </c>
      <c r="BF51" s="561">
        <f t="shared" si="522"/>
        <v>21889265.65328332</v>
      </c>
      <c r="BG51" s="561">
        <f t="shared" si="522"/>
        <v>26642728.918961931</v>
      </c>
      <c r="BH51" s="561">
        <f t="shared" si="522"/>
        <v>23335480.030829649</v>
      </c>
      <c r="BI51" s="561">
        <f t="shared" si="522"/>
        <v>17882470.510087412</v>
      </c>
      <c r="BJ51" s="561">
        <f t="shared" si="522"/>
        <v>11750064.621134447</v>
      </c>
      <c r="BK51" s="561">
        <f t="shared" si="522"/>
        <v>3513326.0731997546</v>
      </c>
      <c r="BL51" s="561">
        <f t="shared" si="522"/>
        <v>-3742353.3050639294</v>
      </c>
      <c r="BM51" s="561">
        <f t="shared" si="522"/>
        <v>110526.19476623833</v>
      </c>
      <c r="BN51" s="561">
        <f t="shared" si="522"/>
        <v>4196843.129653438</v>
      </c>
      <c r="BO51" s="561">
        <f t="shared" si="522"/>
        <v>8528078.0291906409</v>
      </c>
      <c r="BP51" s="561">
        <f t="shared" si="522"/>
        <v>12901408.20390206</v>
      </c>
      <c r="BQ51" s="561">
        <f t="shared" si="522"/>
        <v>17235194.332237698</v>
      </c>
      <c r="BR51" s="561">
        <f t="shared" si="522"/>
        <v>21654446.625320993</v>
      </c>
      <c r="BS51" s="561">
        <f t="shared" si="522"/>
        <v>26413012.34859648</v>
      </c>
      <c r="BT51" s="561">
        <f t="shared" si="522"/>
        <v>23199047.722720437</v>
      </c>
      <c r="BU51" s="561">
        <f t="shared" ref="BU51:CD51" si="523">BU48+BU43</f>
        <v>17908177.011026297</v>
      </c>
      <c r="BV51" s="561">
        <f t="shared" si="523"/>
        <v>11960334.785827707</v>
      </c>
      <c r="BW51" s="561">
        <f t="shared" si="523"/>
        <v>3955529.5718306061</v>
      </c>
      <c r="BX51" s="561">
        <f t="shared" si="523"/>
        <v>-3112476.7302931119</v>
      </c>
      <c r="BY51" s="561">
        <f t="shared" si="523"/>
        <v>616668.17281283438</v>
      </c>
      <c r="BZ51" s="561">
        <f t="shared" si="523"/>
        <v>4538430.8502008142</v>
      </c>
      <c r="CA51" s="561">
        <f t="shared" si="523"/>
        <v>8668118.674661452</v>
      </c>
      <c r="CB51" s="561">
        <f t="shared" si="523"/>
        <v>12830972.473501779</v>
      </c>
      <c r="CC51" s="561">
        <f t="shared" si="523"/>
        <v>16914738.179590542</v>
      </c>
      <c r="CD51" s="561">
        <f t="shared" si="523"/>
        <v>21057182.148043368</v>
      </c>
      <c r="CE51" s="29"/>
      <c r="CF51" s="22"/>
      <c r="CG51" s="22"/>
      <c r="CH51" s="22"/>
      <c r="CI51" s="22"/>
    </row>
    <row r="52" spans="1:87">
      <c r="B52" s="104" t="s">
        <v>480</v>
      </c>
      <c r="C52" s="29">
        <v>10995145.930000002</v>
      </c>
      <c r="D52" s="29">
        <v>6053752.9200000009</v>
      </c>
      <c r="E52" s="29">
        <v>9138023.2100000009</v>
      </c>
      <c r="F52" s="29">
        <v>8941321.4699999988</v>
      </c>
      <c r="G52" s="29">
        <v>12976815.439999999</v>
      </c>
      <c r="H52" s="29">
        <v>16917150.140000001</v>
      </c>
      <c r="I52" s="29">
        <v>17169372.650000002</v>
      </c>
      <c r="J52"/>
      <c r="K52"/>
      <c r="L52"/>
      <c r="M52"/>
      <c r="N52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</row>
    <row r="53" spans="1:87">
      <c r="B53" s="106" t="s">
        <v>482</v>
      </c>
      <c r="C53" s="108">
        <f>ROUND(C51-C52,0)</f>
        <v>0</v>
      </c>
      <c r="D53" s="108">
        <f t="shared" ref="D53:I53" si="524">ROUND(D51-D52,0)</f>
        <v>0</v>
      </c>
      <c r="E53" s="108">
        <f t="shared" si="524"/>
        <v>0</v>
      </c>
      <c r="F53" s="108">
        <f t="shared" si="524"/>
        <v>0</v>
      </c>
      <c r="G53" s="108">
        <f t="shared" si="524"/>
        <v>0</v>
      </c>
      <c r="H53" s="108">
        <f t="shared" si="524"/>
        <v>0</v>
      </c>
      <c r="I53" s="108">
        <f t="shared" si="524"/>
        <v>901520</v>
      </c>
      <c r="J53"/>
      <c r="K53"/>
      <c r="L53"/>
      <c r="M53"/>
      <c r="N53"/>
      <c r="O53"/>
      <c r="P53"/>
      <c r="Q53"/>
      <c r="R53"/>
      <c r="S53"/>
      <c r="T53"/>
      <c r="U53" s="107"/>
      <c r="V53" s="107"/>
      <c r="W53" s="107"/>
      <c r="X53" s="107"/>
      <c r="Y53" s="107"/>
      <c r="Z53" s="107"/>
      <c r="AA53" s="107"/>
    </row>
    <row r="54" spans="1:87" ht="18">
      <c r="A54" s="109" t="s">
        <v>391</v>
      </c>
      <c r="D54" s="29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</row>
    <row r="55" spans="1:87">
      <c r="I55" s="191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</row>
    <row r="56" spans="1:87">
      <c r="B56" s="106" t="s">
        <v>392</v>
      </c>
      <c r="H56" s="298"/>
      <c r="I56" s="107">
        <f t="shared" ref="I56:AM56" si="525">+I10-I24+I21-I16-I26</f>
        <v>973185.73028442613</v>
      </c>
      <c r="J56" s="107">
        <f t="shared" si="525"/>
        <v>1023555.0431526173</v>
      </c>
      <c r="K56" s="107">
        <f t="shared" si="525"/>
        <v>1643062.8180855531</v>
      </c>
      <c r="L56" s="107">
        <f t="shared" si="525"/>
        <v>1123842.6987619507</v>
      </c>
      <c r="M56" s="107">
        <f t="shared" si="525"/>
        <v>1508814.2940669945</v>
      </c>
      <c r="N56" s="107">
        <f t="shared" si="525"/>
        <v>1522089.9306155383</v>
      </c>
      <c r="O56" s="107">
        <f t="shared" si="525"/>
        <v>531398.50396552216</v>
      </c>
      <c r="P56" s="107">
        <f t="shared" si="525"/>
        <v>-47654.772989610909</v>
      </c>
      <c r="Q56" s="107">
        <f t="shared" si="525"/>
        <v>2420740.1903614644</v>
      </c>
      <c r="R56" s="107">
        <f t="shared" si="525"/>
        <v>1878770.5413050128</v>
      </c>
      <c r="S56" s="107">
        <f t="shared" si="525"/>
        <v>1640259.6670888371</v>
      </c>
      <c r="T56" s="107">
        <f t="shared" si="525"/>
        <v>1624290.3663951631</v>
      </c>
      <c r="U56" s="107">
        <f t="shared" si="525"/>
        <v>1630802.7682294727</v>
      </c>
      <c r="V56" s="107">
        <f t="shared" si="525"/>
        <v>1681215.7365589736</v>
      </c>
      <c r="W56" s="107">
        <f t="shared" si="525"/>
        <v>2301238.3948146133</v>
      </c>
      <c r="X56" s="107">
        <f t="shared" si="525"/>
        <v>1125668.677769565</v>
      </c>
      <c r="Y56" s="107">
        <f t="shared" si="525"/>
        <v>1511422.2485011304</v>
      </c>
      <c r="Z56" s="107">
        <f t="shared" si="525"/>
        <v>1524808.1289661299</v>
      </c>
      <c r="AA56" s="107">
        <f t="shared" si="525"/>
        <v>533816.139387412</v>
      </c>
      <c r="AB56" s="107">
        <f t="shared" si="525"/>
        <v>-45907.539232440758</v>
      </c>
      <c r="AC56" s="107">
        <f t="shared" si="525"/>
        <v>2421773.3243834721</v>
      </c>
      <c r="AD56" s="107">
        <f t="shared" si="525"/>
        <v>1879365.0215790367</v>
      </c>
      <c r="AE56" s="107">
        <f t="shared" si="525"/>
        <v>1640693.7708158912</v>
      </c>
      <c r="AF56" s="107">
        <f t="shared" si="525"/>
        <v>1624724.5378133112</v>
      </c>
      <c r="AG56" s="107">
        <f t="shared" si="525"/>
        <v>1631236.9420753466</v>
      </c>
      <c r="AH56" s="107">
        <f t="shared" si="525"/>
        <v>1681693.5748114213</v>
      </c>
      <c r="AI56" s="107">
        <f t="shared" si="525"/>
        <v>2302230.2178671989</v>
      </c>
      <c r="AJ56" s="107">
        <f t="shared" si="525"/>
        <v>1127495.0121899445</v>
      </c>
      <c r="AK56" s="107">
        <f t="shared" si="525"/>
        <v>1514030.7339319335</v>
      </c>
      <c r="AL56" s="107">
        <f t="shared" si="525"/>
        <v>1527525.8772881515</v>
      </c>
      <c r="AM56" s="107">
        <f t="shared" si="525"/>
        <v>536235.27798178885</v>
      </c>
      <c r="AN56" s="107">
        <f t="shared" ref="AN56:BS56" si="526">+AN10-AN24+AN21-AN16-AN26</f>
        <v>-44159.960766057018</v>
      </c>
      <c r="AO56" s="107">
        <f t="shared" si="526"/>
        <v>2422807.6550513031</v>
      </c>
      <c r="AP56" s="107">
        <f t="shared" si="526"/>
        <v>1879960.5998183796</v>
      </c>
      <c r="AQ56" s="107">
        <f t="shared" si="526"/>
        <v>1641127.926004241</v>
      </c>
      <c r="AR56" s="107">
        <f t="shared" si="526"/>
        <v>1625158.6077996732</v>
      </c>
      <c r="AS56" s="107">
        <f t="shared" si="526"/>
        <v>1631671.0147801461</v>
      </c>
      <c r="AT56" s="107">
        <f t="shared" si="526"/>
        <v>1682171.3144910384</v>
      </c>
      <c r="AU56" s="107">
        <f t="shared" si="526"/>
        <v>2303222.9735943722</v>
      </c>
      <c r="AV56" s="107">
        <f t="shared" si="526"/>
        <v>1129321.3016709662</v>
      </c>
      <c r="AW56" s="107">
        <f t="shared" si="526"/>
        <v>1516639.2044748976</v>
      </c>
      <c r="AX56" s="107">
        <f t="shared" si="526"/>
        <v>1530243.6122764843</v>
      </c>
      <c r="AY56" s="107">
        <f t="shared" si="526"/>
        <v>538653.38116651913</v>
      </c>
      <c r="AZ56" s="107">
        <f t="shared" si="526"/>
        <v>-42412.435286283959</v>
      </c>
      <c r="BA56" s="107">
        <f t="shared" si="526"/>
        <v>2423840.8932302175</v>
      </c>
      <c r="BB56" s="107">
        <f t="shared" si="526"/>
        <v>1880555.069385129</v>
      </c>
      <c r="BC56" s="107">
        <f t="shared" si="526"/>
        <v>1641561.9778173473</v>
      </c>
      <c r="BD56" s="107">
        <f t="shared" si="526"/>
        <v>1625592.5739141828</v>
      </c>
      <c r="BE56" s="107">
        <f t="shared" si="526"/>
        <v>1632104.9839086861</v>
      </c>
      <c r="BF56" s="107">
        <f t="shared" si="526"/>
        <v>1682648.9381440731</v>
      </c>
      <c r="BG56" s="107">
        <f t="shared" si="526"/>
        <v>2304214.4447934357</v>
      </c>
      <c r="BH56" s="107">
        <f t="shared" si="526"/>
        <v>1131146.036860629</v>
      </c>
      <c r="BI56" s="107">
        <f t="shared" si="526"/>
        <v>1519246.8701314088</v>
      </c>
      <c r="BJ56" s="107">
        <f t="shared" si="526"/>
        <v>1532961.5028705746</v>
      </c>
      <c r="BK56" s="107">
        <f t="shared" si="526"/>
        <v>541070.72863995284</v>
      </c>
      <c r="BL56" s="107">
        <f t="shared" si="526"/>
        <v>-40664.43750130781</v>
      </c>
      <c r="BM56" s="107">
        <f t="shared" si="526"/>
        <v>2424873.8258438306</v>
      </c>
      <c r="BN56" s="107">
        <f t="shared" si="526"/>
        <v>1881149.3795500817</v>
      </c>
      <c r="BO56" s="107">
        <f t="shared" si="526"/>
        <v>1641995.9237825037</v>
      </c>
      <c r="BP56" s="107">
        <f t="shared" si="526"/>
        <v>1626026.7961347448</v>
      </c>
      <c r="BQ56" s="107">
        <f t="shared" si="526"/>
        <v>1632539.2083628119</v>
      </c>
      <c r="BR56" s="107">
        <f t="shared" si="526"/>
        <v>1683125.8122036296</v>
      </c>
      <c r="BS56" s="107">
        <f t="shared" si="526"/>
        <v>2305207.2704603733</v>
      </c>
      <c r="BT56" s="107">
        <f t="shared" ref="BT56:CD56" si="527">+BT10-BT24+BT21-BT16-BT26</f>
        <v>1132972.2661974616</v>
      </c>
      <c r="BU56" s="107">
        <f t="shared" si="527"/>
        <v>1521855.1506149508</v>
      </c>
      <c r="BV56" s="107">
        <f t="shared" si="527"/>
        <v>1535679.0218447829</v>
      </c>
      <c r="BW56" s="107">
        <f t="shared" si="527"/>
        <v>543488.66580134025</v>
      </c>
      <c r="BX56" s="107">
        <f t="shared" si="527"/>
        <v>-38916.967734683771</v>
      </c>
      <c r="BY56" s="107">
        <f t="shared" si="527"/>
        <v>2425908.136092158</v>
      </c>
      <c r="BZ56" s="107">
        <f t="shared" si="527"/>
        <v>1881744.992113749</v>
      </c>
      <c r="CA56" s="107">
        <f t="shared" si="527"/>
        <v>1642430.1310712767</v>
      </c>
      <c r="CB56" s="107">
        <f t="shared" si="527"/>
        <v>1626026.7961347448</v>
      </c>
      <c r="CC56" s="107">
        <f t="shared" si="527"/>
        <v>1632539.2083628119</v>
      </c>
      <c r="CD56" s="107">
        <f t="shared" si="527"/>
        <v>1683125.8122036296</v>
      </c>
      <c r="CE56" s="107"/>
      <c r="CF56" s="107"/>
      <c r="CG56" s="107"/>
      <c r="CH56" s="107"/>
      <c r="CI56" s="107"/>
    </row>
    <row r="57" spans="1:87">
      <c r="B57" s="106" t="s">
        <v>393</v>
      </c>
      <c r="H57" s="298"/>
      <c r="I57" s="107">
        <f t="shared" ref="I57:AM57" si="528">+I26</f>
        <v>0</v>
      </c>
      <c r="J57" s="107">
        <f t="shared" si="528"/>
        <v>0</v>
      </c>
      <c r="K57" s="107">
        <f t="shared" si="528"/>
        <v>0</v>
      </c>
      <c r="L57" s="107">
        <f t="shared" si="528"/>
        <v>0</v>
      </c>
      <c r="M57" s="107">
        <f t="shared" si="528"/>
        <v>0</v>
      </c>
      <c r="N57" s="107">
        <f t="shared" si="528"/>
        <v>0</v>
      </c>
      <c r="O57" s="107">
        <f t="shared" si="528"/>
        <v>0</v>
      </c>
      <c r="P57" s="107">
        <f t="shared" si="528"/>
        <v>0</v>
      </c>
      <c r="Q57" s="107">
        <f t="shared" si="528"/>
        <v>0</v>
      </c>
      <c r="R57" s="107">
        <f t="shared" si="528"/>
        <v>0</v>
      </c>
      <c r="S57" s="107">
        <f t="shared" si="528"/>
        <v>0</v>
      </c>
      <c r="T57" s="107">
        <f t="shared" si="528"/>
        <v>0</v>
      </c>
      <c r="U57" s="107">
        <f t="shared" si="528"/>
        <v>0</v>
      </c>
      <c r="V57" s="107">
        <f t="shared" si="528"/>
        <v>0</v>
      </c>
      <c r="W57" s="107">
        <f t="shared" si="528"/>
        <v>0</v>
      </c>
      <c r="X57" s="107">
        <f t="shared" si="528"/>
        <v>0</v>
      </c>
      <c r="Y57" s="107">
        <f t="shared" si="528"/>
        <v>0</v>
      </c>
      <c r="Z57" s="107">
        <f t="shared" si="528"/>
        <v>0</v>
      </c>
      <c r="AA57" s="107">
        <f t="shared" si="528"/>
        <v>0</v>
      </c>
      <c r="AB57" s="107">
        <f t="shared" si="528"/>
        <v>0</v>
      </c>
      <c r="AC57" s="107">
        <f t="shared" si="528"/>
        <v>0</v>
      </c>
      <c r="AD57" s="107">
        <f t="shared" si="528"/>
        <v>0</v>
      </c>
      <c r="AE57" s="107">
        <f t="shared" si="528"/>
        <v>0</v>
      </c>
      <c r="AF57" s="107">
        <f t="shared" si="528"/>
        <v>0</v>
      </c>
      <c r="AG57" s="107">
        <f t="shared" si="528"/>
        <v>0</v>
      </c>
      <c r="AH57" s="107">
        <f t="shared" si="528"/>
        <v>0</v>
      </c>
      <c r="AI57" s="107">
        <f t="shared" si="528"/>
        <v>0</v>
      </c>
      <c r="AJ57" s="107">
        <f t="shared" si="528"/>
        <v>0</v>
      </c>
      <c r="AK57" s="107">
        <f t="shared" si="528"/>
        <v>0</v>
      </c>
      <c r="AL57" s="107">
        <f t="shared" si="528"/>
        <v>0</v>
      </c>
      <c r="AM57" s="107">
        <f t="shared" si="528"/>
        <v>0</v>
      </c>
      <c r="AN57" s="107">
        <f t="shared" ref="AN57:BS57" si="529">+AN26</f>
        <v>0</v>
      </c>
      <c r="AO57" s="107">
        <f t="shared" si="529"/>
        <v>0</v>
      </c>
      <c r="AP57" s="107">
        <f t="shared" si="529"/>
        <v>0</v>
      </c>
      <c r="AQ57" s="107">
        <f t="shared" si="529"/>
        <v>0</v>
      </c>
      <c r="AR57" s="107">
        <f t="shared" si="529"/>
        <v>0</v>
      </c>
      <c r="AS57" s="107">
        <f t="shared" si="529"/>
        <v>0</v>
      </c>
      <c r="AT57" s="107">
        <f t="shared" si="529"/>
        <v>0</v>
      </c>
      <c r="AU57" s="107">
        <f t="shared" si="529"/>
        <v>0</v>
      </c>
      <c r="AV57" s="107">
        <f t="shared" si="529"/>
        <v>0</v>
      </c>
      <c r="AW57" s="107">
        <f t="shared" si="529"/>
        <v>0</v>
      </c>
      <c r="AX57" s="107">
        <f t="shared" si="529"/>
        <v>0</v>
      </c>
      <c r="AY57" s="107">
        <f t="shared" si="529"/>
        <v>0</v>
      </c>
      <c r="AZ57" s="107">
        <f t="shared" si="529"/>
        <v>0</v>
      </c>
      <c r="BA57" s="107">
        <f t="shared" si="529"/>
        <v>0</v>
      </c>
      <c r="BB57" s="107">
        <f t="shared" si="529"/>
        <v>0</v>
      </c>
      <c r="BC57" s="107">
        <f t="shared" si="529"/>
        <v>0</v>
      </c>
      <c r="BD57" s="107">
        <f t="shared" si="529"/>
        <v>0</v>
      </c>
      <c r="BE57" s="107">
        <f t="shared" si="529"/>
        <v>0</v>
      </c>
      <c r="BF57" s="107">
        <f t="shared" si="529"/>
        <v>0</v>
      </c>
      <c r="BG57" s="107">
        <f t="shared" si="529"/>
        <v>0</v>
      </c>
      <c r="BH57" s="107">
        <f t="shared" si="529"/>
        <v>0</v>
      </c>
      <c r="BI57" s="107">
        <f t="shared" si="529"/>
        <v>0</v>
      </c>
      <c r="BJ57" s="107">
        <f t="shared" si="529"/>
        <v>0</v>
      </c>
      <c r="BK57" s="107">
        <f t="shared" si="529"/>
        <v>0</v>
      </c>
      <c r="BL57" s="107">
        <f t="shared" si="529"/>
        <v>0</v>
      </c>
      <c r="BM57" s="107">
        <f t="shared" si="529"/>
        <v>0</v>
      </c>
      <c r="BN57" s="107">
        <f t="shared" si="529"/>
        <v>0</v>
      </c>
      <c r="BO57" s="107">
        <f t="shared" si="529"/>
        <v>0</v>
      </c>
      <c r="BP57" s="107">
        <f t="shared" si="529"/>
        <v>0</v>
      </c>
      <c r="BQ57" s="107">
        <f t="shared" si="529"/>
        <v>0</v>
      </c>
      <c r="BR57" s="107">
        <f t="shared" si="529"/>
        <v>0</v>
      </c>
      <c r="BS57" s="107">
        <f t="shared" si="529"/>
        <v>0</v>
      </c>
      <c r="BT57" s="107">
        <f t="shared" ref="BT57:CD57" si="530">+BT26</f>
        <v>0</v>
      </c>
      <c r="BU57" s="107">
        <f t="shared" si="530"/>
        <v>0</v>
      </c>
      <c r="BV57" s="107">
        <f t="shared" si="530"/>
        <v>0</v>
      </c>
      <c r="BW57" s="107">
        <f t="shared" si="530"/>
        <v>0</v>
      </c>
      <c r="BX57" s="107">
        <f t="shared" si="530"/>
        <v>0</v>
      </c>
      <c r="BY57" s="107">
        <f t="shared" si="530"/>
        <v>0</v>
      </c>
      <c r="BZ57" s="107">
        <f t="shared" si="530"/>
        <v>0</v>
      </c>
      <c r="CA57" s="107">
        <f t="shared" si="530"/>
        <v>0</v>
      </c>
      <c r="CB57" s="107">
        <f t="shared" si="530"/>
        <v>0</v>
      </c>
      <c r="CC57" s="107">
        <f t="shared" si="530"/>
        <v>0</v>
      </c>
      <c r="CD57" s="107">
        <f t="shared" si="530"/>
        <v>0</v>
      </c>
      <c r="CE57" s="107"/>
      <c r="CF57" s="107"/>
      <c r="CG57" s="107"/>
      <c r="CH57" s="107"/>
      <c r="CI57" s="107"/>
    </row>
    <row r="58" spans="1:87">
      <c r="B58" s="106" t="s">
        <v>394</v>
      </c>
      <c r="H58" s="298"/>
      <c r="I58" s="107">
        <f t="shared" ref="I58:AM58" si="531">+I24</f>
        <v>1139.6633333333332</v>
      </c>
      <c r="J58" s="107">
        <f t="shared" si="531"/>
        <v>1139.6633333333332</v>
      </c>
      <c r="K58" s="107">
        <f t="shared" si="531"/>
        <v>1139.6633333333332</v>
      </c>
      <c r="L58" s="107">
        <f t="shared" si="531"/>
        <v>1139.6633333333332</v>
      </c>
      <c r="M58" s="107">
        <f t="shared" si="531"/>
        <v>1139.6633333333332</v>
      </c>
      <c r="N58" s="107">
        <f t="shared" si="531"/>
        <v>1139.6633333333332</v>
      </c>
      <c r="O58" s="107">
        <f t="shared" si="531"/>
        <v>1139.6633333333332</v>
      </c>
      <c r="P58" s="107">
        <f t="shared" si="531"/>
        <v>1139.6633333333332</v>
      </c>
      <c r="Q58" s="107">
        <f t="shared" si="531"/>
        <v>1139.6633333333332</v>
      </c>
      <c r="R58" s="107">
        <f t="shared" si="531"/>
        <v>1139.6633333333332</v>
      </c>
      <c r="S58" s="107">
        <f t="shared" si="531"/>
        <v>1139.6633333333332</v>
      </c>
      <c r="T58" s="107">
        <f t="shared" si="531"/>
        <v>1139.6633333333332</v>
      </c>
      <c r="U58" s="107">
        <f t="shared" si="531"/>
        <v>1139.6633333333332</v>
      </c>
      <c r="V58" s="107">
        <f t="shared" si="531"/>
        <v>1139.6633333333332</v>
      </c>
      <c r="W58" s="107">
        <f t="shared" si="531"/>
        <v>1139.6633333333332</v>
      </c>
      <c r="X58" s="107">
        <f t="shared" si="531"/>
        <v>1139.6633333333332</v>
      </c>
      <c r="Y58" s="107">
        <f t="shared" si="531"/>
        <v>1139.6633333333332</v>
      </c>
      <c r="Z58" s="107">
        <f t="shared" si="531"/>
        <v>1139.6633333333332</v>
      </c>
      <c r="AA58" s="107">
        <f t="shared" si="531"/>
        <v>1139.6633333333332</v>
      </c>
      <c r="AB58" s="107">
        <f t="shared" si="531"/>
        <v>1139.6633333333332</v>
      </c>
      <c r="AC58" s="107">
        <f t="shared" si="531"/>
        <v>1139.6633333333332</v>
      </c>
      <c r="AD58" s="107">
        <f t="shared" si="531"/>
        <v>1139.6633333333332</v>
      </c>
      <c r="AE58" s="107">
        <f t="shared" si="531"/>
        <v>1139.6633333333332</v>
      </c>
      <c r="AF58" s="107">
        <f t="shared" si="531"/>
        <v>1139.6633333333332</v>
      </c>
      <c r="AG58" s="107">
        <f t="shared" si="531"/>
        <v>1139.6633333333332</v>
      </c>
      <c r="AH58" s="107">
        <f t="shared" si="531"/>
        <v>1139.6633333333332</v>
      </c>
      <c r="AI58" s="107">
        <f t="shared" si="531"/>
        <v>1139.6633333333332</v>
      </c>
      <c r="AJ58" s="107">
        <f t="shared" si="531"/>
        <v>1139.6633333333332</v>
      </c>
      <c r="AK58" s="107">
        <f t="shared" si="531"/>
        <v>1139.6633333333332</v>
      </c>
      <c r="AL58" s="107">
        <f t="shared" si="531"/>
        <v>1139.6633333333332</v>
      </c>
      <c r="AM58" s="107">
        <f t="shared" si="531"/>
        <v>1139.6633333333332</v>
      </c>
      <c r="AN58" s="107">
        <f t="shared" ref="AN58:BS58" si="532">+AN24</f>
        <v>1139.6633333333332</v>
      </c>
      <c r="AO58" s="107">
        <f t="shared" si="532"/>
        <v>1139.6633333333332</v>
      </c>
      <c r="AP58" s="107">
        <f t="shared" si="532"/>
        <v>1139.6633333333332</v>
      </c>
      <c r="AQ58" s="107">
        <f t="shared" si="532"/>
        <v>1139.6633333333332</v>
      </c>
      <c r="AR58" s="107">
        <f t="shared" si="532"/>
        <v>1139.6633333333332</v>
      </c>
      <c r="AS58" s="107">
        <f t="shared" si="532"/>
        <v>1139.6633333333332</v>
      </c>
      <c r="AT58" s="107">
        <f t="shared" si="532"/>
        <v>1139.6633333333332</v>
      </c>
      <c r="AU58" s="107">
        <f t="shared" si="532"/>
        <v>1139.6633333333332</v>
      </c>
      <c r="AV58" s="107">
        <f t="shared" si="532"/>
        <v>1139.6633333333332</v>
      </c>
      <c r="AW58" s="107">
        <f t="shared" si="532"/>
        <v>1139.6633333333332</v>
      </c>
      <c r="AX58" s="107">
        <f t="shared" si="532"/>
        <v>1139.6633333333332</v>
      </c>
      <c r="AY58" s="107">
        <f t="shared" si="532"/>
        <v>1139.6633333333332</v>
      </c>
      <c r="AZ58" s="107">
        <f t="shared" si="532"/>
        <v>1139.6633333333332</v>
      </c>
      <c r="BA58" s="107">
        <f t="shared" si="532"/>
        <v>1139.6633333333332</v>
      </c>
      <c r="BB58" s="107">
        <f t="shared" si="532"/>
        <v>1139.6633333333332</v>
      </c>
      <c r="BC58" s="107">
        <f t="shared" si="532"/>
        <v>1139.6633333333332</v>
      </c>
      <c r="BD58" s="107">
        <f t="shared" si="532"/>
        <v>1139.6633333333332</v>
      </c>
      <c r="BE58" s="107">
        <f t="shared" si="532"/>
        <v>1139.6633333333332</v>
      </c>
      <c r="BF58" s="107">
        <f t="shared" si="532"/>
        <v>1139.6633333333332</v>
      </c>
      <c r="BG58" s="107">
        <f t="shared" si="532"/>
        <v>1139.6633333333332</v>
      </c>
      <c r="BH58" s="107">
        <f t="shared" si="532"/>
        <v>1139.6633333333332</v>
      </c>
      <c r="BI58" s="107">
        <f t="shared" si="532"/>
        <v>1139.6633333333332</v>
      </c>
      <c r="BJ58" s="107">
        <f t="shared" si="532"/>
        <v>1139.6633333333332</v>
      </c>
      <c r="BK58" s="107">
        <f t="shared" si="532"/>
        <v>1139.6633333333332</v>
      </c>
      <c r="BL58" s="107">
        <f t="shared" si="532"/>
        <v>1139.6633333333332</v>
      </c>
      <c r="BM58" s="107">
        <f t="shared" si="532"/>
        <v>1139.6633333333332</v>
      </c>
      <c r="BN58" s="107">
        <f t="shared" si="532"/>
        <v>1139.6633333333332</v>
      </c>
      <c r="BO58" s="107">
        <f t="shared" si="532"/>
        <v>1139.6633333333332</v>
      </c>
      <c r="BP58" s="107">
        <f t="shared" si="532"/>
        <v>1139.6633333333332</v>
      </c>
      <c r="BQ58" s="107">
        <f t="shared" si="532"/>
        <v>1139.6633333333332</v>
      </c>
      <c r="BR58" s="107">
        <f t="shared" si="532"/>
        <v>1139.6633333333332</v>
      </c>
      <c r="BS58" s="107">
        <f t="shared" si="532"/>
        <v>1139.6633333333332</v>
      </c>
      <c r="BT58" s="107">
        <f t="shared" ref="BT58:CD58" si="533">+BT24</f>
        <v>1139.6633333333332</v>
      </c>
      <c r="BU58" s="107">
        <f t="shared" si="533"/>
        <v>1139.6633333333332</v>
      </c>
      <c r="BV58" s="107">
        <f t="shared" si="533"/>
        <v>1139.6633333333332</v>
      </c>
      <c r="BW58" s="107">
        <f t="shared" si="533"/>
        <v>1139.6633333333332</v>
      </c>
      <c r="BX58" s="107">
        <f t="shared" si="533"/>
        <v>1139.6633333333332</v>
      </c>
      <c r="BY58" s="107">
        <f t="shared" si="533"/>
        <v>1139.6633333333332</v>
      </c>
      <c r="BZ58" s="107">
        <f t="shared" si="533"/>
        <v>1139.6633333333332</v>
      </c>
      <c r="CA58" s="107">
        <f t="shared" si="533"/>
        <v>1139.6633333333332</v>
      </c>
      <c r="CB58" s="107">
        <f t="shared" si="533"/>
        <v>1139.6633333333332</v>
      </c>
      <c r="CC58" s="107">
        <f t="shared" si="533"/>
        <v>1139.6633333333332</v>
      </c>
      <c r="CD58" s="107">
        <f t="shared" si="533"/>
        <v>1139.6633333333332</v>
      </c>
      <c r="CE58" s="107"/>
      <c r="CF58" s="107"/>
      <c r="CG58" s="107"/>
      <c r="CH58" s="107"/>
      <c r="CI58" s="107"/>
    </row>
    <row r="59" spans="1:87">
      <c r="B59" s="106" t="s">
        <v>395</v>
      </c>
      <c r="H59" s="298"/>
      <c r="I59" s="107">
        <f t="shared" ref="I59:AM59" si="534">+I16</f>
        <v>0</v>
      </c>
      <c r="J59" s="107">
        <f t="shared" si="534"/>
        <v>0</v>
      </c>
      <c r="K59" s="107">
        <f t="shared" si="534"/>
        <v>0</v>
      </c>
      <c r="L59" s="107">
        <f t="shared" si="534"/>
        <v>960126</v>
      </c>
      <c r="M59" s="107">
        <f t="shared" si="534"/>
        <v>1583486.2000000002</v>
      </c>
      <c r="N59" s="107">
        <f t="shared" si="534"/>
        <v>1780888</v>
      </c>
      <c r="O59" s="107">
        <f t="shared" si="534"/>
        <v>2391184</v>
      </c>
      <c r="P59" s="107">
        <f t="shared" si="534"/>
        <v>2105526.2000000002</v>
      </c>
      <c r="Q59" s="107">
        <f t="shared" si="534"/>
        <v>0</v>
      </c>
      <c r="R59" s="107">
        <f t="shared" si="534"/>
        <v>0</v>
      </c>
      <c r="S59" s="107">
        <f t="shared" si="534"/>
        <v>0</v>
      </c>
      <c r="T59" s="107">
        <f t="shared" si="534"/>
        <v>0</v>
      </c>
      <c r="U59" s="107">
        <f t="shared" si="534"/>
        <v>0</v>
      </c>
      <c r="V59" s="107">
        <f t="shared" si="534"/>
        <v>0</v>
      </c>
      <c r="W59" s="107">
        <f t="shared" si="534"/>
        <v>0</v>
      </c>
      <c r="X59" s="107">
        <f t="shared" si="534"/>
        <v>960126</v>
      </c>
      <c r="Y59" s="107">
        <f t="shared" si="534"/>
        <v>1583486.2000000002</v>
      </c>
      <c r="Z59" s="107">
        <f t="shared" si="534"/>
        <v>1780888</v>
      </c>
      <c r="AA59" s="107">
        <f t="shared" si="534"/>
        <v>2391184</v>
      </c>
      <c r="AB59" s="107">
        <f t="shared" si="534"/>
        <v>2105526.2000000002</v>
      </c>
      <c r="AC59" s="107">
        <f t="shared" si="534"/>
        <v>0</v>
      </c>
      <c r="AD59" s="107">
        <f t="shared" si="534"/>
        <v>0</v>
      </c>
      <c r="AE59" s="107">
        <f t="shared" si="534"/>
        <v>0</v>
      </c>
      <c r="AF59" s="107">
        <f t="shared" si="534"/>
        <v>0</v>
      </c>
      <c r="AG59" s="107">
        <f t="shared" si="534"/>
        <v>0</v>
      </c>
      <c r="AH59" s="107">
        <f t="shared" si="534"/>
        <v>0</v>
      </c>
      <c r="AI59" s="107">
        <f t="shared" si="534"/>
        <v>0</v>
      </c>
      <c r="AJ59" s="107">
        <f t="shared" si="534"/>
        <v>960126</v>
      </c>
      <c r="AK59" s="107">
        <f t="shared" si="534"/>
        <v>1583486.2000000002</v>
      </c>
      <c r="AL59" s="107">
        <f t="shared" si="534"/>
        <v>1780888</v>
      </c>
      <c r="AM59" s="107">
        <f t="shared" si="534"/>
        <v>2391184</v>
      </c>
      <c r="AN59" s="107">
        <f t="shared" ref="AN59:BS59" si="535">+AN16</f>
        <v>2105526.2000000002</v>
      </c>
      <c r="AO59" s="107">
        <f t="shared" si="535"/>
        <v>0</v>
      </c>
      <c r="AP59" s="107">
        <f t="shared" si="535"/>
        <v>0</v>
      </c>
      <c r="AQ59" s="107">
        <f t="shared" si="535"/>
        <v>0</v>
      </c>
      <c r="AR59" s="107">
        <f t="shared" si="535"/>
        <v>0</v>
      </c>
      <c r="AS59" s="107">
        <f t="shared" si="535"/>
        <v>0</v>
      </c>
      <c r="AT59" s="107">
        <f t="shared" si="535"/>
        <v>0</v>
      </c>
      <c r="AU59" s="107">
        <f t="shared" si="535"/>
        <v>0</v>
      </c>
      <c r="AV59" s="107">
        <f t="shared" si="535"/>
        <v>960126</v>
      </c>
      <c r="AW59" s="107">
        <f t="shared" si="535"/>
        <v>1583486.2000000002</v>
      </c>
      <c r="AX59" s="107">
        <f t="shared" si="535"/>
        <v>1780888</v>
      </c>
      <c r="AY59" s="107">
        <f t="shared" si="535"/>
        <v>2391184</v>
      </c>
      <c r="AZ59" s="107">
        <f t="shared" si="535"/>
        <v>2105526.2000000002</v>
      </c>
      <c r="BA59" s="107">
        <f t="shared" si="535"/>
        <v>0</v>
      </c>
      <c r="BB59" s="107">
        <f t="shared" si="535"/>
        <v>0</v>
      </c>
      <c r="BC59" s="107">
        <f t="shared" si="535"/>
        <v>0</v>
      </c>
      <c r="BD59" s="107">
        <f t="shared" si="535"/>
        <v>0</v>
      </c>
      <c r="BE59" s="107">
        <f t="shared" si="535"/>
        <v>0</v>
      </c>
      <c r="BF59" s="107">
        <f t="shared" si="535"/>
        <v>0</v>
      </c>
      <c r="BG59" s="107">
        <f t="shared" si="535"/>
        <v>0</v>
      </c>
      <c r="BH59" s="107">
        <f t="shared" si="535"/>
        <v>960126</v>
      </c>
      <c r="BI59" s="107">
        <f t="shared" si="535"/>
        <v>1583486.2000000002</v>
      </c>
      <c r="BJ59" s="107">
        <f t="shared" si="535"/>
        <v>1780888</v>
      </c>
      <c r="BK59" s="107">
        <f t="shared" si="535"/>
        <v>2391184</v>
      </c>
      <c r="BL59" s="107">
        <f t="shared" si="535"/>
        <v>2105526.2000000002</v>
      </c>
      <c r="BM59" s="107">
        <f t="shared" si="535"/>
        <v>0</v>
      </c>
      <c r="BN59" s="107">
        <f t="shared" si="535"/>
        <v>0</v>
      </c>
      <c r="BO59" s="107">
        <f t="shared" si="535"/>
        <v>0</v>
      </c>
      <c r="BP59" s="107">
        <f t="shared" si="535"/>
        <v>0</v>
      </c>
      <c r="BQ59" s="107">
        <f t="shared" si="535"/>
        <v>0</v>
      </c>
      <c r="BR59" s="107">
        <f t="shared" si="535"/>
        <v>0</v>
      </c>
      <c r="BS59" s="107">
        <f t="shared" si="535"/>
        <v>0</v>
      </c>
      <c r="BT59" s="107">
        <f t="shared" ref="BT59:CD59" si="536">+BT16</f>
        <v>960126</v>
      </c>
      <c r="BU59" s="107">
        <f t="shared" si="536"/>
        <v>1583486.2000000002</v>
      </c>
      <c r="BV59" s="107">
        <f t="shared" si="536"/>
        <v>1780888</v>
      </c>
      <c r="BW59" s="107">
        <f t="shared" si="536"/>
        <v>2391184</v>
      </c>
      <c r="BX59" s="107">
        <f t="shared" si="536"/>
        <v>2105526.2000000002</v>
      </c>
      <c r="BY59" s="107">
        <f t="shared" si="536"/>
        <v>0</v>
      </c>
      <c r="BZ59" s="107">
        <f t="shared" si="536"/>
        <v>0</v>
      </c>
      <c r="CA59" s="107">
        <f t="shared" si="536"/>
        <v>0</v>
      </c>
      <c r="CB59" s="107">
        <f t="shared" si="536"/>
        <v>0</v>
      </c>
      <c r="CC59" s="107">
        <f t="shared" si="536"/>
        <v>0</v>
      </c>
      <c r="CD59" s="107">
        <f t="shared" si="536"/>
        <v>0</v>
      </c>
      <c r="CE59" s="107"/>
      <c r="CF59" s="107"/>
      <c r="CG59" s="107"/>
      <c r="CH59" s="107"/>
      <c r="CI59" s="107"/>
    </row>
    <row r="60" spans="1:87">
      <c r="B60" s="106" t="s">
        <v>396</v>
      </c>
      <c r="H60" s="298"/>
      <c r="I60" s="107">
        <f t="shared" ref="I60:AM60" si="537">-I21</f>
        <v>-602990</v>
      </c>
      <c r="J60" s="107">
        <f t="shared" si="537"/>
        <v>-602990</v>
      </c>
      <c r="K60" s="107">
        <f t="shared" si="537"/>
        <v>-602990</v>
      </c>
      <c r="L60" s="107">
        <f t="shared" si="537"/>
        <v>0</v>
      </c>
      <c r="M60" s="107">
        <f t="shared" si="537"/>
        <v>0</v>
      </c>
      <c r="N60" s="107">
        <f t="shared" si="537"/>
        <v>0</v>
      </c>
      <c r="O60" s="107">
        <f t="shared" si="537"/>
        <v>0</v>
      </c>
      <c r="P60" s="107">
        <f t="shared" si="537"/>
        <v>0</v>
      </c>
      <c r="Q60" s="107">
        <f t="shared" si="537"/>
        <v>-1260172.9142857143</v>
      </c>
      <c r="R60" s="107">
        <f t="shared" si="537"/>
        <v>-1260172.9142857143</v>
      </c>
      <c r="S60" s="107">
        <f t="shared" si="537"/>
        <v>-1260172.9142857143</v>
      </c>
      <c r="T60" s="107">
        <f t="shared" si="537"/>
        <v>-1260172.9142857143</v>
      </c>
      <c r="U60" s="107">
        <f t="shared" si="537"/>
        <v>-1260172.9142857143</v>
      </c>
      <c r="V60" s="107">
        <f t="shared" si="537"/>
        <v>-1260172.9142857143</v>
      </c>
      <c r="W60" s="107">
        <f t="shared" si="537"/>
        <v>-1260172.9142857143</v>
      </c>
      <c r="X60" s="107">
        <f t="shared" si="537"/>
        <v>0</v>
      </c>
      <c r="Y60" s="107">
        <f t="shared" si="537"/>
        <v>0</v>
      </c>
      <c r="Z60" s="107">
        <f t="shared" si="537"/>
        <v>0</v>
      </c>
      <c r="AA60" s="107">
        <f t="shared" si="537"/>
        <v>0</v>
      </c>
      <c r="AB60" s="107">
        <f t="shared" si="537"/>
        <v>0</v>
      </c>
      <c r="AC60" s="107">
        <f t="shared" si="537"/>
        <v>-1260172.9142857143</v>
      </c>
      <c r="AD60" s="107">
        <f t="shared" si="537"/>
        <v>-1260172.9142857143</v>
      </c>
      <c r="AE60" s="107">
        <f t="shared" si="537"/>
        <v>-1260172.9142857143</v>
      </c>
      <c r="AF60" s="107">
        <f t="shared" si="537"/>
        <v>-1260172.9142857143</v>
      </c>
      <c r="AG60" s="107">
        <f t="shared" si="537"/>
        <v>-1260172.9142857143</v>
      </c>
      <c r="AH60" s="107">
        <f t="shared" si="537"/>
        <v>-1260172.9142857143</v>
      </c>
      <c r="AI60" s="107">
        <f t="shared" si="537"/>
        <v>-1260172.9142857143</v>
      </c>
      <c r="AJ60" s="107">
        <f t="shared" si="537"/>
        <v>0</v>
      </c>
      <c r="AK60" s="107">
        <f t="shared" si="537"/>
        <v>0</v>
      </c>
      <c r="AL60" s="107">
        <f t="shared" si="537"/>
        <v>0</v>
      </c>
      <c r="AM60" s="107">
        <f t="shared" si="537"/>
        <v>0</v>
      </c>
      <c r="AN60" s="107">
        <f t="shared" ref="AN60:BS60" si="538">-AN21</f>
        <v>0</v>
      </c>
      <c r="AO60" s="107">
        <f t="shared" si="538"/>
        <v>-1260172.9142857143</v>
      </c>
      <c r="AP60" s="107">
        <f t="shared" si="538"/>
        <v>-1260172.9142857143</v>
      </c>
      <c r="AQ60" s="107">
        <f t="shared" si="538"/>
        <v>-1260172.9142857143</v>
      </c>
      <c r="AR60" s="107">
        <f t="shared" si="538"/>
        <v>-1260172.9142857143</v>
      </c>
      <c r="AS60" s="107">
        <f t="shared" si="538"/>
        <v>-1260172.9142857143</v>
      </c>
      <c r="AT60" s="107">
        <f t="shared" si="538"/>
        <v>-1260172.9142857143</v>
      </c>
      <c r="AU60" s="107">
        <f t="shared" si="538"/>
        <v>-1260172.9142857143</v>
      </c>
      <c r="AV60" s="107">
        <f t="shared" si="538"/>
        <v>0</v>
      </c>
      <c r="AW60" s="107">
        <f t="shared" si="538"/>
        <v>0</v>
      </c>
      <c r="AX60" s="107">
        <f t="shared" si="538"/>
        <v>0</v>
      </c>
      <c r="AY60" s="107">
        <f t="shared" si="538"/>
        <v>0</v>
      </c>
      <c r="AZ60" s="107">
        <f t="shared" si="538"/>
        <v>0</v>
      </c>
      <c r="BA60" s="107">
        <f t="shared" si="538"/>
        <v>-1260172.9142857143</v>
      </c>
      <c r="BB60" s="107">
        <f t="shared" si="538"/>
        <v>-1260172.9142857143</v>
      </c>
      <c r="BC60" s="107">
        <f t="shared" si="538"/>
        <v>-1260172.9142857143</v>
      </c>
      <c r="BD60" s="107">
        <f t="shared" si="538"/>
        <v>-1260172.9142857143</v>
      </c>
      <c r="BE60" s="107">
        <f t="shared" si="538"/>
        <v>-1260172.9142857143</v>
      </c>
      <c r="BF60" s="107">
        <f t="shared" si="538"/>
        <v>-1260172.9142857143</v>
      </c>
      <c r="BG60" s="107">
        <f t="shared" si="538"/>
        <v>-1260172.9142857143</v>
      </c>
      <c r="BH60" s="107">
        <f t="shared" si="538"/>
        <v>0</v>
      </c>
      <c r="BI60" s="107">
        <f t="shared" si="538"/>
        <v>0</v>
      </c>
      <c r="BJ60" s="107">
        <f t="shared" si="538"/>
        <v>0</v>
      </c>
      <c r="BK60" s="107">
        <f t="shared" si="538"/>
        <v>0</v>
      </c>
      <c r="BL60" s="107">
        <f t="shared" si="538"/>
        <v>0</v>
      </c>
      <c r="BM60" s="107">
        <f t="shared" si="538"/>
        <v>-1260172.9142857143</v>
      </c>
      <c r="BN60" s="107">
        <f t="shared" si="538"/>
        <v>-1260172.9142857143</v>
      </c>
      <c r="BO60" s="107">
        <f t="shared" si="538"/>
        <v>-1260172.9142857143</v>
      </c>
      <c r="BP60" s="107">
        <f t="shared" si="538"/>
        <v>-1260172.9142857143</v>
      </c>
      <c r="BQ60" s="107">
        <f t="shared" si="538"/>
        <v>-1260172.9142857143</v>
      </c>
      <c r="BR60" s="107">
        <f t="shared" si="538"/>
        <v>-1260172.9142857143</v>
      </c>
      <c r="BS60" s="107">
        <f t="shared" si="538"/>
        <v>-1260172.9142857143</v>
      </c>
      <c r="BT60" s="107">
        <f t="shared" ref="BT60:CD60" si="539">-BT21</f>
        <v>0</v>
      </c>
      <c r="BU60" s="107">
        <f t="shared" si="539"/>
        <v>0</v>
      </c>
      <c r="BV60" s="107">
        <f t="shared" si="539"/>
        <v>0</v>
      </c>
      <c r="BW60" s="107">
        <f t="shared" si="539"/>
        <v>0</v>
      </c>
      <c r="BX60" s="107">
        <f t="shared" si="539"/>
        <v>0</v>
      </c>
      <c r="BY60" s="107">
        <f t="shared" si="539"/>
        <v>-1260172.9142857143</v>
      </c>
      <c r="BZ60" s="107">
        <f t="shared" si="539"/>
        <v>-1260172.9142857143</v>
      </c>
      <c r="CA60" s="107">
        <f t="shared" si="539"/>
        <v>-1260172.9142857143</v>
      </c>
      <c r="CB60" s="107">
        <f t="shared" si="539"/>
        <v>-1260172.9142857143</v>
      </c>
      <c r="CC60" s="107">
        <f t="shared" si="539"/>
        <v>-1260172.9142857143</v>
      </c>
      <c r="CD60" s="107">
        <f t="shared" si="539"/>
        <v>-1260172.9142857143</v>
      </c>
      <c r="CE60" s="107"/>
      <c r="CF60" s="107"/>
      <c r="CG60" s="107"/>
      <c r="CH60" s="107"/>
      <c r="CI60" s="107"/>
    </row>
    <row r="62" spans="1:87">
      <c r="B62" s="106" t="s">
        <v>397</v>
      </c>
      <c r="H62" s="298"/>
      <c r="I62" s="107">
        <f t="shared" ref="I62:AM62" si="540">SUM(I56:I60)</f>
        <v>371335.39361775946</v>
      </c>
      <c r="J62" s="107">
        <f t="shared" si="540"/>
        <v>421704.70648595062</v>
      </c>
      <c r="K62" s="107">
        <f t="shared" si="540"/>
        <v>1041212.4814188865</v>
      </c>
      <c r="L62" s="107">
        <f t="shared" si="540"/>
        <v>2085108.362095284</v>
      </c>
      <c r="M62" s="107">
        <f t="shared" si="540"/>
        <v>3093440.1574003277</v>
      </c>
      <c r="N62" s="107">
        <f t="shared" si="540"/>
        <v>3304117.5939488718</v>
      </c>
      <c r="O62" s="107">
        <f t="shared" si="540"/>
        <v>2923722.1672988553</v>
      </c>
      <c r="P62" s="107">
        <f t="shared" si="540"/>
        <v>2059011.0903437226</v>
      </c>
      <c r="Q62" s="107">
        <f t="shared" si="540"/>
        <v>1161706.9394090837</v>
      </c>
      <c r="R62" s="107">
        <f t="shared" si="540"/>
        <v>619737.29035263183</v>
      </c>
      <c r="S62" s="107">
        <f t="shared" si="540"/>
        <v>381226.41613645619</v>
      </c>
      <c r="T62" s="107">
        <f t="shared" si="540"/>
        <v>365257.11544278217</v>
      </c>
      <c r="U62" s="107">
        <f t="shared" si="540"/>
        <v>371769.51727709174</v>
      </c>
      <c r="V62" s="107">
        <f t="shared" si="540"/>
        <v>422182.48560659261</v>
      </c>
      <c r="W62" s="107">
        <f t="shared" si="540"/>
        <v>1042205.1438622326</v>
      </c>
      <c r="X62" s="107">
        <f t="shared" si="540"/>
        <v>2086934.3411028984</v>
      </c>
      <c r="Y62" s="107">
        <f t="shared" si="540"/>
        <v>3096048.1118344637</v>
      </c>
      <c r="Z62" s="107">
        <f t="shared" si="540"/>
        <v>3306835.7922994634</v>
      </c>
      <c r="AA62" s="107">
        <f t="shared" si="540"/>
        <v>2926139.8027207451</v>
      </c>
      <c r="AB62" s="107">
        <f t="shared" si="540"/>
        <v>2060758.3241008928</v>
      </c>
      <c r="AC62" s="107">
        <f t="shared" si="540"/>
        <v>1162740.0734310914</v>
      </c>
      <c r="AD62" s="107">
        <f t="shared" si="540"/>
        <v>620331.77062665578</v>
      </c>
      <c r="AE62" s="107">
        <f t="shared" si="540"/>
        <v>381660.51986351027</v>
      </c>
      <c r="AF62" s="107">
        <f t="shared" si="540"/>
        <v>365691.28686093027</v>
      </c>
      <c r="AG62" s="107">
        <f t="shared" si="540"/>
        <v>372203.69112296565</v>
      </c>
      <c r="AH62" s="107">
        <f t="shared" si="540"/>
        <v>422660.32385904039</v>
      </c>
      <c r="AI62" s="107">
        <f t="shared" si="540"/>
        <v>1043196.9669148182</v>
      </c>
      <c r="AJ62" s="107">
        <f t="shared" si="540"/>
        <v>2088760.6755232778</v>
      </c>
      <c r="AK62" s="107">
        <f t="shared" si="540"/>
        <v>3098656.5972652668</v>
      </c>
      <c r="AL62" s="107">
        <f t="shared" si="540"/>
        <v>3309553.5406214846</v>
      </c>
      <c r="AM62" s="107">
        <f t="shared" si="540"/>
        <v>2928558.9413151219</v>
      </c>
      <c r="AN62" s="107">
        <f t="shared" ref="AN62:BS62" si="541">SUM(AN56:AN60)</f>
        <v>2062505.9025672765</v>
      </c>
      <c r="AO62" s="107">
        <f t="shared" si="541"/>
        <v>1163774.4040989224</v>
      </c>
      <c r="AP62" s="107">
        <f t="shared" si="541"/>
        <v>620927.34886599868</v>
      </c>
      <c r="AQ62" s="107">
        <f t="shared" si="541"/>
        <v>382094.67505186005</v>
      </c>
      <c r="AR62" s="107">
        <f t="shared" si="541"/>
        <v>366125.35684729228</v>
      </c>
      <c r="AS62" s="107">
        <f t="shared" si="541"/>
        <v>372637.76382776513</v>
      </c>
      <c r="AT62" s="107">
        <f t="shared" si="541"/>
        <v>423138.0635386575</v>
      </c>
      <c r="AU62" s="107">
        <f t="shared" si="541"/>
        <v>1044189.7226419915</v>
      </c>
      <c r="AV62" s="107">
        <f t="shared" si="541"/>
        <v>2090586.9650042995</v>
      </c>
      <c r="AW62" s="107">
        <f t="shared" si="541"/>
        <v>3101265.0678082313</v>
      </c>
      <c r="AX62" s="107">
        <f t="shared" si="541"/>
        <v>3312271.2756098174</v>
      </c>
      <c r="AY62" s="107">
        <f t="shared" si="541"/>
        <v>2930977.0444998527</v>
      </c>
      <c r="AZ62" s="107">
        <f t="shared" si="541"/>
        <v>2064253.4280470496</v>
      </c>
      <c r="BA62" s="107">
        <f t="shared" si="541"/>
        <v>1164807.6422778368</v>
      </c>
      <c r="BB62" s="107">
        <f t="shared" si="541"/>
        <v>621521.81843274808</v>
      </c>
      <c r="BC62" s="107">
        <f t="shared" si="541"/>
        <v>382528.72686496633</v>
      </c>
      <c r="BD62" s="107">
        <f t="shared" si="541"/>
        <v>366559.3229618019</v>
      </c>
      <c r="BE62" s="107">
        <f t="shared" si="541"/>
        <v>373071.73295630515</v>
      </c>
      <c r="BF62" s="107">
        <f t="shared" si="541"/>
        <v>423615.68719169218</v>
      </c>
      <c r="BG62" s="107">
        <f t="shared" si="541"/>
        <v>1045181.193841055</v>
      </c>
      <c r="BH62" s="107">
        <f t="shared" si="541"/>
        <v>2092411.7001939623</v>
      </c>
      <c r="BI62" s="107">
        <f t="shared" si="541"/>
        <v>3103872.7334647421</v>
      </c>
      <c r="BJ62" s="107">
        <f t="shared" si="541"/>
        <v>3314989.1662039077</v>
      </c>
      <c r="BK62" s="107">
        <f t="shared" si="541"/>
        <v>2933394.3919732859</v>
      </c>
      <c r="BL62" s="107">
        <f t="shared" si="541"/>
        <v>2066001.4258320257</v>
      </c>
      <c r="BM62" s="107">
        <f t="shared" si="541"/>
        <v>1165840.5748914499</v>
      </c>
      <c r="BN62" s="107">
        <f t="shared" si="541"/>
        <v>622116.12859770074</v>
      </c>
      <c r="BO62" s="107">
        <f t="shared" si="541"/>
        <v>382962.67283012276</v>
      </c>
      <c r="BP62" s="107">
        <f t="shared" si="541"/>
        <v>366993.54518236383</v>
      </c>
      <c r="BQ62" s="107">
        <f t="shared" si="541"/>
        <v>373505.957410431</v>
      </c>
      <c r="BR62" s="107">
        <f t="shared" si="541"/>
        <v>424092.5612512487</v>
      </c>
      <c r="BS62" s="107">
        <f t="shared" si="541"/>
        <v>1046174.0195079925</v>
      </c>
      <c r="BT62" s="107">
        <f t="shared" ref="BT62:CD62" si="542">SUM(BT56:BT60)</f>
        <v>2094237.929530795</v>
      </c>
      <c r="BU62" s="107">
        <f t="shared" si="542"/>
        <v>3106481.0139482841</v>
      </c>
      <c r="BV62" s="107">
        <f t="shared" si="542"/>
        <v>3317706.685178116</v>
      </c>
      <c r="BW62" s="107">
        <f t="shared" si="542"/>
        <v>2935812.3291346738</v>
      </c>
      <c r="BX62" s="107">
        <f t="shared" si="542"/>
        <v>2067748.8955986497</v>
      </c>
      <c r="BY62" s="107">
        <f t="shared" si="542"/>
        <v>1166874.8851397773</v>
      </c>
      <c r="BZ62" s="107">
        <f t="shared" si="542"/>
        <v>622711.74116136809</v>
      </c>
      <c r="CA62" s="107">
        <f t="shared" si="542"/>
        <v>383396.88011889579</v>
      </c>
      <c r="CB62" s="107">
        <f t="shared" si="542"/>
        <v>366993.54518236383</v>
      </c>
      <c r="CC62" s="107">
        <f t="shared" si="542"/>
        <v>373505.957410431</v>
      </c>
      <c r="CD62" s="107">
        <f t="shared" si="542"/>
        <v>424092.5612512487</v>
      </c>
      <c r="CE62" s="107"/>
      <c r="CF62" s="107"/>
      <c r="CG62" s="107"/>
      <c r="CH62" s="107"/>
      <c r="CI62" s="107"/>
    </row>
    <row r="64" spans="1:87" ht="18">
      <c r="A64" s="109" t="s">
        <v>398</v>
      </c>
      <c r="F64" s="191"/>
    </row>
    <row r="65" spans="1:87">
      <c r="B65" s="106" t="s">
        <v>399</v>
      </c>
      <c r="F65" s="29"/>
      <c r="G65" s="29"/>
      <c r="H65" s="300"/>
      <c r="I65" s="243">
        <f t="shared" ref="I65:AM65" si="543">+I80</f>
        <v>475313.4174024089</v>
      </c>
      <c r="J65" s="243">
        <f t="shared" si="543"/>
        <v>538138.60513518529</v>
      </c>
      <c r="K65" s="243">
        <f t="shared" si="543"/>
        <v>1352209.3390833931</v>
      </c>
      <c r="L65" s="243">
        <f t="shared" si="543"/>
        <v>2964.5460128273203</v>
      </c>
      <c r="M65" s="243">
        <f t="shared" si="543"/>
        <v>4317.7234864167222</v>
      </c>
      <c r="N65" s="243">
        <f t="shared" si="543"/>
        <v>4329.9505930390624</v>
      </c>
      <c r="O65" s="243">
        <f t="shared" si="543"/>
        <v>3617157.9283660958</v>
      </c>
      <c r="P65" s="243">
        <f t="shared" si="543"/>
        <v>2172660.3521288792</v>
      </c>
      <c r="Q65" s="243">
        <f t="shared" si="543"/>
        <v>1217794.9878679181</v>
      </c>
      <c r="R65" s="243">
        <f t="shared" si="543"/>
        <v>643400.84223249147</v>
      </c>
      <c r="S65" s="243">
        <f t="shared" si="543"/>
        <v>389899.67954057513</v>
      </c>
      <c r="T65" s="243">
        <f t="shared" si="543"/>
        <v>381288.08598024602</v>
      </c>
      <c r="U65" s="243">
        <f t="shared" si="543"/>
        <v>387142.75182709639</v>
      </c>
      <c r="V65" s="243">
        <f t="shared" si="543"/>
        <v>438338.91578915942</v>
      </c>
      <c r="W65" s="243">
        <f t="shared" si="543"/>
        <v>1100645.9748740983</v>
      </c>
      <c r="X65" s="243">
        <f t="shared" si="543"/>
        <v>2210568.8120977296</v>
      </c>
      <c r="Y65" s="243">
        <f t="shared" si="543"/>
        <v>3279863.1303460211</v>
      </c>
      <c r="Z65" s="243">
        <f t="shared" si="543"/>
        <v>3504561.7997202277</v>
      </c>
      <c r="AA65" s="243">
        <f t="shared" si="543"/>
        <v>3100621.1598241352</v>
      </c>
      <c r="AB65" s="243">
        <f t="shared" si="543"/>
        <v>2172585.3959815418</v>
      </c>
      <c r="AC65" s="243">
        <f t="shared" si="543"/>
        <v>1217810.6245431243</v>
      </c>
      <c r="AD65" s="243">
        <f t="shared" si="543"/>
        <v>643461.05180918332</v>
      </c>
      <c r="AE65" s="243">
        <f t="shared" si="543"/>
        <v>390014.63904191769</v>
      </c>
      <c r="AF65" s="243">
        <f t="shared" si="543"/>
        <v>381410.77674457262</v>
      </c>
      <c r="AG65" s="243">
        <f t="shared" si="543"/>
        <v>387260.22891278611</v>
      </c>
      <c r="AH65" s="243">
        <f t="shared" si="543"/>
        <v>438457.17698299576</v>
      </c>
      <c r="AI65" s="243">
        <f t="shared" si="543"/>
        <v>1100722.1602408525</v>
      </c>
      <c r="AJ65" s="243">
        <f t="shared" si="543"/>
        <v>2210543.9211549764</v>
      </c>
      <c r="AK65" s="243">
        <f t="shared" si="543"/>
        <v>3279718.6073831189</v>
      </c>
      <c r="AL65" s="243">
        <f t="shared" si="543"/>
        <v>3504333.6796799446</v>
      </c>
      <c r="AM65" s="243">
        <f t="shared" si="543"/>
        <v>3100433.6677332823</v>
      </c>
      <c r="AN65" s="243">
        <f t="shared" ref="AN65:BS65" si="544">+AN80</f>
        <v>2172510.9236551076</v>
      </c>
      <c r="AO65" s="243">
        <f t="shared" si="544"/>
        <v>1217826.4225475946</v>
      </c>
      <c r="AP65" s="243">
        <f t="shared" si="544"/>
        <v>643521.2424933943</v>
      </c>
      <c r="AQ65" s="243">
        <f t="shared" si="544"/>
        <v>390129.44528992614</v>
      </c>
      <c r="AR65" s="243">
        <f t="shared" si="544"/>
        <v>381533.13439391198</v>
      </c>
      <c r="AS65" s="243">
        <f t="shared" si="544"/>
        <v>387377.38241627021</v>
      </c>
      <c r="AT65" s="243">
        <f t="shared" si="544"/>
        <v>438575.11540625943</v>
      </c>
      <c r="AU65" s="243">
        <f t="shared" si="544"/>
        <v>1100798.1134610577</v>
      </c>
      <c r="AV65" s="243">
        <f t="shared" si="544"/>
        <v>2210519.0008520237</v>
      </c>
      <c r="AW65" s="243">
        <f t="shared" si="544"/>
        <v>3279574.2888049074</v>
      </c>
      <c r="AX65" s="243">
        <f t="shared" si="544"/>
        <v>3504105.9120971505</v>
      </c>
      <c r="AY65" s="243">
        <f t="shared" si="544"/>
        <v>3100246.4471414112</v>
      </c>
      <c r="AZ65" s="243">
        <f t="shared" si="544"/>
        <v>2172437.0153890289</v>
      </c>
      <c r="BA65" s="243">
        <f t="shared" si="544"/>
        <v>1217842.3769766986</v>
      </c>
      <c r="BB65" s="243">
        <f t="shared" si="544"/>
        <v>643581.36372692219</v>
      </c>
      <c r="BC65" s="243">
        <f t="shared" si="544"/>
        <v>390244.02274274849</v>
      </c>
      <c r="BD65" s="243">
        <f t="shared" si="544"/>
        <v>381655.24737335247</v>
      </c>
      <c r="BE65" s="243">
        <f t="shared" si="544"/>
        <v>387494.3021422702</v>
      </c>
      <c r="BF65" s="243">
        <f t="shared" si="544"/>
        <v>438692.81664912752</v>
      </c>
      <c r="BG65" s="243">
        <f t="shared" si="544"/>
        <v>1100873.8811677736</v>
      </c>
      <c r="BH65" s="243">
        <f t="shared" si="544"/>
        <v>2210494.0313785304</v>
      </c>
      <c r="BI65" s="243">
        <f t="shared" si="544"/>
        <v>3279430.0911514414</v>
      </c>
      <c r="BJ65" s="243">
        <f t="shared" si="544"/>
        <v>3503878.4107108591</v>
      </c>
      <c r="BK65" s="243">
        <f t="shared" si="544"/>
        <v>3100059.4368552282</v>
      </c>
      <c r="BL65" s="243">
        <f t="shared" si="544"/>
        <v>2172362.3619147344</v>
      </c>
      <c r="BM65" s="243">
        <f t="shared" si="544"/>
        <v>1217857.8071128426</v>
      </c>
      <c r="BN65" s="243">
        <f t="shared" si="544"/>
        <v>643641.11823460867</v>
      </c>
      <c r="BO65" s="243">
        <f t="shared" si="544"/>
        <v>390358.22895058547</v>
      </c>
      <c r="BP65" s="243">
        <f t="shared" si="544"/>
        <v>381777.36970342108</v>
      </c>
      <c r="BQ65" s="243">
        <f t="shared" si="544"/>
        <v>387611.2388126789</v>
      </c>
      <c r="BR65" s="243">
        <f t="shared" si="544"/>
        <v>438810.53204702807</v>
      </c>
      <c r="BS65" s="243">
        <f t="shared" si="544"/>
        <v>1100949.7394982839</v>
      </c>
      <c r="BT65" s="243">
        <f t="shared" ref="BT65:CD65" si="545">+BT80</f>
        <v>2210469.3335280814</v>
      </c>
      <c r="BU65" s="243">
        <f t="shared" si="545"/>
        <v>3279286.3747031116</v>
      </c>
      <c r="BV65" s="243">
        <f t="shared" si="545"/>
        <v>3503651.5339090941</v>
      </c>
      <c r="BW65" s="243">
        <f t="shared" si="545"/>
        <v>3099872.9807991502</v>
      </c>
      <c r="BX65" s="243">
        <f t="shared" si="545"/>
        <v>7274726.3373918682</v>
      </c>
      <c r="BY65" s="243">
        <f t="shared" si="545"/>
        <v>4078453.2053428357</v>
      </c>
      <c r="BZ65" s="243">
        <f t="shared" si="545"/>
        <v>2155602.7267487603</v>
      </c>
      <c r="CA65" s="243">
        <f t="shared" si="545"/>
        <v>1307558.7997115518</v>
      </c>
      <c r="CB65" s="243">
        <f t="shared" si="545"/>
        <v>1277361.3989981334</v>
      </c>
      <c r="CC65" s="243">
        <f t="shared" si="545"/>
        <v>1296873.9202099985</v>
      </c>
      <c r="CD65" s="243">
        <f t="shared" si="545"/>
        <v>1468167.9468563835</v>
      </c>
      <c r="CE65" s="243"/>
      <c r="CF65" s="110"/>
      <c r="CG65" s="110"/>
      <c r="CH65" s="110"/>
      <c r="CI65" s="110"/>
    </row>
    <row r="66" spans="1:87">
      <c r="B66" s="106" t="s">
        <v>378</v>
      </c>
      <c r="H66" s="300"/>
      <c r="I66" s="243">
        <f t="shared" ref="I66:AM66" si="546">+I24*(I34+I36)</f>
        <v>3386.509595</v>
      </c>
      <c r="J66" s="243">
        <f t="shared" si="546"/>
        <v>3362.5766649999996</v>
      </c>
      <c r="K66" s="243">
        <f t="shared" si="546"/>
        <v>3451.0145396666658</v>
      </c>
      <c r="L66" s="243">
        <f t="shared" si="546"/>
        <v>2693.0244566666661</v>
      </c>
      <c r="M66" s="243">
        <f t="shared" si="546"/>
        <v>3118.1188799999995</v>
      </c>
      <c r="N66" s="243">
        <f t="shared" si="546"/>
        <v>4038.9668533333329</v>
      </c>
      <c r="O66" s="243">
        <f t="shared" si="546"/>
        <v>3873.7156699999996</v>
      </c>
      <c r="P66" s="243">
        <f t="shared" si="546"/>
        <v>3509.0234033333327</v>
      </c>
      <c r="Q66" s="243">
        <f t="shared" si="546"/>
        <v>3352.8895266666659</v>
      </c>
      <c r="R66" s="243">
        <f t="shared" si="546"/>
        <v>3406.4537033333327</v>
      </c>
      <c r="S66" s="243">
        <f t="shared" si="546"/>
        <v>3580.822193333333</v>
      </c>
      <c r="T66" s="243">
        <f t="shared" si="546"/>
        <v>3772.285633333333</v>
      </c>
      <c r="U66" s="243">
        <f t="shared" si="546"/>
        <v>3776.8442866666664</v>
      </c>
      <c r="V66" s="243">
        <f t="shared" si="546"/>
        <v>3848.6430766666658</v>
      </c>
      <c r="W66" s="243">
        <f t="shared" si="546"/>
        <v>4162.0504933333332</v>
      </c>
      <c r="X66" s="243">
        <f t="shared" si="546"/>
        <v>4623.6141433333332</v>
      </c>
      <c r="Y66" s="243">
        <f t="shared" si="546"/>
        <v>4916.5076199999994</v>
      </c>
      <c r="Z66" s="243">
        <f t="shared" si="546"/>
        <v>4656.6643800000002</v>
      </c>
      <c r="AA66" s="243">
        <f t="shared" si="546"/>
        <v>4053.7824766666658</v>
      </c>
      <c r="AB66" s="243">
        <f t="shared" si="546"/>
        <v>3651.4813199999994</v>
      </c>
      <c r="AC66" s="243">
        <f t="shared" si="546"/>
        <v>3689.0902099999998</v>
      </c>
      <c r="AD66" s="243">
        <f t="shared" si="546"/>
        <v>3844.0844233333328</v>
      </c>
      <c r="AE66" s="243">
        <f t="shared" si="546"/>
        <v>4015.033923333333</v>
      </c>
      <c r="AF66" s="243">
        <f t="shared" si="546"/>
        <v>4056.0618033333326</v>
      </c>
      <c r="AG66" s="243">
        <f t="shared" si="546"/>
        <v>4021.8719033333327</v>
      </c>
      <c r="AH66" s="243">
        <f t="shared" si="546"/>
        <v>4090.2517033333329</v>
      </c>
      <c r="AI66" s="243">
        <f t="shared" si="546"/>
        <v>4395.6814766666657</v>
      </c>
      <c r="AJ66" s="243">
        <f t="shared" si="546"/>
        <v>4851.5468099999998</v>
      </c>
      <c r="AK66" s="243">
        <f t="shared" si="546"/>
        <v>5136.4626433333333</v>
      </c>
      <c r="AL66" s="243">
        <f t="shared" si="546"/>
        <v>4870.9210866666663</v>
      </c>
      <c r="AM66" s="243">
        <f t="shared" si="546"/>
        <v>4180.2851066666663</v>
      </c>
      <c r="AN66" s="243">
        <f t="shared" ref="AN66:BS66" si="547">+AN24*(AN34+AN36)</f>
        <v>3646.9226666666659</v>
      </c>
      <c r="AO66" s="243">
        <f t="shared" si="547"/>
        <v>3665.1572799999994</v>
      </c>
      <c r="AP66" s="243">
        <f t="shared" si="547"/>
        <v>3809.8945233333329</v>
      </c>
      <c r="AQ66" s="243">
        <f t="shared" si="547"/>
        <v>3969.4473899999998</v>
      </c>
      <c r="AR66" s="243">
        <f t="shared" si="547"/>
        <v>4017.3132499999992</v>
      </c>
      <c r="AS66" s="243">
        <f t="shared" si="547"/>
        <v>4000.2182999999991</v>
      </c>
      <c r="AT66" s="243">
        <f t="shared" si="547"/>
        <v>4074.2964166666657</v>
      </c>
      <c r="AU66" s="243">
        <f t="shared" si="547"/>
        <v>4345.5362899999991</v>
      </c>
      <c r="AV66" s="243">
        <f t="shared" si="547"/>
        <v>4795.7033066666663</v>
      </c>
      <c r="AW66" s="243">
        <f t="shared" si="547"/>
        <v>5117.0883666666659</v>
      </c>
      <c r="AX66" s="243">
        <f t="shared" si="547"/>
        <v>4836.7311866666669</v>
      </c>
      <c r="AY66" s="243">
        <f t="shared" si="547"/>
        <v>4046.9444966666656</v>
      </c>
      <c r="AZ66" s="243">
        <f t="shared" si="547"/>
        <v>3453.1798999999992</v>
      </c>
      <c r="BA66" s="243">
        <f t="shared" si="547"/>
        <v>3510.1630666666665</v>
      </c>
      <c r="BB66" s="243">
        <f t="shared" si="547"/>
        <v>3678.833239999999</v>
      </c>
      <c r="BC66" s="243">
        <f t="shared" si="547"/>
        <v>3886.2519666666662</v>
      </c>
      <c r="BD66" s="243">
        <f t="shared" si="547"/>
        <v>3936.3971533333324</v>
      </c>
      <c r="BE66" s="243">
        <f t="shared" si="547"/>
        <v>3906.7659066666661</v>
      </c>
      <c r="BF66" s="243">
        <f t="shared" si="547"/>
        <v>3971.7267166666661</v>
      </c>
      <c r="BG66" s="243">
        <f t="shared" si="547"/>
        <v>4252.0838966666661</v>
      </c>
      <c r="BH66" s="243">
        <f t="shared" si="547"/>
        <v>4722.7648533333331</v>
      </c>
      <c r="BI66" s="243">
        <f t="shared" si="547"/>
        <v>5025.9152999999997</v>
      </c>
      <c r="BJ66" s="243">
        <f t="shared" si="547"/>
        <v>4748.9771099999998</v>
      </c>
      <c r="BK66" s="243">
        <f t="shared" si="547"/>
        <v>3976.2853699999991</v>
      </c>
      <c r="BL66" s="243">
        <f t="shared" si="547"/>
        <v>3429.2469699999992</v>
      </c>
      <c r="BM66" s="243">
        <f t="shared" si="547"/>
        <v>3447.4815833333328</v>
      </c>
      <c r="BN66" s="243">
        <f t="shared" si="547"/>
        <v>3656.0399733333325</v>
      </c>
      <c r="BO66" s="243">
        <f t="shared" si="547"/>
        <v>3874.8553333333325</v>
      </c>
      <c r="BP66" s="243">
        <f t="shared" si="547"/>
        <v>3912.4642233333325</v>
      </c>
      <c r="BQ66" s="243">
        <f t="shared" si="547"/>
        <v>3877.1346599999997</v>
      </c>
      <c r="BR66" s="243">
        <f t="shared" si="547"/>
        <v>3953.4921033333326</v>
      </c>
      <c r="BS66" s="243">
        <f t="shared" si="547"/>
        <v>4256.6425499999996</v>
      </c>
      <c r="BT66" s="243">
        <f t="shared" ref="BT66:CD66" si="548">+BT24*(BT34+BT36)</f>
        <v>4712.5078833333337</v>
      </c>
      <c r="BU66" s="243">
        <f t="shared" si="548"/>
        <v>4999.703043333333</v>
      </c>
      <c r="BV66" s="243">
        <f t="shared" si="548"/>
        <v>4702.2509133333333</v>
      </c>
      <c r="BW66" s="243">
        <f t="shared" si="548"/>
        <v>3906.7659066666661</v>
      </c>
      <c r="BX66" s="243">
        <f t="shared" si="548"/>
        <v>3310.7219833333329</v>
      </c>
      <c r="BY66" s="243">
        <f t="shared" si="548"/>
        <v>3336.9342399999996</v>
      </c>
      <c r="BZ66" s="243">
        <f t="shared" si="548"/>
        <v>3509.0234033333327</v>
      </c>
      <c r="CA66" s="243">
        <f t="shared" si="548"/>
        <v>3694.7885266666663</v>
      </c>
      <c r="CB66" s="243">
        <f t="shared" si="548"/>
        <v>3724.4197733333326</v>
      </c>
      <c r="CC66" s="243">
        <f t="shared" si="548"/>
        <v>3653.7606466666662</v>
      </c>
      <c r="CD66" s="243">
        <f t="shared" si="548"/>
        <v>3706.1851599999991</v>
      </c>
      <c r="CE66" s="243"/>
      <c r="CF66" s="110"/>
      <c r="CG66" s="110"/>
      <c r="CH66" s="110"/>
      <c r="CI66" s="110"/>
    </row>
    <row r="67" spans="1:87">
      <c r="B67" s="106" t="s">
        <v>400</v>
      </c>
      <c r="H67" s="300"/>
      <c r="I67" s="243">
        <f t="shared" ref="I67:AM67" si="549">+I56*(I34+I35)</f>
        <v>2878985.8095981916</v>
      </c>
      <c r="J67" s="243">
        <f t="shared" si="549"/>
        <v>3006235.8495032336</v>
      </c>
      <c r="K67" s="243">
        <f t="shared" si="549"/>
        <v>4954827.2963236785</v>
      </c>
      <c r="L67" s="243">
        <f t="shared" si="549"/>
        <v>2632438.0234602885</v>
      </c>
      <c r="M67" s="243">
        <f t="shared" si="549"/>
        <v>4103861.8107580189</v>
      </c>
      <c r="N67" s="243">
        <f t="shared" si="549"/>
        <v>5384889.1190309925</v>
      </c>
      <c r="O67" s="243">
        <f t="shared" si="549"/>
        <v>1801998.423062382</v>
      </c>
      <c r="P67" s="243">
        <f t="shared" si="549"/>
        <v>-146163.2885468422</v>
      </c>
      <c r="Q67" s="243">
        <f t="shared" si="549"/>
        <v>7089014.8548995694</v>
      </c>
      <c r="R67" s="243">
        <f t="shared" si="549"/>
        <v>5591268.4527304303</v>
      </c>
      <c r="S67" s="243">
        <f t="shared" si="549"/>
        <v>5135488.9389033746</v>
      </c>
      <c r="T67" s="243">
        <f t="shared" si="549"/>
        <v>5361715.1725864429</v>
      </c>
      <c r="U67" s="243">
        <f t="shared" si="549"/>
        <v>5389815.4841149468</v>
      </c>
      <c r="V67" s="243">
        <f t="shared" si="549"/>
        <v>5663645.1624276722</v>
      </c>
      <c r="W67" s="243">
        <f t="shared" si="549"/>
        <v>8392959.8513474241</v>
      </c>
      <c r="X67" s="243">
        <f t="shared" si="549"/>
        <v>4566963.7750503523</v>
      </c>
      <c r="Y67" s="243">
        <f t="shared" si="549"/>
        <v>6525204.3718425883</v>
      </c>
      <c r="Z67" s="243">
        <f t="shared" si="549"/>
        <v>6231078.4647112805</v>
      </c>
      <c r="AA67" s="243">
        <f t="shared" si="549"/>
        <v>1895573.1869291214</v>
      </c>
      <c r="AB67" s="243">
        <f t="shared" si="549"/>
        <v>-146613.05717680519</v>
      </c>
      <c r="AC67" s="243">
        <f t="shared" si="549"/>
        <v>7815217.6251299353</v>
      </c>
      <c r="AD67" s="243">
        <f t="shared" si="549"/>
        <v>6323556.8430892117</v>
      </c>
      <c r="AE67" s="243">
        <f t="shared" si="549"/>
        <v>5769612.0950336484</v>
      </c>
      <c r="AF67" s="243">
        <f t="shared" si="549"/>
        <v>5772661.9822413586</v>
      </c>
      <c r="AG67" s="243">
        <f t="shared" si="549"/>
        <v>5746263.8600978041</v>
      </c>
      <c r="AH67" s="243">
        <f t="shared" si="549"/>
        <v>6026142.5256306361</v>
      </c>
      <c r="AI67" s="243">
        <f t="shared" si="549"/>
        <v>8874317.4837516509</v>
      </c>
      <c r="AJ67" s="243">
        <f t="shared" si="549"/>
        <v>4802635.5647533359</v>
      </c>
      <c r="AK67" s="243">
        <f t="shared" si="549"/>
        <v>6832254.3757040342</v>
      </c>
      <c r="AL67" s="243">
        <f t="shared" si="549"/>
        <v>6532878.2063327199</v>
      </c>
      <c r="AM67" s="243">
        <f t="shared" si="549"/>
        <v>1964414.9801981419</v>
      </c>
      <c r="AN67" s="243">
        <f t="shared" ref="AN67:BS67" si="550">+AN56*(AN34+AN35)</f>
        <v>-140853.08199319802</v>
      </c>
      <c r="AO67" s="243">
        <f t="shared" si="550"/>
        <v>7767053.0721104331</v>
      </c>
      <c r="AP67" s="243">
        <f t="shared" si="550"/>
        <v>6268470.9044197947</v>
      </c>
      <c r="AQ67" s="243">
        <f t="shared" si="550"/>
        <v>5704689.3343132064</v>
      </c>
      <c r="AR67" s="243">
        <f t="shared" si="550"/>
        <v>5718271.7744017066</v>
      </c>
      <c r="AS67" s="243">
        <f t="shared" si="550"/>
        <v>5716411.3147279993</v>
      </c>
      <c r="AT67" s="243">
        <f t="shared" si="550"/>
        <v>6004015.4747481924</v>
      </c>
      <c r="AU67" s="243">
        <f t="shared" si="550"/>
        <v>8775560.6215406209</v>
      </c>
      <c r="AV67" s="243">
        <f t="shared" si="550"/>
        <v>4754399.9484443916</v>
      </c>
      <c r="AW67" s="243">
        <f t="shared" si="550"/>
        <v>6817926.6316274544</v>
      </c>
      <c r="AX67" s="243">
        <f t="shared" si="550"/>
        <v>6498031.5042455187</v>
      </c>
      <c r="AY67" s="243">
        <f t="shared" si="550"/>
        <v>1909478.6381723718</v>
      </c>
      <c r="AZ67" s="243">
        <f t="shared" si="550"/>
        <v>-127980.69319937911</v>
      </c>
      <c r="BA67" s="243">
        <f t="shared" si="550"/>
        <v>7436683.8113327445</v>
      </c>
      <c r="BB67" s="243">
        <f t="shared" si="550"/>
        <v>6051539.2673692489</v>
      </c>
      <c r="BC67" s="243">
        <f t="shared" si="550"/>
        <v>5584895.7260185201</v>
      </c>
      <c r="BD67" s="243">
        <f t="shared" si="550"/>
        <v>5602967.3927233312</v>
      </c>
      <c r="BE67" s="243">
        <f t="shared" si="550"/>
        <v>5582459.1642924286</v>
      </c>
      <c r="BF67" s="243">
        <f t="shared" si="550"/>
        <v>5852426.1621723231</v>
      </c>
      <c r="BG67" s="243">
        <f t="shared" si="550"/>
        <v>8588077.4251967538</v>
      </c>
      <c r="BH67" s="243">
        <f t="shared" si="550"/>
        <v>4688801.5988396453</v>
      </c>
      <c r="BI67" s="243">
        <f t="shared" si="550"/>
        <v>6706620.1451150281</v>
      </c>
      <c r="BJ67" s="243">
        <f t="shared" si="550"/>
        <v>6390088.3531141663</v>
      </c>
      <c r="BK67" s="243">
        <f t="shared" si="550"/>
        <v>1884090.4767184481</v>
      </c>
      <c r="BL67" s="243">
        <f t="shared" si="550"/>
        <v>-121841.64460074613</v>
      </c>
      <c r="BM67" s="243">
        <f t="shared" si="550"/>
        <v>7304850.7121565277</v>
      </c>
      <c r="BN67" s="243">
        <f t="shared" si="550"/>
        <v>6015367.7304429999</v>
      </c>
      <c r="BO67" s="243">
        <f t="shared" si="550"/>
        <v>5569750.9293564269</v>
      </c>
      <c r="BP67" s="243">
        <f t="shared" si="550"/>
        <v>5569899.0600229986</v>
      </c>
      <c r="BQ67" s="243">
        <f t="shared" si="550"/>
        <v>5540978.2573128361</v>
      </c>
      <c r="BR67" s="243">
        <f t="shared" si="550"/>
        <v>5826824.780252899</v>
      </c>
      <c r="BS67" s="243">
        <f t="shared" si="550"/>
        <v>8601111.6190649681</v>
      </c>
      <c r="BT67" s="243">
        <f t="shared" ref="BT67:CD67" si="551">+BT56*(BT34+BT35)</f>
        <v>4686049.9484781893</v>
      </c>
      <c r="BU67" s="243">
        <f t="shared" si="551"/>
        <v>6682702.6634877305</v>
      </c>
      <c r="BV67" s="243">
        <f t="shared" si="551"/>
        <v>6337681.8687690869</v>
      </c>
      <c r="BW67" s="243">
        <f t="shared" si="551"/>
        <v>1858951.0558479521</v>
      </c>
      <c r="BX67" s="243">
        <f t="shared" si="551"/>
        <v>-112508.79402792141</v>
      </c>
      <c r="BY67" s="243">
        <f t="shared" si="551"/>
        <v>7069770.0469889957</v>
      </c>
      <c r="BZ67" s="243">
        <f t="shared" si="551"/>
        <v>5771552.7532542944</v>
      </c>
      <c r="CA67" s="243">
        <f t="shared" si="551"/>
        <v>5308540.0036663618</v>
      </c>
      <c r="CB67" s="243">
        <f t="shared" si="551"/>
        <v>5298317.1023091115</v>
      </c>
      <c r="CC67" s="243">
        <f t="shared" si="551"/>
        <v>5217079.7370523773</v>
      </c>
      <c r="CD67" s="243">
        <f t="shared" si="551"/>
        <v>5457111.0441959174</v>
      </c>
      <c r="CE67" s="243"/>
      <c r="CF67" s="110"/>
      <c r="CG67" s="110"/>
      <c r="CH67" s="110"/>
      <c r="CI67" s="110"/>
    </row>
    <row r="68" spans="1:87">
      <c r="B68" s="106" t="s">
        <v>401</v>
      </c>
      <c r="H68" s="300"/>
      <c r="I68" s="243">
        <f t="shared" ref="I68:BS68" si="552">+I57*I32</f>
        <v>0</v>
      </c>
      <c r="J68" s="243">
        <f t="shared" si="552"/>
        <v>0</v>
      </c>
      <c r="K68" s="243">
        <f t="shared" si="552"/>
        <v>0</v>
      </c>
      <c r="L68" s="243">
        <f t="shared" si="552"/>
        <v>0</v>
      </c>
      <c r="M68" s="243">
        <f t="shared" si="552"/>
        <v>0</v>
      </c>
      <c r="N68" s="243">
        <f t="shared" si="552"/>
        <v>0</v>
      </c>
      <c r="O68" s="243">
        <f t="shared" si="552"/>
        <v>0</v>
      </c>
      <c r="P68" s="243">
        <f t="shared" si="552"/>
        <v>0</v>
      </c>
      <c r="Q68" s="243">
        <f t="shared" si="552"/>
        <v>0</v>
      </c>
      <c r="R68" s="243">
        <f t="shared" si="552"/>
        <v>0</v>
      </c>
      <c r="S68" s="243">
        <f t="shared" si="552"/>
        <v>0</v>
      </c>
      <c r="T68" s="243">
        <f t="shared" si="552"/>
        <v>0</v>
      </c>
      <c r="U68" s="243">
        <f t="shared" si="552"/>
        <v>0</v>
      </c>
      <c r="V68" s="243">
        <f t="shared" si="552"/>
        <v>0</v>
      </c>
      <c r="W68" s="243">
        <f t="shared" si="552"/>
        <v>0</v>
      </c>
      <c r="X68" s="243">
        <f t="shared" si="552"/>
        <v>0</v>
      </c>
      <c r="Y68" s="243">
        <f t="shared" si="552"/>
        <v>0</v>
      </c>
      <c r="Z68" s="243">
        <f t="shared" si="552"/>
        <v>0</v>
      </c>
      <c r="AA68" s="243">
        <f t="shared" si="552"/>
        <v>0</v>
      </c>
      <c r="AB68" s="243">
        <f t="shared" si="552"/>
        <v>0</v>
      </c>
      <c r="AC68" s="243">
        <f t="shared" si="552"/>
        <v>0</v>
      </c>
      <c r="AD68" s="243">
        <f t="shared" si="552"/>
        <v>0</v>
      </c>
      <c r="AE68" s="243">
        <f t="shared" si="552"/>
        <v>0</v>
      </c>
      <c r="AF68" s="243">
        <f t="shared" si="552"/>
        <v>0</v>
      </c>
      <c r="AG68" s="243">
        <f t="shared" si="552"/>
        <v>0</v>
      </c>
      <c r="AH68" s="243">
        <f t="shared" si="552"/>
        <v>0</v>
      </c>
      <c r="AI68" s="243">
        <f t="shared" si="552"/>
        <v>0</v>
      </c>
      <c r="AJ68" s="243">
        <f t="shared" si="552"/>
        <v>0</v>
      </c>
      <c r="AK68" s="243">
        <f t="shared" si="552"/>
        <v>0</v>
      </c>
      <c r="AL68" s="243">
        <f t="shared" si="552"/>
        <v>0</v>
      </c>
      <c r="AM68" s="243">
        <f t="shared" si="552"/>
        <v>0</v>
      </c>
      <c r="AN68" s="243">
        <f t="shared" si="552"/>
        <v>0</v>
      </c>
      <c r="AO68" s="243">
        <f t="shared" si="552"/>
        <v>0</v>
      </c>
      <c r="AP68" s="243">
        <f t="shared" si="552"/>
        <v>0</v>
      </c>
      <c r="AQ68" s="243">
        <f t="shared" si="552"/>
        <v>0</v>
      </c>
      <c r="AR68" s="243">
        <f t="shared" si="552"/>
        <v>0</v>
      </c>
      <c r="AS68" s="243">
        <f t="shared" si="552"/>
        <v>0</v>
      </c>
      <c r="AT68" s="243">
        <f t="shared" si="552"/>
        <v>0</v>
      </c>
      <c r="AU68" s="243">
        <f t="shared" si="552"/>
        <v>0</v>
      </c>
      <c r="AV68" s="243">
        <f t="shared" si="552"/>
        <v>0</v>
      </c>
      <c r="AW68" s="243">
        <f t="shared" si="552"/>
        <v>0</v>
      </c>
      <c r="AX68" s="243">
        <f t="shared" si="552"/>
        <v>0</v>
      </c>
      <c r="AY68" s="243">
        <f t="shared" si="552"/>
        <v>0</v>
      </c>
      <c r="AZ68" s="243">
        <f t="shared" si="552"/>
        <v>0</v>
      </c>
      <c r="BA68" s="243">
        <f t="shared" si="552"/>
        <v>0</v>
      </c>
      <c r="BB68" s="243">
        <f t="shared" si="552"/>
        <v>0</v>
      </c>
      <c r="BC68" s="243">
        <f t="shared" si="552"/>
        <v>0</v>
      </c>
      <c r="BD68" s="243">
        <f t="shared" si="552"/>
        <v>0</v>
      </c>
      <c r="BE68" s="243">
        <f t="shared" si="552"/>
        <v>0</v>
      </c>
      <c r="BF68" s="243">
        <f t="shared" si="552"/>
        <v>0</v>
      </c>
      <c r="BG68" s="243">
        <f t="shared" si="552"/>
        <v>0</v>
      </c>
      <c r="BH68" s="243">
        <f t="shared" si="552"/>
        <v>0</v>
      </c>
      <c r="BI68" s="243">
        <f t="shared" si="552"/>
        <v>0</v>
      </c>
      <c r="BJ68" s="243">
        <f t="shared" si="552"/>
        <v>0</v>
      </c>
      <c r="BK68" s="243">
        <f t="shared" si="552"/>
        <v>0</v>
      </c>
      <c r="BL68" s="243">
        <f t="shared" si="552"/>
        <v>0</v>
      </c>
      <c r="BM68" s="243">
        <f t="shared" si="552"/>
        <v>0</v>
      </c>
      <c r="BN68" s="243">
        <f t="shared" si="552"/>
        <v>0</v>
      </c>
      <c r="BO68" s="243">
        <f t="shared" si="552"/>
        <v>0</v>
      </c>
      <c r="BP68" s="243">
        <f t="shared" si="552"/>
        <v>0</v>
      </c>
      <c r="BQ68" s="243">
        <f t="shared" si="552"/>
        <v>0</v>
      </c>
      <c r="BR68" s="243">
        <f t="shared" si="552"/>
        <v>0</v>
      </c>
      <c r="BS68" s="243">
        <f t="shared" si="552"/>
        <v>0</v>
      </c>
      <c r="BT68" s="243">
        <f t="shared" ref="BT68:CD68" si="553">+BT57*BT32</f>
        <v>0</v>
      </c>
      <c r="BU68" s="243">
        <f t="shared" si="553"/>
        <v>0</v>
      </c>
      <c r="BV68" s="243">
        <f t="shared" si="553"/>
        <v>0</v>
      </c>
      <c r="BW68" s="243">
        <f t="shared" si="553"/>
        <v>0</v>
      </c>
      <c r="BX68" s="243">
        <f t="shared" si="553"/>
        <v>0</v>
      </c>
      <c r="BY68" s="243">
        <f t="shared" si="553"/>
        <v>0</v>
      </c>
      <c r="BZ68" s="243">
        <f t="shared" si="553"/>
        <v>0</v>
      </c>
      <c r="CA68" s="243">
        <f t="shared" si="553"/>
        <v>0</v>
      </c>
      <c r="CB68" s="243">
        <f t="shared" si="553"/>
        <v>0</v>
      </c>
      <c r="CC68" s="243">
        <f t="shared" si="553"/>
        <v>0</v>
      </c>
      <c r="CD68" s="243">
        <f t="shared" si="553"/>
        <v>0</v>
      </c>
      <c r="CE68" s="243"/>
      <c r="CF68" s="110"/>
      <c r="CG68" s="110"/>
      <c r="CH68" s="110"/>
      <c r="CI68" s="110"/>
    </row>
    <row r="69" spans="1:87">
      <c r="B69" s="106" t="s">
        <v>402</v>
      </c>
      <c r="H69" s="300"/>
      <c r="I69" s="243">
        <f t="shared" ref="I69:AM69" si="554">+(I56-I60)*0.9*(I36)+(I56-I60)*0.08*I38+0.02*(I56-I60)*I37</f>
        <v>94645.317593710264</v>
      </c>
      <c r="J69" s="243">
        <f t="shared" si="554"/>
        <v>97669.865886004205</v>
      </c>
      <c r="K69" s="243">
        <f t="shared" si="554"/>
        <v>134869.72183082317</v>
      </c>
      <c r="L69" s="243">
        <f t="shared" si="554"/>
        <v>67483.877023346315</v>
      </c>
      <c r="M69" s="243">
        <f t="shared" si="554"/>
        <v>90600.435794130201</v>
      </c>
      <c r="N69" s="243">
        <f t="shared" si="554"/>
        <v>91397.603783240716</v>
      </c>
      <c r="O69" s="243">
        <f t="shared" si="554"/>
        <v>31909.119782959457</v>
      </c>
      <c r="P69" s="243">
        <f t="shared" si="554"/>
        <v>-2861.5471218072821</v>
      </c>
      <c r="Q69" s="243">
        <f t="shared" si="554"/>
        <v>221029.40879651517</v>
      </c>
      <c r="R69" s="243">
        <f t="shared" si="554"/>
        <v>188485.51881297684</v>
      </c>
      <c r="S69" s="243">
        <f t="shared" si="554"/>
        <v>174163.5514041335</v>
      </c>
      <c r="T69" s="243">
        <f t="shared" si="554"/>
        <v>173204.63577888813</v>
      </c>
      <c r="U69" s="243">
        <f t="shared" si="554"/>
        <v>173595.68883728975</v>
      </c>
      <c r="V69" s="243">
        <f t="shared" si="554"/>
        <v>176622.85852827734</v>
      </c>
      <c r="W69" s="243">
        <f t="shared" si="554"/>
        <v>213853.63189852337</v>
      </c>
      <c r="X69" s="243">
        <f t="shared" si="554"/>
        <v>67593.522388247278</v>
      </c>
      <c r="Y69" s="243">
        <f t="shared" si="554"/>
        <v>90757.036781536706</v>
      </c>
      <c r="Z69" s="243">
        <f t="shared" si="554"/>
        <v>91560.824635605939</v>
      </c>
      <c r="AA69" s="243">
        <f t="shared" si="554"/>
        <v>32054.292600897257</v>
      </c>
      <c r="AB69" s="243">
        <f t="shared" si="554"/>
        <v>-2756.6302076076327</v>
      </c>
      <c r="AC69" s="243">
        <f t="shared" si="554"/>
        <v>221091.44584971367</v>
      </c>
      <c r="AD69" s="243">
        <f t="shared" si="554"/>
        <v>188521.2158315625</v>
      </c>
      <c r="AE69" s="243">
        <f t="shared" si="554"/>
        <v>174189.61822163756</v>
      </c>
      <c r="AF69" s="243">
        <f t="shared" si="554"/>
        <v>173230.7066610691</v>
      </c>
      <c r="AG69" s="243">
        <f t="shared" si="554"/>
        <v>173621.75986524939</v>
      </c>
      <c r="AH69" s="243">
        <f t="shared" si="554"/>
        <v>176651.5514920709</v>
      </c>
      <c r="AI69" s="243">
        <f t="shared" si="554"/>
        <v>213913.18833376415</v>
      </c>
      <c r="AJ69" s="243">
        <f t="shared" si="554"/>
        <v>67703.189094774963</v>
      </c>
      <c r="AK69" s="243">
        <f t="shared" si="554"/>
        <v>90913.669653933743</v>
      </c>
      <c r="AL69" s="243">
        <f t="shared" si="554"/>
        <v>91724.018464907655</v>
      </c>
      <c r="AM69" s="243">
        <f t="shared" si="554"/>
        <v>32199.555680494788</v>
      </c>
      <c r="AN69" s="243">
        <f t="shared" ref="AN69:BS69" si="555">+(AN56-AN60)*0.9*(AN36)+(AN56-AN60)*0.08*AN38+0.02*(AN56-AN60)*AN37</f>
        <v>-2651.692594502163</v>
      </c>
      <c r="AO69" s="243">
        <f t="shared" si="555"/>
        <v>221153.5547584304</v>
      </c>
      <c r="AP69" s="243">
        <f t="shared" si="555"/>
        <v>188556.97878015472</v>
      </c>
      <c r="AQ69" s="243">
        <f t="shared" si="555"/>
        <v>174215.68812926067</v>
      </c>
      <c r="AR69" s="243">
        <f t="shared" si="555"/>
        <v>173256.77145253096</v>
      </c>
      <c r="AS69" s="243">
        <f t="shared" si="555"/>
        <v>173647.82481994649</v>
      </c>
      <c r="AT69" s="243">
        <f t="shared" si="555"/>
        <v>176680.23853681836</v>
      </c>
      <c r="AU69" s="243">
        <f t="shared" si="555"/>
        <v>213972.80077372619</v>
      </c>
      <c r="AV69" s="243">
        <f t="shared" si="555"/>
        <v>67812.85310280924</v>
      </c>
      <c r="AW69" s="243">
        <f t="shared" si="555"/>
        <v>91070.301632354152</v>
      </c>
      <c r="AX69" s="243">
        <f t="shared" si="555"/>
        <v>91887.211493555456</v>
      </c>
      <c r="AY69" s="243">
        <f t="shared" si="555"/>
        <v>32344.756586393687</v>
      </c>
      <c r="AZ69" s="243">
        <f t="shared" si="555"/>
        <v>-2546.7581631070188</v>
      </c>
      <c r="BA69" s="243">
        <f t="shared" si="555"/>
        <v>221215.59806598446</v>
      </c>
      <c r="BB69" s="243">
        <f t="shared" si="555"/>
        <v>188592.67515579594</v>
      </c>
      <c r="BC69" s="243">
        <f t="shared" si="555"/>
        <v>174241.75182946507</v>
      </c>
      <c r="BD69" s="243">
        <f t="shared" si="555"/>
        <v>173282.83000675403</v>
      </c>
      <c r="BE69" s="243">
        <f t="shared" si="555"/>
        <v>173673.88355515437</v>
      </c>
      <c r="BF69" s="243">
        <f t="shared" si="555"/>
        <v>176708.91861446653</v>
      </c>
      <c r="BG69" s="243">
        <f t="shared" si="555"/>
        <v>214032.33608106372</v>
      </c>
      <c r="BH69" s="243">
        <f t="shared" si="555"/>
        <v>67922.423779626406</v>
      </c>
      <c r="BI69" s="243">
        <f t="shared" si="555"/>
        <v>91226.885279403563</v>
      </c>
      <c r="BJ69" s="243">
        <f t="shared" si="555"/>
        <v>92050.413865930648</v>
      </c>
      <c r="BK69" s="243">
        <f t="shared" si="555"/>
        <v>32489.91211376385</v>
      </c>
      <c r="BL69" s="243">
        <f t="shared" si="555"/>
        <v>-2441.7953709935309</v>
      </c>
      <c r="BM69" s="243">
        <f t="shared" si="555"/>
        <v>221277.62302512446</v>
      </c>
      <c r="BN69" s="243">
        <f t="shared" si="555"/>
        <v>188628.36195976735</v>
      </c>
      <c r="BO69" s="243">
        <f t="shared" si="555"/>
        <v>174267.80917377103</v>
      </c>
      <c r="BP69" s="243">
        <f t="shared" si="555"/>
        <v>173308.90393948989</v>
      </c>
      <c r="BQ69" s="243">
        <f t="shared" si="555"/>
        <v>173699.95762201</v>
      </c>
      <c r="BR69" s="243">
        <f t="shared" si="555"/>
        <v>176737.55368094525</v>
      </c>
      <c r="BS69" s="243">
        <f t="shared" si="555"/>
        <v>214091.95272072963</v>
      </c>
      <c r="BT69" s="243">
        <f t="shared" ref="BT69:CD69" si="556">+(BT56-BT60)*0.9*(BT36)+(BT56-BT60)*0.08*BT38+0.02*(BT56-BT60)*BT37</f>
        <v>68032.084176156102</v>
      </c>
      <c r="BU69" s="243">
        <f t="shared" si="556"/>
        <v>91383.505845242224</v>
      </c>
      <c r="BV69" s="243">
        <f t="shared" si="556"/>
        <v>92213.593923483306</v>
      </c>
      <c r="BW69" s="243">
        <f t="shared" si="556"/>
        <v>32635.103050386031</v>
      </c>
      <c r="BX69" s="243">
        <f t="shared" si="556"/>
        <v>-2336.8642850303595</v>
      </c>
      <c r="BY69" s="243">
        <f t="shared" si="556"/>
        <v>221339.73070770229</v>
      </c>
      <c r="BZ69" s="243">
        <f t="shared" si="556"/>
        <v>188664.12696944739</v>
      </c>
      <c r="CA69" s="243">
        <f t="shared" si="556"/>
        <v>174293.88220989119</v>
      </c>
      <c r="CB69" s="243">
        <f t="shared" si="556"/>
        <v>173308.90393948989</v>
      </c>
      <c r="CC69" s="243">
        <f t="shared" si="556"/>
        <v>173699.95762201</v>
      </c>
      <c r="CD69" s="243">
        <f t="shared" si="556"/>
        <v>176737.55368094525</v>
      </c>
      <c r="CE69" s="243"/>
      <c r="CF69" s="110"/>
      <c r="CG69" s="110"/>
      <c r="CH69" s="110"/>
      <c r="CI69" s="110"/>
    </row>
    <row r="70" spans="1:87">
      <c r="B70" s="106" t="s">
        <v>361</v>
      </c>
      <c r="H70" s="299"/>
      <c r="I70" s="94">
        <f t="shared" ref="I70:BT70" si="557">-I42-I47</f>
        <v>-1153742.7170159768</v>
      </c>
      <c r="J70" s="94">
        <f t="shared" si="557"/>
        <v>-1798582.3195610372</v>
      </c>
      <c r="K70" s="94">
        <f t="shared" si="557"/>
        <v>-1845947.7079980853</v>
      </c>
      <c r="L70" s="94">
        <f t="shared" si="557"/>
        <v>2865063.5694152843</v>
      </c>
      <c r="M70" s="94">
        <f t="shared" si="557"/>
        <v>4745251.3775946638</v>
      </c>
      <c r="N70" s="94">
        <f t="shared" si="557"/>
        <v>5342158.0434368979</v>
      </c>
      <c r="O70" s="94">
        <f t="shared" si="557"/>
        <v>7134467.8984378632</v>
      </c>
      <c r="P70" s="94">
        <f t="shared" si="557"/>
        <v>6242128.6620464753</v>
      </c>
      <c r="Q70" s="94">
        <f t="shared" si="557"/>
        <v>-3747003.5046950094</v>
      </c>
      <c r="R70" s="94">
        <f t="shared" si="557"/>
        <v>-3806957.3814582918</v>
      </c>
      <c r="S70" s="94">
        <f t="shared" si="557"/>
        <v>-4002126.3845387623</v>
      </c>
      <c r="T70" s="94">
        <f t="shared" si="557"/>
        <v>-4216429.603607513</v>
      </c>
      <c r="U70" s="94">
        <f t="shared" si="557"/>
        <v>-4221532.0612043878</v>
      </c>
      <c r="V70" s="94">
        <f t="shared" si="557"/>
        <v>-4301895.7683551693</v>
      </c>
      <c r="W70" s="94">
        <f t="shared" si="557"/>
        <v>-4652689.7281403281</v>
      </c>
      <c r="X70" s="94">
        <f t="shared" si="557"/>
        <v>3170265.5991497794</v>
      </c>
      <c r="Y70" s="94">
        <f t="shared" si="557"/>
        <v>5246133.5636428725</v>
      </c>
      <c r="Z70" s="94">
        <f t="shared" si="557"/>
        <v>5904822.0049255099</v>
      </c>
      <c r="AA70" s="94">
        <f t="shared" si="557"/>
        <v>7894686.7717521396</v>
      </c>
      <c r="AB70" s="94">
        <f t="shared" si="557"/>
        <v>6916465.0386767872</v>
      </c>
      <c r="AC70" s="94">
        <f t="shared" si="557"/>
        <v>-4123309.752464544</v>
      </c>
      <c r="AD70" s="94">
        <f t="shared" si="557"/>
        <v>-4296793.3107582945</v>
      </c>
      <c r="AE70" s="94">
        <f t="shared" si="557"/>
        <v>-4488135.4706411082</v>
      </c>
      <c r="AF70" s="94">
        <f t="shared" si="557"/>
        <v>-4534057.5890129833</v>
      </c>
      <c r="AG70" s="94">
        <f t="shared" si="557"/>
        <v>-4495789.1570364209</v>
      </c>
      <c r="AH70" s="94">
        <f t="shared" si="557"/>
        <v>-4572326.0209895466</v>
      </c>
      <c r="AI70" s="94">
        <f t="shared" si="557"/>
        <v>-4914190.6799801737</v>
      </c>
      <c r="AJ70" s="94">
        <f t="shared" si="557"/>
        <v>3344667.2838150859</v>
      </c>
      <c r="AK70" s="94">
        <f t="shared" si="557"/>
        <v>5519752.5868932735</v>
      </c>
      <c r="AL70" s="94">
        <f t="shared" si="557"/>
        <v>6208811.8236617157</v>
      </c>
      <c r="AM70" s="94">
        <f t="shared" si="557"/>
        <v>8329691.9009339269</v>
      </c>
      <c r="AN70" s="94">
        <f t="shared" si="557"/>
        <v>7327482.9375730269</v>
      </c>
      <c r="AO70" s="94">
        <f t="shared" si="557"/>
        <v>-4096521.8500809497</v>
      </c>
      <c r="AP70" s="94">
        <f t="shared" si="557"/>
        <v>-4258524.8787817322</v>
      </c>
      <c r="AQ70" s="94">
        <f t="shared" si="557"/>
        <v>-4437110.8946723584</v>
      </c>
      <c r="AR70" s="94">
        <f t="shared" si="557"/>
        <v>-4490686.6994395461</v>
      </c>
      <c r="AS70" s="94">
        <f t="shared" si="557"/>
        <v>-4471552.483451264</v>
      </c>
      <c r="AT70" s="94">
        <f t="shared" si="557"/>
        <v>-4554467.4194004834</v>
      </c>
      <c r="AU70" s="94">
        <f t="shared" si="557"/>
        <v>-4858063.6464145482</v>
      </c>
      <c r="AV70" s="94">
        <f t="shared" si="557"/>
        <v>3348111.0627325447</v>
      </c>
      <c r="AW70" s="94">
        <f t="shared" si="557"/>
        <v>5518956.9211496776</v>
      </c>
      <c r="AX70" s="94">
        <f t="shared" si="557"/>
        <v>6206189.0148413628</v>
      </c>
      <c r="AY70" s="94">
        <f t="shared" si="557"/>
        <v>8338573.3615203928</v>
      </c>
      <c r="AZ70" s="94">
        <f t="shared" si="557"/>
        <v>7348232.9556852058</v>
      </c>
      <c r="BA70" s="94">
        <f t="shared" si="557"/>
        <v>-3923038.2917871987</v>
      </c>
      <c r="BB70" s="94">
        <f t="shared" si="557"/>
        <v>-4111829.2228715746</v>
      </c>
      <c r="BC70" s="94">
        <f t="shared" si="557"/>
        <v>-4343991.0435293894</v>
      </c>
      <c r="BD70" s="94">
        <f t="shared" si="557"/>
        <v>-4400118.077095014</v>
      </c>
      <c r="BE70" s="94">
        <f t="shared" si="557"/>
        <v>-4366952.1027153265</v>
      </c>
      <c r="BF70" s="94">
        <f t="shared" si="557"/>
        <v>-4439662.1234707953</v>
      </c>
      <c r="BG70" s="94">
        <f t="shared" si="557"/>
        <v>-4753463.2656786107</v>
      </c>
      <c r="BH70" s="94">
        <f t="shared" si="557"/>
        <v>3307248.8881322816</v>
      </c>
      <c r="BI70" s="94">
        <f t="shared" si="557"/>
        <v>5453009.5207422376</v>
      </c>
      <c r="BJ70" s="94">
        <f t="shared" si="557"/>
        <v>6132405.8889529668</v>
      </c>
      <c r="BK70" s="94">
        <f t="shared" si="557"/>
        <v>8236738.5479346924</v>
      </c>
      <c r="BL70" s="94">
        <f t="shared" si="557"/>
        <v>7255679.378263684</v>
      </c>
      <c r="BM70" s="94">
        <f t="shared" si="557"/>
        <v>-3852879.4998301668</v>
      </c>
      <c r="BN70" s="94">
        <f t="shared" si="557"/>
        <v>-4086316.9348871997</v>
      </c>
      <c r="BO70" s="94">
        <f t="shared" si="557"/>
        <v>-4331234.899537201</v>
      </c>
      <c r="BP70" s="94">
        <f t="shared" si="557"/>
        <v>-4373330.1747114202</v>
      </c>
      <c r="BQ70" s="94">
        <f t="shared" si="557"/>
        <v>-4333786.1283356389</v>
      </c>
      <c r="BR70" s="94">
        <f t="shared" si="557"/>
        <v>-4419252.2930832952</v>
      </c>
      <c r="BS70" s="94">
        <f t="shared" si="557"/>
        <v>-4758565.7232754854</v>
      </c>
      <c r="BT70" s="94">
        <f t="shared" si="557"/>
        <v>3213964.6258760449</v>
      </c>
      <c r="BU70" s="94">
        <f t="shared" ref="BU70:CC70" si="558">-BU42-BU47</f>
        <v>5290870.7116941391</v>
      </c>
      <c r="BV70" s="94">
        <f t="shared" si="558"/>
        <v>5947842.2251985883</v>
      </c>
      <c r="BW70" s="94">
        <f t="shared" si="558"/>
        <v>8004805.2139971023</v>
      </c>
      <c r="BX70" s="94">
        <f t="shared" si="558"/>
        <v>7068006.302123718</v>
      </c>
      <c r="BY70" s="94">
        <f t="shared" si="558"/>
        <v>-3729144.9031059472</v>
      </c>
      <c r="BZ70" s="94">
        <f t="shared" si="558"/>
        <v>-3921762.6773879798</v>
      </c>
      <c r="CA70" s="94">
        <f t="shared" si="558"/>
        <v>-4129687.8244606378</v>
      </c>
      <c r="CB70" s="94">
        <f t="shared" si="558"/>
        <v>-4162853.7988403253</v>
      </c>
      <c r="CC70" s="94">
        <f t="shared" si="558"/>
        <v>-4083765.7060887623</v>
      </c>
      <c r="CD70" s="94">
        <f>-CD42-CD47</f>
        <v>-4142443.9684528252</v>
      </c>
      <c r="CE70" s="366"/>
      <c r="CF70" s="111"/>
      <c r="CG70" s="111"/>
      <c r="CH70" s="111"/>
      <c r="CI70" s="111"/>
    </row>
    <row r="71" spans="1:87"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  <c r="BI71" s="243"/>
      <c r="BJ71" s="243"/>
      <c r="BK71" s="243"/>
      <c r="BL71" s="243"/>
      <c r="BM71" s="243"/>
      <c r="BN71" s="243"/>
      <c r="BO71" s="243"/>
      <c r="BP71" s="243"/>
      <c r="BQ71" s="243"/>
      <c r="BR71" s="243"/>
      <c r="BS71" s="243"/>
      <c r="BT71" s="243"/>
      <c r="BU71" s="243"/>
      <c r="BV71" s="243"/>
      <c r="BW71" s="243"/>
      <c r="BX71" s="243"/>
      <c r="BY71" s="243"/>
      <c r="BZ71" s="243"/>
      <c r="CA71" s="243"/>
      <c r="CB71" s="243"/>
      <c r="CC71" s="243"/>
      <c r="CD71" s="243"/>
      <c r="CE71" s="243"/>
      <c r="CF71" s="110"/>
      <c r="CG71" s="110"/>
      <c r="CH71" s="110"/>
      <c r="CI71" s="110"/>
    </row>
    <row r="72" spans="1:87">
      <c r="B72" s="106" t="s">
        <v>403</v>
      </c>
      <c r="H72" s="300"/>
      <c r="I72" s="243">
        <f t="shared" ref="I72:AM72" si="559">SUM(I65:I70)</f>
        <v>2298588.3371733334</v>
      </c>
      <c r="J72" s="243">
        <f t="shared" si="559"/>
        <v>1846824.5776283857</v>
      </c>
      <c r="K72" s="243">
        <f t="shared" si="559"/>
        <v>4599409.6637794767</v>
      </c>
      <c r="L72" s="243">
        <f t="shared" si="559"/>
        <v>5570643.0403684136</v>
      </c>
      <c r="M72" s="243">
        <f t="shared" si="559"/>
        <v>8947149.4665132295</v>
      </c>
      <c r="N72" s="243">
        <f t="shared" si="559"/>
        <v>10826813.683697503</v>
      </c>
      <c r="O72" s="243">
        <f t="shared" si="559"/>
        <v>12589407.085319299</v>
      </c>
      <c r="P72" s="243">
        <f t="shared" si="559"/>
        <v>8269273.2019100385</v>
      </c>
      <c r="Q72" s="243">
        <f t="shared" si="559"/>
        <v>4784188.6363956593</v>
      </c>
      <c r="R72" s="243">
        <f t="shared" si="559"/>
        <v>2619603.8860209398</v>
      </c>
      <c r="S72" s="243">
        <f t="shared" si="559"/>
        <v>1701006.6075026542</v>
      </c>
      <c r="T72" s="243">
        <f t="shared" si="559"/>
        <v>1703550.5763713969</v>
      </c>
      <c r="U72" s="243">
        <f t="shared" si="559"/>
        <v>1732798.7078616116</v>
      </c>
      <c r="V72" s="243">
        <f t="shared" si="559"/>
        <v>1980559.8114666054</v>
      </c>
      <c r="W72" s="243">
        <f t="shared" si="559"/>
        <v>5058931.7804730516</v>
      </c>
      <c r="X72" s="243">
        <f t="shared" si="559"/>
        <v>10020015.322829442</v>
      </c>
      <c r="Y72" s="243">
        <f t="shared" si="559"/>
        <v>15146874.610233018</v>
      </c>
      <c r="Z72" s="243">
        <f t="shared" si="559"/>
        <v>15736679.758372625</v>
      </c>
      <c r="AA72" s="243">
        <f t="shared" si="559"/>
        <v>12926989.193582959</v>
      </c>
      <c r="AB72" s="243">
        <f t="shared" si="559"/>
        <v>8943332.2285939157</v>
      </c>
      <c r="AC72" s="243">
        <f t="shared" si="559"/>
        <v>5134499.0332682282</v>
      </c>
      <c r="AD72" s="243">
        <f t="shared" si="559"/>
        <v>2862589.8843949968</v>
      </c>
      <c r="AE72" s="243">
        <f t="shared" si="559"/>
        <v>1849695.9155794289</v>
      </c>
      <c r="AF72" s="243">
        <f t="shared" si="559"/>
        <v>1797301.9384373501</v>
      </c>
      <c r="AG72" s="243">
        <f t="shared" si="559"/>
        <v>1815378.5637427522</v>
      </c>
      <c r="AH72" s="243">
        <f t="shared" si="559"/>
        <v>2073015.4848194895</v>
      </c>
      <c r="AI72" s="243">
        <f t="shared" si="559"/>
        <v>5279157.8338227607</v>
      </c>
      <c r="AJ72" s="243">
        <f t="shared" si="559"/>
        <v>10430401.505628172</v>
      </c>
      <c r="AK72" s="243">
        <f t="shared" si="559"/>
        <v>15727775.702277694</v>
      </c>
      <c r="AL72" s="243">
        <f t="shared" si="559"/>
        <v>16342618.649225954</v>
      </c>
      <c r="AM72" s="243">
        <f t="shared" si="559"/>
        <v>13430920.389652513</v>
      </c>
      <c r="AN72" s="243">
        <f t="shared" ref="AN72:BS72" si="560">SUM(AN65:AN70)</f>
        <v>9360136.0093071014</v>
      </c>
      <c r="AO72" s="243">
        <f t="shared" si="560"/>
        <v>5113176.356615508</v>
      </c>
      <c r="AP72" s="243">
        <f t="shared" si="560"/>
        <v>2845834.1414349452</v>
      </c>
      <c r="AQ72" s="243">
        <f t="shared" si="560"/>
        <v>1835893.0204500351</v>
      </c>
      <c r="AR72" s="243">
        <f t="shared" si="560"/>
        <v>1786392.2940586042</v>
      </c>
      <c r="AS72" s="243">
        <f t="shared" si="560"/>
        <v>1809884.2568129525</v>
      </c>
      <c r="AT72" s="243">
        <f t="shared" si="560"/>
        <v>2068877.7057074532</v>
      </c>
      <c r="AU72" s="243">
        <f t="shared" si="560"/>
        <v>5236613.4256508574</v>
      </c>
      <c r="AV72" s="243">
        <f t="shared" si="560"/>
        <v>10385638.568438437</v>
      </c>
      <c r="AW72" s="243">
        <f t="shared" si="560"/>
        <v>15712645.231581058</v>
      </c>
      <c r="AX72" s="243">
        <f t="shared" si="560"/>
        <v>16305050.373864254</v>
      </c>
      <c r="AY72" s="243">
        <f t="shared" si="560"/>
        <v>13384690.147917235</v>
      </c>
      <c r="AZ72" s="243">
        <f t="shared" si="560"/>
        <v>9393595.6996117476</v>
      </c>
      <c r="BA72" s="243">
        <f t="shared" si="560"/>
        <v>4956213.6576548954</v>
      </c>
      <c r="BB72" s="243">
        <f t="shared" si="560"/>
        <v>2775562.9166203924</v>
      </c>
      <c r="BC72" s="243">
        <f t="shared" si="560"/>
        <v>1809276.7090280103</v>
      </c>
      <c r="BD72" s="243">
        <f t="shared" si="560"/>
        <v>1761723.7901617568</v>
      </c>
      <c r="BE72" s="243">
        <f t="shared" si="560"/>
        <v>1780582.0131811937</v>
      </c>
      <c r="BF72" s="243">
        <f t="shared" si="560"/>
        <v>2032137.5006817887</v>
      </c>
      <c r="BG72" s="243">
        <f t="shared" si="560"/>
        <v>5153772.4606636465</v>
      </c>
      <c r="BH72" s="243">
        <f t="shared" si="560"/>
        <v>10279189.706983417</v>
      </c>
      <c r="BI72" s="243">
        <f t="shared" si="560"/>
        <v>15535312.557588112</v>
      </c>
      <c r="BJ72" s="243">
        <f t="shared" si="560"/>
        <v>16123172.043753924</v>
      </c>
      <c r="BK72" s="243">
        <f t="shared" si="560"/>
        <v>13257354.658992132</v>
      </c>
      <c r="BL72" s="243">
        <f t="shared" si="560"/>
        <v>9307187.5471766796</v>
      </c>
      <c r="BM72" s="243">
        <f t="shared" si="560"/>
        <v>4894554.1240476621</v>
      </c>
      <c r="BN72" s="243">
        <f t="shared" si="560"/>
        <v>2764976.3157235095</v>
      </c>
      <c r="BO72" s="243">
        <f t="shared" si="560"/>
        <v>1807016.9232769161</v>
      </c>
      <c r="BP72" s="243">
        <f t="shared" si="560"/>
        <v>1755567.6231778227</v>
      </c>
      <c r="BQ72" s="243">
        <f t="shared" si="560"/>
        <v>1772380.460071886</v>
      </c>
      <c r="BR72" s="243">
        <f t="shared" si="560"/>
        <v>2027074.0650009103</v>
      </c>
      <c r="BS72" s="243">
        <f t="shared" si="560"/>
        <v>5161844.2305584969</v>
      </c>
      <c r="BT72" s="243">
        <f t="shared" ref="BT72:CC72" si="561">SUM(BT65:BT70)</f>
        <v>10183228.499941804</v>
      </c>
      <c r="BU72" s="243">
        <f t="shared" si="561"/>
        <v>15349242.958773557</v>
      </c>
      <c r="BV72" s="243">
        <f t="shared" si="561"/>
        <v>15886091.472713586</v>
      </c>
      <c r="BW72" s="243">
        <f t="shared" si="561"/>
        <v>13000171.119601257</v>
      </c>
      <c r="BX72" s="243">
        <f t="shared" si="561"/>
        <v>14231197.703185968</v>
      </c>
      <c r="BY72" s="243">
        <f t="shared" si="561"/>
        <v>7643755.0141735869</v>
      </c>
      <c r="BZ72" s="243">
        <f t="shared" si="561"/>
        <v>4197565.9529878562</v>
      </c>
      <c r="CA72" s="243">
        <f t="shared" si="561"/>
        <v>2664399.6496538343</v>
      </c>
      <c r="CB72" s="243">
        <f t="shared" si="561"/>
        <v>2589858.026179743</v>
      </c>
      <c r="CC72" s="243">
        <f t="shared" si="561"/>
        <v>2607541.6694422909</v>
      </c>
      <c r="CD72" s="243">
        <f>SUM(CD65:CD70)</f>
        <v>2963278.7614404215</v>
      </c>
      <c r="CE72" s="243"/>
      <c r="CF72" s="110"/>
      <c r="CG72" s="110"/>
      <c r="CH72" s="110"/>
      <c r="CI72" s="110"/>
    </row>
    <row r="73" spans="1:87"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</row>
    <row r="74" spans="1:87">
      <c r="A74" s="106" t="s">
        <v>404</v>
      </c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</row>
    <row r="75" spans="1:87"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/>
      <c r="CF75"/>
      <c r="CG75"/>
      <c r="CH75"/>
      <c r="CI75"/>
    </row>
    <row r="76" spans="1:87">
      <c r="B76" s="106" t="s">
        <v>405</v>
      </c>
      <c r="H76" s="107"/>
      <c r="I76" s="244"/>
      <c r="J76"/>
      <c r="L76" s="244">
        <v>21978861</v>
      </c>
      <c r="O76"/>
      <c r="P76" s="244">
        <v>21978861</v>
      </c>
      <c r="Q76" s="107"/>
      <c r="R76" s="244"/>
      <c r="S76" s="107"/>
      <c r="T76" s="94"/>
      <c r="U76" s="107"/>
      <c r="V76" s="107"/>
      <c r="W76" s="244"/>
      <c r="X76"/>
      <c r="Y76" s="107"/>
      <c r="Z76" s="107"/>
      <c r="AA76" s="107"/>
      <c r="AB76" s="244">
        <v>21978861</v>
      </c>
      <c r="AC76" s="107"/>
      <c r="AD76" s="244"/>
      <c r="AE76" s="107"/>
      <c r="AF76" s="94"/>
      <c r="AG76" s="107"/>
      <c r="AH76" s="107"/>
      <c r="AI76" s="244"/>
      <c r="AJ76"/>
      <c r="AK76" s="107"/>
      <c r="AL76" s="107"/>
      <c r="AM76" s="107"/>
      <c r="AN76" s="244">
        <v>21978861</v>
      </c>
      <c r="AO76" s="107"/>
      <c r="AP76" s="244"/>
      <c r="AQ76" s="107"/>
      <c r="AR76" s="94"/>
      <c r="AS76" s="107"/>
      <c r="AT76" s="107"/>
      <c r="AU76" s="244"/>
      <c r="AV76"/>
      <c r="AW76" s="107"/>
      <c r="AX76" s="107"/>
      <c r="AY76" s="107"/>
      <c r="AZ76" s="244">
        <v>21978861</v>
      </c>
      <c r="BA76" s="107"/>
      <c r="BB76" s="244"/>
      <c r="BC76" s="107"/>
      <c r="BD76" s="94"/>
      <c r="BE76" s="107"/>
      <c r="BF76" s="107"/>
      <c r="BG76" s="244"/>
      <c r="BH76"/>
      <c r="BI76" s="107"/>
      <c r="BJ76" s="107"/>
      <c r="BK76" s="107"/>
      <c r="BL76" s="244">
        <v>21978861</v>
      </c>
      <c r="BM76" s="107"/>
      <c r="BN76" s="244"/>
      <c r="BO76" s="107"/>
      <c r="BP76" s="94"/>
      <c r="BQ76" s="107"/>
      <c r="BR76" s="107"/>
      <c r="BS76" s="244"/>
      <c r="BT76"/>
      <c r="BU76" s="107"/>
      <c r="BV76" s="107"/>
      <c r="BW76" s="107"/>
      <c r="BX76" s="244">
        <v>21978861</v>
      </c>
      <c r="BY76" s="107"/>
      <c r="BZ76" s="244"/>
      <c r="CA76" s="107"/>
      <c r="CB76" s="94"/>
      <c r="CC76" s="107"/>
      <c r="CD76" s="107"/>
      <c r="CE76" s="244"/>
      <c r="CF76"/>
      <c r="CG76" s="107"/>
      <c r="CH76" s="107"/>
      <c r="CI76" s="107"/>
    </row>
    <row r="77" spans="1:87">
      <c r="B77" s="106" t="s">
        <v>406</v>
      </c>
      <c r="H77" s="106">
        <v>0.1452</v>
      </c>
      <c r="I77"/>
      <c r="J77"/>
      <c r="L77" s="562">
        <f>$H$77*L76/SUM(L7:W7)</f>
        <v>0.18465040445953734</v>
      </c>
      <c r="O77"/>
      <c r="P77" s="562">
        <f>$H$77*P76/SUM(P7:AA7)</f>
        <v>0.18455135383052118</v>
      </c>
      <c r="R77" s="112"/>
      <c r="S77" s="107"/>
      <c r="W77" s="112"/>
      <c r="X77"/>
      <c r="Y77" s="107"/>
      <c r="Z77" s="107"/>
      <c r="AA77" s="107"/>
      <c r="AB77" s="562">
        <f>$H$77*AB76/SUM(AB7:AM7)</f>
        <v>0.18438887039222304</v>
      </c>
      <c r="AD77" s="112"/>
      <c r="AE77" s="107"/>
      <c r="AI77" s="112"/>
      <c r="AJ77"/>
      <c r="AK77" s="107"/>
      <c r="AL77" s="107"/>
      <c r="AM77" s="107"/>
      <c r="AN77" s="562">
        <f>$H$77*AN76/SUM(AN7:AY7)</f>
        <v>0.18422667077087729</v>
      </c>
      <c r="AP77" s="112"/>
      <c r="AQ77" s="107"/>
      <c r="AU77" s="112"/>
      <c r="AV77"/>
      <c r="AW77" s="107"/>
      <c r="AX77" s="107"/>
      <c r="AY77" s="107"/>
      <c r="AZ77" s="562">
        <f>$H$77*AZ76/SUM(AZ7:BK7)</f>
        <v>0.18406479719869398</v>
      </c>
      <c r="BB77" s="112"/>
      <c r="BC77" s="107"/>
      <c r="BG77" s="112"/>
      <c r="BH77"/>
      <c r="BI77" s="107"/>
      <c r="BJ77" s="107"/>
      <c r="BK77" s="107"/>
      <c r="BL77" s="562">
        <f>$H$77*BL76/SUM(BL7:BW7)</f>
        <v>0.18390318334348951</v>
      </c>
      <c r="BN77" s="112"/>
      <c r="BO77" s="107"/>
      <c r="BS77" s="112"/>
      <c r="BT77"/>
      <c r="BU77" s="107"/>
      <c r="BV77" s="107"/>
      <c r="BW77" s="107"/>
      <c r="BX77" s="562">
        <f>$H$77*BX76/SUM(BX7:CI7)</f>
        <v>0.60907005764833877</v>
      </c>
      <c r="BZ77" s="112"/>
      <c r="CA77" s="107"/>
      <c r="CE77" s="112"/>
      <c r="CF77"/>
      <c r="CG77" s="107"/>
      <c r="CH77" s="107"/>
      <c r="CI77" s="107"/>
    </row>
    <row r="78" spans="1:87">
      <c r="B78" s="106" t="s">
        <v>407</v>
      </c>
      <c r="H78" s="106">
        <f>1-H77</f>
        <v>0.8548</v>
      </c>
      <c r="I78" s="112"/>
      <c r="J78"/>
      <c r="L78" s="562">
        <f>$H$78*L76/(SUM(L5:W5))</f>
        <v>1.1005920906944042</v>
      </c>
      <c r="O78"/>
      <c r="P78" s="562">
        <f>$H$78*P76/(SUM(P5:AA5))</f>
        <v>1.0999943556947236</v>
      </c>
      <c r="R78" s="112"/>
      <c r="S78" s="107"/>
      <c r="T78" s="245"/>
      <c r="U78" s="245"/>
      <c r="W78" s="112"/>
      <c r="X78"/>
      <c r="AB78" s="562">
        <f>$H$78*AB76/(SUM(AB5:AM5))</f>
        <v>1.0990138437604828</v>
      </c>
      <c r="AD78" s="112"/>
      <c r="AE78" s="107"/>
      <c r="AF78" s="245"/>
      <c r="AG78" s="245"/>
      <c r="AI78" s="112"/>
      <c r="AJ78"/>
      <c r="AN78" s="562">
        <f>$H$78*AN76/(SUM(AN5:AY5))</f>
        <v>1.0980350659750224</v>
      </c>
      <c r="AP78" s="112"/>
      <c r="AQ78" s="107"/>
      <c r="AR78" s="245"/>
      <c r="AS78" s="245"/>
      <c r="AU78" s="112"/>
      <c r="AV78"/>
      <c r="AZ78" s="562">
        <f>$H$78*AZ76/(SUM(AZ5:BK5))</f>
        <v>1.0970582770629553</v>
      </c>
      <c r="BB78" s="112"/>
      <c r="BC78" s="107"/>
      <c r="BD78" s="245"/>
      <c r="BE78" s="245"/>
      <c r="BG78" s="112"/>
      <c r="BH78"/>
      <c r="BL78" s="562">
        <f>$H$78*BL76/(SUM(BL5:BW5))</f>
        <v>1.0960830766413994</v>
      </c>
      <c r="BN78" s="112"/>
      <c r="BO78" s="107"/>
      <c r="BP78" s="245"/>
      <c r="BQ78" s="245"/>
      <c r="BS78" s="112"/>
      <c r="BT78"/>
      <c r="BX78" s="562">
        <f>$H$78*BX76/(SUM(BX5:CI5))</f>
        <v>3.6674661376079447</v>
      </c>
      <c r="BZ78" s="112"/>
      <c r="CA78" s="107"/>
      <c r="CB78" s="245"/>
      <c r="CC78" s="245"/>
      <c r="CE78" s="112"/>
      <c r="CF78"/>
    </row>
    <row r="79" spans="1:87">
      <c r="P79" s="107"/>
      <c r="Q79" s="107"/>
      <c r="R79" s="107"/>
      <c r="S79" s="107"/>
      <c r="T79" s="107"/>
      <c r="U79" s="107"/>
      <c r="AB79" s="107"/>
      <c r="AC79" s="107"/>
      <c r="AD79" s="107"/>
      <c r="AE79" s="107"/>
      <c r="AF79" s="107"/>
      <c r="AG79" s="107"/>
      <c r="AN79" s="107"/>
      <c r="AO79" s="107"/>
      <c r="AP79" s="107"/>
      <c r="AQ79" s="107"/>
      <c r="AR79" s="107"/>
      <c r="AS79" s="107"/>
      <c r="AZ79" s="107"/>
      <c r="BA79" s="107"/>
      <c r="BB79" s="107"/>
      <c r="BC79" s="107"/>
      <c r="BD79" s="107"/>
      <c r="BE79" s="107"/>
      <c r="BL79" s="107"/>
      <c r="BM79" s="107"/>
      <c r="BN79" s="107"/>
      <c r="BO79" s="107"/>
      <c r="BP79" s="107"/>
      <c r="BQ79" s="107"/>
      <c r="BX79" s="107"/>
      <c r="BY79" s="107"/>
      <c r="BZ79" s="107"/>
      <c r="CA79" s="107"/>
      <c r="CB79" s="107"/>
      <c r="CC79" s="107"/>
    </row>
    <row r="80" spans="1:87">
      <c r="B80" s="106" t="s">
        <v>408</v>
      </c>
      <c r="H80" s="94">
        <f>+(H5)*H93+(H6)*H99</f>
        <v>468982.49266687967</v>
      </c>
      <c r="I80" s="94">
        <f>+(I5)*I93+(I6)*I99</f>
        <v>475313.4174024089</v>
      </c>
      <c r="J80" s="94">
        <f>+(J5)*J93+(J6)*J99</f>
        <v>538138.60513518529</v>
      </c>
      <c r="K80" s="94">
        <f>+(K5)*K93+(K6)*K99</f>
        <v>1352209.3390833931</v>
      </c>
      <c r="L80" s="94">
        <f t="shared" ref="L80:O80" si="562">+(L5)*L93+(L6)*L99</f>
        <v>2964.5460128273203</v>
      </c>
      <c r="M80" s="94">
        <f t="shared" si="562"/>
        <v>4317.7234864167222</v>
      </c>
      <c r="N80" s="94">
        <f t="shared" si="562"/>
        <v>4329.9505930390624</v>
      </c>
      <c r="O80" s="94">
        <f t="shared" si="562"/>
        <v>3617157.9283660958</v>
      </c>
      <c r="P80" s="94">
        <f>+(P5)*P78+(P6)*P77</f>
        <v>2172660.3521288792</v>
      </c>
      <c r="Q80" s="94">
        <f>+(Q5)*P78+(Q6)*P77</f>
        <v>1217794.9878679181</v>
      </c>
      <c r="R80" s="94">
        <f>+(R5)*P78+(R6)*P77</f>
        <v>643400.84223249147</v>
      </c>
      <c r="S80" s="94">
        <f>+(S5)*P78+(S6)*P77</f>
        <v>389899.67954057513</v>
      </c>
      <c r="T80" s="94">
        <f>+(T5)*P78+(T6)*P77</f>
        <v>381288.08598024602</v>
      </c>
      <c r="U80" s="94">
        <f>+(U5)*P78+(U6)*P77</f>
        <v>387142.75182709639</v>
      </c>
      <c r="V80" s="94">
        <f>+(V5)*P78+(V6)*P77</f>
        <v>438338.91578915942</v>
      </c>
      <c r="W80" s="94">
        <f>+(W5)*P78+(W6)*P77</f>
        <v>1100645.9748740983</v>
      </c>
      <c r="X80" s="94">
        <f>+(X5)*P78+(X6)*P77</f>
        <v>2210568.8120977296</v>
      </c>
      <c r="Y80" s="94">
        <f>+(Y5)*P78+(Y6)*P77</f>
        <v>3279863.1303460211</v>
      </c>
      <c r="Z80" s="94">
        <f>+(Z5)*P78+(Z6)*P77</f>
        <v>3504561.7997202277</v>
      </c>
      <c r="AA80" s="94">
        <f>+(AA5)*P78+(AA6)*P77</f>
        <v>3100621.1598241352</v>
      </c>
      <c r="AB80" s="94">
        <f>+(AB5)*AB78+(AB6)*AB77</f>
        <v>2172585.3959815418</v>
      </c>
      <c r="AC80" s="94">
        <f>+(AC5)*AB78+(AC6)*AB77</f>
        <v>1217810.6245431243</v>
      </c>
      <c r="AD80" s="94">
        <f>+(AD5)*AB78+(AD6)*AB77</f>
        <v>643461.05180918332</v>
      </c>
      <c r="AE80" s="94">
        <f>+(AE5)*AB78+(AE6)*AB77</f>
        <v>390014.63904191769</v>
      </c>
      <c r="AF80" s="94">
        <f>+(AF5)*AB78+(AF6)*AB77</f>
        <v>381410.77674457262</v>
      </c>
      <c r="AG80" s="94">
        <f>+(AG5)*AB78+(AG6)*AB77</f>
        <v>387260.22891278611</v>
      </c>
      <c r="AH80" s="94">
        <f>+(AH5)*AB78+(AH6)*AB77</f>
        <v>438457.17698299576</v>
      </c>
      <c r="AI80" s="94">
        <f>+(AI5)*AB78+(AI6)*AB77</f>
        <v>1100722.1602408525</v>
      </c>
      <c r="AJ80" s="94">
        <f>+(AJ5)*AB78+(AJ6)*AB77</f>
        <v>2210543.9211549764</v>
      </c>
      <c r="AK80" s="94">
        <f>+(AK5)*AB78+(AK6)*AB77</f>
        <v>3279718.6073831189</v>
      </c>
      <c r="AL80" s="94">
        <f>+(AL5)*AB78+(AL6)*AB77</f>
        <v>3504333.6796799446</v>
      </c>
      <c r="AM80" s="94">
        <f>+(AM5)*AB78+(AM6)*AB77</f>
        <v>3100433.6677332823</v>
      </c>
      <c r="AN80" s="94">
        <f>+(AN5)*AN78+(AN6)*AN77</f>
        <v>2172510.9236551076</v>
      </c>
      <c r="AO80" s="94">
        <f>+(AO5)*AN78+(AO6)*AN77</f>
        <v>1217826.4225475946</v>
      </c>
      <c r="AP80" s="94">
        <f>+(AP5)*AN78+(AP6)*AN77</f>
        <v>643521.2424933943</v>
      </c>
      <c r="AQ80" s="94">
        <f>+(AQ5)*AN78+(AQ6)*AN77</f>
        <v>390129.44528992614</v>
      </c>
      <c r="AR80" s="94">
        <f>+(AR5)*AN78+(AR6)*AN77</f>
        <v>381533.13439391198</v>
      </c>
      <c r="AS80" s="94">
        <f>+(AS5)*AN78+(AS6)*AN77</f>
        <v>387377.38241627021</v>
      </c>
      <c r="AT80" s="94">
        <f>+(AT5)*AN78+(AT6)*AN77</f>
        <v>438575.11540625943</v>
      </c>
      <c r="AU80" s="94">
        <f>+(AU5)*AN78+(AU6)*AN77</f>
        <v>1100798.1134610577</v>
      </c>
      <c r="AV80" s="94">
        <f>+(AV5)*AN78+(AV6)*AN77</f>
        <v>2210519.0008520237</v>
      </c>
      <c r="AW80" s="94">
        <f>+(AW5)*AN78+(AW6)*AN77</f>
        <v>3279574.2888049074</v>
      </c>
      <c r="AX80" s="94">
        <f>+(AX5)*AN78+(AX6)*AN77</f>
        <v>3504105.9120971505</v>
      </c>
      <c r="AY80" s="94">
        <f>+(AY5)*AN78+(AY6)*AN77</f>
        <v>3100246.4471414112</v>
      </c>
      <c r="AZ80" s="94">
        <f>+(AZ5)*AZ78+(AZ6)*AZ77</f>
        <v>2172437.0153890289</v>
      </c>
      <c r="BA80" s="94">
        <f>+(BA5)*AZ78+(BA6)*AZ77</f>
        <v>1217842.3769766986</v>
      </c>
      <c r="BB80" s="94">
        <f>+(BB5)*AZ78+(BB6)*AZ77</f>
        <v>643581.36372692219</v>
      </c>
      <c r="BC80" s="94">
        <f>+(BC5)*AZ78+(BC6)*AZ77</f>
        <v>390244.02274274849</v>
      </c>
      <c r="BD80" s="94">
        <f>+(BD5)*AZ78+(BD6)*AZ77</f>
        <v>381655.24737335247</v>
      </c>
      <c r="BE80" s="94">
        <f>+(BE5)*AZ78+(BE6)*AZ77</f>
        <v>387494.3021422702</v>
      </c>
      <c r="BF80" s="94">
        <f>+(BF5)*AZ78+(BF6)*AZ77</f>
        <v>438692.81664912752</v>
      </c>
      <c r="BG80" s="94">
        <f>+(BG5)*AZ78+(BG6)*AZ77</f>
        <v>1100873.8811677736</v>
      </c>
      <c r="BH80" s="94">
        <f>+(BH5)*AZ78+(BH6)*AZ77</f>
        <v>2210494.0313785304</v>
      </c>
      <c r="BI80" s="94">
        <f>+(BI5)*AZ78+(BI6)*AZ77</f>
        <v>3279430.0911514414</v>
      </c>
      <c r="BJ80" s="94">
        <f>+(BJ5)*AZ78+(BJ6)*AZ77</f>
        <v>3503878.4107108591</v>
      </c>
      <c r="BK80" s="94">
        <f>+(BK5)*AZ78+(BK6)*AZ77</f>
        <v>3100059.4368552282</v>
      </c>
      <c r="BL80" s="94">
        <f>+(BL5)*BL78+(BL6)*BL77</f>
        <v>2172362.3619147344</v>
      </c>
      <c r="BM80" s="94">
        <f>+(BM5)*BL78+(BM6)*BL77</f>
        <v>1217857.8071128426</v>
      </c>
      <c r="BN80" s="94">
        <f>+(BN5)*BL78+(BN6)*BL77</f>
        <v>643641.11823460867</v>
      </c>
      <c r="BO80" s="94">
        <f>+(BO5)*BL78+(BO6)*BL77</f>
        <v>390358.22895058547</v>
      </c>
      <c r="BP80" s="94">
        <f>+(BP5)*BL78+(BP6)*BL77</f>
        <v>381777.36970342108</v>
      </c>
      <c r="BQ80" s="94">
        <f>+(BQ5)*BL78+(BQ6)*BL77</f>
        <v>387611.2388126789</v>
      </c>
      <c r="BR80" s="94">
        <f>+(BR5)*BL78+(BR6)*BL77</f>
        <v>438810.53204702807</v>
      </c>
      <c r="BS80" s="94">
        <f>+(BS5)*BL78+(BS6)*BL77</f>
        <v>1100949.7394982839</v>
      </c>
      <c r="BT80" s="94">
        <f>+(BT5)*BL78+(BT6)*BL77</f>
        <v>2210469.3335280814</v>
      </c>
      <c r="BU80" s="94">
        <f>+(BU5)*BL78+(BU6)*BL77</f>
        <v>3279286.3747031116</v>
      </c>
      <c r="BV80" s="94">
        <f>+(BV5)*BL78+(BV6)*BL77</f>
        <v>3503651.5339090941</v>
      </c>
      <c r="BW80" s="94">
        <f>+(BW5)*BL78+(BW6)*BL77</f>
        <v>3099872.9807991502</v>
      </c>
      <c r="BX80" s="94">
        <f>+(BX5)*BX78+(BX6)*BX77</f>
        <v>7274726.3373918682</v>
      </c>
      <c r="BY80" s="94">
        <f>+(BY5)*BX78+(BY6)*BX77</f>
        <v>4078453.2053428357</v>
      </c>
      <c r="BZ80" s="94">
        <f>+(BZ5)*BX78+(BZ6)*BX77</f>
        <v>2155602.7267487603</v>
      </c>
      <c r="CA80" s="94">
        <f>+(CA5)*BX78+(CA6)*BX77</f>
        <v>1307558.7997115518</v>
      </c>
      <c r="CB80" s="94">
        <f>+(CB5)*BX78+(CB6)*BX77</f>
        <v>1277361.3989981334</v>
      </c>
      <c r="CC80" s="94">
        <f>+(CC5)*BX78+(CC6)*BX77</f>
        <v>1296873.9202099985</v>
      </c>
      <c r="CD80" s="94">
        <f>+(CD5)*BX78+(CD6)*BX77</f>
        <v>1468167.9468563835</v>
      </c>
      <c r="CE80" s="94">
        <f>+(CE5)*BX78+(CE6)*BX77</f>
        <v>0</v>
      </c>
      <c r="CF80" s="94">
        <f>+(CF5)*BX78+(CF6)*BX77</f>
        <v>0</v>
      </c>
      <c r="CG80" s="94">
        <f>+(CG5)*BX78+(CG6)*BX77</f>
        <v>0</v>
      </c>
      <c r="CH80" s="94">
        <f>+(CH5)*BX78+(CH6)*BX77</f>
        <v>0</v>
      </c>
      <c r="CI80" s="94">
        <f>+(CI5)*BX78+(CI6)*BX77</f>
        <v>0</v>
      </c>
    </row>
    <row r="83" spans="1:83">
      <c r="A83" s="106" t="s">
        <v>409</v>
      </c>
      <c r="N83" s="107"/>
      <c r="Q83" s="108"/>
      <c r="R83" s="108"/>
      <c r="S83" s="108"/>
      <c r="T83" s="108"/>
      <c r="Y83" s="107"/>
      <c r="Z83" s="107"/>
      <c r="AA83" s="107"/>
      <c r="CE83"/>
    </row>
    <row r="84" spans="1:83">
      <c r="E84"/>
      <c r="H84"/>
      <c r="I84"/>
      <c r="J84"/>
      <c r="K84"/>
      <c r="L84" s="113">
        <f>+(L85*(L5+L6)+M85*(M5+M6)+N85*(N5+N6))/SUM(L5:N6)</f>
        <v>3.0808557934427783</v>
      </c>
      <c r="M84" s="107"/>
      <c r="N84" s="113"/>
      <c r="O84" s="113">
        <f>+(O85*(O5+O6)+P85*(P5+P6)+Q85*(Q5+Q6))/SUM(O5:Q6)</f>
        <v>3.1287459514485132</v>
      </c>
      <c r="P84" s="107"/>
      <c r="Q84" s="113"/>
      <c r="R84" s="113">
        <f>+(R85*(R5+R6)+S85*(S5+S6)+T85*(T5+T6))/SUM(R5:T6)</f>
        <v>3.4806225145587706</v>
      </c>
      <c r="S84" s="107"/>
      <c r="T84" s="113"/>
      <c r="U84" s="113">
        <f>+(U85*(U5+U6)+V85*(V5+V6)+W85*(W5+W6))/SUM(U5:W6)</f>
        <v>3.8464021719032098</v>
      </c>
      <c r="V84" s="107"/>
      <c r="W84" s="113"/>
      <c r="X84" s="113">
        <f>+(X85*(X5+X6)+Y85*(Y5+Y6)+Z85*(Z5+Z6))/SUM(X5:Z6)</f>
        <v>3.8772721632928526</v>
      </c>
      <c r="Y84" s="107"/>
      <c r="Z84" s="113"/>
      <c r="AA84" s="113">
        <f>+(AA85*(AA5+AA6)+AB85*(AB5+AB6)+AC85*(AC5+AC6))/SUM(AA5:AC6)</f>
        <v>3.4412310059405384</v>
      </c>
      <c r="AB84" s="107"/>
      <c r="AC84" s="113"/>
      <c r="AD84" s="113">
        <f>+(AD85*(AD5+AD6)+AE85*(AE5+AE6)+AF85*(AF5+AF6))/SUM(AD5:AF6)</f>
        <v>3.8428210242423866</v>
      </c>
      <c r="AE84" s="107"/>
      <c r="AF84" s="113"/>
      <c r="AG84" s="113">
        <f>+(AG85*(AG5+AG6)+AH85*(AH5+AH6)+AI85*(AI5+AI6))/SUM(AG5:AI6)</f>
        <v>4.064083036028288</v>
      </c>
      <c r="AH84" s="107"/>
      <c r="AI84" s="113"/>
      <c r="AJ84" s="113">
        <f>+(AJ85*(AJ5+AJ6)+AK85*(AK5+AK6)+AL85*(AL5+AL6))/SUM(AJ5:AL6)</f>
        <v>4.0679750736776699</v>
      </c>
      <c r="AK84" s="107"/>
      <c r="AL84" s="113"/>
      <c r="AM84" s="113">
        <f>+(AM85*(AM5+AM6)+AN85*(AN5+AN6)+AO85*(AO5+AO6))/SUM(AM5:AO6)</f>
        <v>3.5891156682432714</v>
      </c>
      <c r="AN84" s="107"/>
      <c r="AO84" s="113"/>
      <c r="AP84" s="113">
        <f>+(AP85*(AP5+AP6)+AQ85*(AQ5+AQ6)+AR85*(AR5+AR6))/SUM(AP5:AR6)</f>
        <v>3.8072451317738074</v>
      </c>
      <c r="AQ84" s="107"/>
      <c r="AR84" s="113"/>
      <c r="AS84" s="113">
        <f>+(AS85*(AS5+AS6)+AT85*(AT5+AT6)+AU85*(AU5+AU6))/SUM(AS5:AU6)</f>
        <v>4.0304491685067152</v>
      </c>
      <c r="AT84" s="107"/>
      <c r="AU84" s="113"/>
      <c r="AV84" s="113">
        <f>+(AV85*(AV5+AV6)+AW85*(AW5+AW6)+AX85*(AX5+AX6))/SUM(AV5:AX6)</f>
        <v>4.052778796803568</v>
      </c>
      <c r="AW84" s="107"/>
      <c r="AX84" s="113"/>
      <c r="AY84" s="113">
        <f>+(AY85*(AY5+AY6)+AZ85*(AZ5+AZ6)+BA85*(BA5+BA6))/SUM(AY5:BA6)</f>
        <v>3.5577021062375453</v>
      </c>
      <c r="AZ84" s="107"/>
      <c r="BA84" s="113"/>
      <c r="BB84" s="113">
        <f>+(BB85*(BB5+BB6)+BC85*(BC5+BC6)+BD85*(BD5+BD6))/SUM(BB5:BD6)</f>
        <v>3.7114669909893792</v>
      </c>
      <c r="BC84" s="107"/>
      <c r="BD84" s="113"/>
      <c r="BE84" s="113">
        <f>+(BE85*(BE5+BE6)+BF85*(BF5+BF6)+BG85*(BG5+BG6))/SUM(BE5:BG6)</f>
        <v>3.9427216319075291</v>
      </c>
      <c r="BF84" s="107"/>
      <c r="BG84" s="113"/>
      <c r="BH84" s="113">
        <f>+(BH85*(BH5+BH6)+BI85*(BI5+BI6)+BJ85*(BJ5+BJ6))/SUM(BH5:BJ6)</f>
        <v>3.9929814107171704</v>
      </c>
      <c r="BI84" s="107"/>
      <c r="BJ84" s="113"/>
      <c r="BK84" s="113">
        <f>+(BK85*(BK5+BK6)+BL85*(BL5+BL6)+BM85*(BM5+BM6))/SUM(BK5:BM6)</f>
        <v>3.5086611520571771</v>
      </c>
      <c r="BL84" s="107"/>
      <c r="BM84" s="113"/>
      <c r="BN84" s="113">
        <f>+(BN85*(BN5+BN6)+BO85*(BO5+BO6)+BP85*(BP5+BP6))/SUM(BN5:BP6)</f>
        <v>3.6930000583411045</v>
      </c>
      <c r="BO84" s="107"/>
      <c r="BP84" s="113"/>
      <c r="BQ84" s="113">
        <f>+(BQ85*(BQ5+BQ6)+BR85*(BR5+BR6)+BS85*(BS5+BS6))/SUM(BQ5:BS6)</f>
        <v>3.9355697855735166</v>
      </c>
      <c r="BR84" s="107"/>
      <c r="BS84" s="113"/>
      <c r="BT84" s="113">
        <f>+(BT85*(BT5+BT6)+BU85*(BU5+BU6)+BV85*(BV5+BV6))/SUM(BT5:BV6)</f>
        <v>3.9268102477389548</v>
      </c>
      <c r="BU84" s="107"/>
      <c r="BV84" s="113"/>
      <c r="BW84" s="113">
        <f>+(BW85*(BW5+BW6)+BX85*(BX5+BX6)+BY85*(BY5+BY6))/SUM(BW5:BY6)</f>
        <v>3.4142960552352806</v>
      </c>
      <c r="BX84" s="107"/>
      <c r="BY84" s="113"/>
      <c r="BZ84" s="113">
        <f>+(BZ85*(BZ5+BZ6)+CA85*(CA5+CA6)+CB85*(CB5+CB6))/SUM(BZ5:CB6)</f>
        <v>3.539608530659232</v>
      </c>
      <c r="CA84" s="107"/>
      <c r="CB84" s="113"/>
      <c r="CC84" s="113">
        <f>+(CC85*(CC5+CC6)+CD85*(CD5+CD6)+CE85*(CE5+CE6))/SUM(CC5:CE6)</f>
        <v>1.6952166127897923</v>
      </c>
      <c r="CD84" s="113"/>
      <c r="CE84"/>
    </row>
    <row r="85" spans="1:83">
      <c r="B85" s="106" t="s">
        <v>410</v>
      </c>
      <c r="E85"/>
      <c r="H85"/>
      <c r="I85"/>
      <c r="J85"/>
      <c r="K85"/>
      <c r="L85" s="104">
        <f t="shared" ref="L85" si="563">+(L72-L65)/(L5+L6)</f>
        <v>2.7546268088421906</v>
      </c>
      <c r="M85" s="104">
        <f t="shared" ref="M85:BT85" si="564">+(M72-M65)/(M5+M6)</f>
        <v>2.982294857101051</v>
      </c>
      <c r="N85" s="104">
        <f t="shared" si="564"/>
        <v>3.3790034807576608</v>
      </c>
      <c r="O85" s="104">
        <f t="shared" si="564"/>
        <v>3.1657922580688966</v>
      </c>
      <c r="P85" s="104">
        <f t="shared" si="564"/>
        <v>3.0545501668564405</v>
      </c>
      <c r="Q85" s="104">
        <f t="shared" si="564"/>
        <v>3.1670144687116673</v>
      </c>
      <c r="R85" s="104">
        <f t="shared" si="564"/>
        <v>3.2895856489451978</v>
      </c>
      <c r="S85" s="104">
        <f t="shared" si="564"/>
        <v>3.5479057779632477</v>
      </c>
      <c r="T85" s="104">
        <f t="shared" si="564"/>
        <v>3.7345326820385183</v>
      </c>
      <c r="U85" s="104">
        <f t="shared" si="564"/>
        <v>3.7340266832012734</v>
      </c>
      <c r="V85" s="104">
        <f t="shared" si="564"/>
        <v>3.7684588129102603</v>
      </c>
      <c r="W85" s="104">
        <f t="shared" si="564"/>
        <v>3.9180618811490651</v>
      </c>
      <c r="X85" s="104">
        <f t="shared" si="564"/>
        <v>3.8603683471572068</v>
      </c>
      <c r="Y85" s="104">
        <f t="shared" si="564"/>
        <v>3.9541294766001385</v>
      </c>
      <c r="Z85" s="104">
        <f t="shared" si="564"/>
        <v>3.8159819068545535</v>
      </c>
      <c r="AA85" s="104">
        <f t="shared" si="564"/>
        <v>3.4642970105169635</v>
      </c>
      <c r="AB85" s="104">
        <f t="shared" si="564"/>
        <v>3.3894309441906527</v>
      </c>
      <c r="AC85" s="104">
        <f t="shared" si="564"/>
        <v>3.4749900803142508</v>
      </c>
      <c r="AD85" s="104">
        <f t="shared" si="564"/>
        <v>3.6904176220067413</v>
      </c>
      <c r="AE85" s="104">
        <f t="shared" si="564"/>
        <v>3.945460919248521</v>
      </c>
      <c r="AF85" s="104">
        <f t="shared" si="564"/>
        <v>3.9942249603555102</v>
      </c>
      <c r="AG85" s="104">
        <f t="shared" si="564"/>
        <v>3.9582267361437942</v>
      </c>
      <c r="AH85" s="104">
        <f t="shared" si="564"/>
        <v>3.9895731365383789</v>
      </c>
      <c r="AI85" s="104">
        <f t="shared" si="564"/>
        <v>4.1320399551599349</v>
      </c>
      <c r="AJ85" s="104">
        <f t="shared" si="564"/>
        <v>4.0596903740248482</v>
      </c>
      <c r="AK85" s="104">
        <f t="shared" si="564"/>
        <v>4.1442441296234858</v>
      </c>
      <c r="AL85" s="104">
        <f t="shared" si="564"/>
        <v>4.0017948871739026</v>
      </c>
      <c r="AM85" s="104">
        <f t="shared" si="564"/>
        <v>3.6390171664255333</v>
      </c>
      <c r="AN85" s="104">
        <f t="shared" si="564"/>
        <v>3.5950707240234263</v>
      </c>
      <c r="AO85" s="104">
        <f t="shared" si="564"/>
        <v>3.4529880333571383</v>
      </c>
      <c r="AP85" s="104">
        <f t="shared" si="564"/>
        <v>3.6589436654191831</v>
      </c>
      <c r="AQ85" s="104">
        <f t="shared" si="564"/>
        <v>3.9034015723467599</v>
      </c>
      <c r="AR85" s="104">
        <f t="shared" si="564"/>
        <v>3.9584050974321481</v>
      </c>
      <c r="AS85" s="104">
        <f t="shared" si="564"/>
        <v>3.9380810694002917</v>
      </c>
      <c r="AT85" s="104">
        <f t="shared" si="564"/>
        <v>3.974694136279465</v>
      </c>
      <c r="AU85" s="104">
        <f t="shared" si="564"/>
        <v>4.0860060383286525</v>
      </c>
      <c r="AV85" s="104">
        <f t="shared" si="564"/>
        <v>4.0340678740246716</v>
      </c>
      <c r="AW85" s="104">
        <f t="shared" si="564"/>
        <v>4.1357732207209548</v>
      </c>
      <c r="AX85" s="104">
        <f t="shared" si="564"/>
        <v>3.9868811450118948</v>
      </c>
      <c r="AY85" s="104">
        <f t="shared" si="564"/>
        <v>3.6198089792263874</v>
      </c>
      <c r="AZ85" s="104">
        <f t="shared" si="564"/>
        <v>3.6087852790889889</v>
      </c>
      <c r="BA85" s="104">
        <f t="shared" si="564"/>
        <v>3.3108953175626046</v>
      </c>
      <c r="BB85" s="104">
        <f t="shared" si="564"/>
        <v>3.5387046232143877</v>
      </c>
      <c r="BC85" s="104">
        <f t="shared" si="564"/>
        <v>3.8268838305902277</v>
      </c>
      <c r="BD85" s="104">
        <f t="shared" si="564"/>
        <v>3.883950103535645</v>
      </c>
      <c r="BE85" s="104">
        <f t="shared" si="564"/>
        <v>3.852150598978731</v>
      </c>
      <c r="BF85" s="104">
        <f t="shared" si="564"/>
        <v>3.8804549333484517</v>
      </c>
      <c r="BG85" s="104">
        <f t="shared" si="564"/>
        <v>4.0002873396864018</v>
      </c>
      <c r="BH85" s="104">
        <f t="shared" si="564"/>
        <v>3.978078410638421</v>
      </c>
      <c r="BI85" s="104">
        <f t="shared" si="564"/>
        <v>4.0734075174901427</v>
      </c>
      <c r="BJ85" s="104">
        <f t="shared" si="564"/>
        <v>3.9270839931854269</v>
      </c>
      <c r="BK85" s="104">
        <f t="shared" si="564"/>
        <v>3.5721103005335118</v>
      </c>
      <c r="BL85" s="104">
        <f t="shared" si="564"/>
        <v>3.5626244855835671</v>
      </c>
      <c r="BM85" s="104">
        <f t="shared" si="564"/>
        <v>3.2533864918585653</v>
      </c>
      <c r="BN85" s="104">
        <f t="shared" si="564"/>
        <v>3.5176680200419175</v>
      </c>
      <c r="BO85" s="104">
        <f t="shared" si="564"/>
        <v>3.8161524748141566</v>
      </c>
      <c r="BP85" s="104">
        <f t="shared" si="564"/>
        <v>3.8617063898446964</v>
      </c>
      <c r="BQ85" s="104">
        <f t="shared" si="564"/>
        <v>3.8246966952573329</v>
      </c>
      <c r="BR85" s="104">
        <f t="shared" si="564"/>
        <v>3.8634798642511496</v>
      </c>
      <c r="BS85" s="104">
        <f t="shared" si="564"/>
        <v>4.0043772673221021</v>
      </c>
      <c r="BT85" s="104">
        <f t="shared" si="564"/>
        <v>3.9273516827507127</v>
      </c>
      <c r="BU85" s="104">
        <f t="shared" ref="BU85:BY85" si="565">+(BU72-BU65)/(BU5+BU6)</f>
        <v>4.0082441541263041</v>
      </c>
      <c r="BV85" s="104">
        <f t="shared" si="565"/>
        <v>3.850219148067477</v>
      </c>
      <c r="BW85" s="104">
        <f t="shared" si="565"/>
        <v>3.4788620019624377</v>
      </c>
      <c r="BX85" s="104">
        <f t="shared" si="565"/>
        <v>3.4706312967491804</v>
      </c>
      <c r="BY85" s="104">
        <f t="shared" si="565"/>
        <v>3.1520222982145731</v>
      </c>
      <c r="BZ85" s="104">
        <f t="shared" ref="BZ85:CB85" si="566">+(BZ72-BZ65)/(BZ5+BZ6)</f>
        <v>3.3828157152070522</v>
      </c>
      <c r="CA85" s="104">
        <f t="shared" si="566"/>
        <v>3.6508774954457754</v>
      </c>
      <c r="CB85" s="104">
        <f t="shared" si="566"/>
        <v>3.6894108099968967</v>
      </c>
      <c r="CC85" s="104">
        <f t="shared" ref="CC85" si="567">+(CC72-CC65)/(CC5+CC6)</f>
        <v>3.6200303502635247</v>
      </c>
      <c r="CD85" s="104"/>
      <c r="CE85"/>
    </row>
    <row r="86" spans="1:83">
      <c r="B86" s="106" t="s">
        <v>411</v>
      </c>
      <c r="E86"/>
      <c r="H86"/>
      <c r="I86"/>
      <c r="J86"/>
      <c r="K86"/>
      <c r="L86" s="112">
        <f>M78+M77</f>
        <v>0</v>
      </c>
      <c r="M86" s="112">
        <f t="shared" ref="M86" si="568">L86</f>
        <v>0</v>
      </c>
      <c r="N86" s="112">
        <f t="shared" ref="N86" si="569">M86</f>
        <v>0</v>
      </c>
      <c r="O86" s="112">
        <f>P78+P77</f>
        <v>1.2845457095252448</v>
      </c>
      <c r="P86" s="112">
        <f>O86</f>
        <v>1.2845457095252448</v>
      </c>
      <c r="Q86" s="112">
        <f t="shared" ref="Q86:Z86" si="570">P86</f>
        <v>1.2845457095252448</v>
      </c>
      <c r="R86" s="112">
        <f t="shared" si="570"/>
        <v>1.2845457095252448</v>
      </c>
      <c r="S86" s="112">
        <f t="shared" si="570"/>
        <v>1.2845457095252448</v>
      </c>
      <c r="T86" s="112">
        <f t="shared" si="570"/>
        <v>1.2845457095252448</v>
      </c>
      <c r="U86" s="112">
        <f t="shared" si="570"/>
        <v>1.2845457095252448</v>
      </c>
      <c r="V86" s="112">
        <f t="shared" si="570"/>
        <v>1.2845457095252448</v>
      </c>
      <c r="W86" s="112">
        <f t="shared" si="570"/>
        <v>1.2845457095252448</v>
      </c>
      <c r="X86" s="112">
        <f t="shared" si="570"/>
        <v>1.2845457095252448</v>
      </c>
      <c r="Y86" s="112">
        <f t="shared" si="570"/>
        <v>1.2845457095252448</v>
      </c>
      <c r="Z86" s="112">
        <f t="shared" si="570"/>
        <v>1.2845457095252448</v>
      </c>
      <c r="AA86" s="112">
        <f t="shared" ref="AA86" si="571">AB78+AB77</f>
        <v>1.2834027141527058</v>
      </c>
      <c r="AB86" s="112">
        <f t="shared" ref="AB86:BV86" si="572">AA86</f>
        <v>1.2834027141527058</v>
      </c>
      <c r="AC86" s="112">
        <f t="shared" si="572"/>
        <v>1.2834027141527058</v>
      </c>
      <c r="AD86" s="112">
        <f t="shared" si="572"/>
        <v>1.2834027141527058</v>
      </c>
      <c r="AE86" s="112">
        <f t="shared" si="572"/>
        <v>1.2834027141527058</v>
      </c>
      <c r="AF86" s="112">
        <f t="shared" si="572"/>
        <v>1.2834027141527058</v>
      </c>
      <c r="AG86" s="112">
        <f t="shared" si="572"/>
        <v>1.2834027141527058</v>
      </c>
      <c r="AH86" s="112">
        <f t="shared" si="572"/>
        <v>1.2834027141527058</v>
      </c>
      <c r="AI86" s="112">
        <f t="shared" si="572"/>
        <v>1.2834027141527058</v>
      </c>
      <c r="AJ86" s="112">
        <f t="shared" si="572"/>
        <v>1.2834027141527058</v>
      </c>
      <c r="AK86" s="112">
        <f t="shared" si="572"/>
        <v>1.2834027141527058</v>
      </c>
      <c r="AL86" s="112">
        <f t="shared" si="572"/>
        <v>1.2834027141527058</v>
      </c>
      <c r="AM86" s="112">
        <f t="shared" ref="AM86" si="573">AN78+AN77</f>
        <v>1.2822617367458997</v>
      </c>
      <c r="AN86" s="112">
        <f t="shared" ref="AN86" si="574">AM86</f>
        <v>1.2822617367458997</v>
      </c>
      <c r="AO86" s="112">
        <f t="shared" si="572"/>
        <v>1.2822617367458997</v>
      </c>
      <c r="AP86" s="112">
        <f t="shared" si="572"/>
        <v>1.2822617367458997</v>
      </c>
      <c r="AQ86" s="112">
        <f t="shared" si="572"/>
        <v>1.2822617367458997</v>
      </c>
      <c r="AR86" s="112">
        <f t="shared" si="572"/>
        <v>1.2822617367458997</v>
      </c>
      <c r="AS86" s="112">
        <f t="shared" si="572"/>
        <v>1.2822617367458997</v>
      </c>
      <c r="AT86" s="112">
        <f t="shared" si="572"/>
        <v>1.2822617367458997</v>
      </c>
      <c r="AU86" s="112">
        <f t="shared" si="572"/>
        <v>1.2822617367458997</v>
      </c>
      <c r="AV86" s="112">
        <f t="shared" si="572"/>
        <v>1.2822617367458997</v>
      </c>
      <c r="AW86" s="112">
        <f t="shared" si="572"/>
        <v>1.2822617367458997</v>
      </c>
      <c r="AX86" s="112">
        <f t="shared" si="572"/>
        <v>1.2822617367458997</v>
      </c>
      <c r="AY86" s="112">
        <f t="shared" ref="AY86" si="575">AZ78+AZ77</f>
        <v>1.2811230742616493</v>
      </c>
      <c r="AZ86" s="112">
        <f t="shared" ref="AZ86" si="576">AY86</f>
        <v>1.2811230742616493</v>
      </c>
      <c r="BA86" s="112">
        <f t="shared" si="572"/>
        <v>1.2811230742616493</v>
      </c>
      <c r="BB86" s="112">
        <f t="shared" si="572"/>
        <v>1.2811230742616493</v>
      </c>
      <c r="BC86" s="112">
        <f t="shared" si="572"/>
        <v>1.2811230742616493</v>
      </c>
      <c r="BD86" s="112">
        <f t="shared" si="572"/>
        <v>1.2811230742616493</v>
      </c>
      <c r="BE86" s="112">
        <f t="shared" si="572"/>
        <v>1.2811230742616493</v>
      </c>
      <c r="BF86" s="112">
        <f t="shared" si="572"/>
        <v>1.2811230742616493</v>
      </c>
      <c r="BG86" s="112">
        <f t="shared" si="572"/>
        <v>1.2811230742616493</v>
      </c>
      <c r="BH86" s="112">
        <f t="shared" si="572"/>
        <v>1.2811230742616493</v>
      </c>
      <c r="BI86" s="112">
        <f t="shared" si="572"/>
        <v>1.2811230742616493</v>
      </c>
      <c r="BJ86" s="112">
        <f t="shared" si="572"/>
        <v>1.2811230742616493</v>
      </c>
      <c r="BK86" s="112">
        <f t="shared" ref="BK86" si="577">BL78+BL77</f>
        <v>1.2799862599848888</v>
      </c>
      <c r="BL86" s="112">
        <f t="shared" ref="BL86" si="578">BK86</f>
        <v>1.2799862599848888</v>
      </c>
      <c r="BM86" s="112">
        <f t="shared" si="572"/>
        <v>1.2799862599848888</v>
      </c>
      <c r="BN86" s="112">
        <f t="shared" si="572"/>
        <v>1.2799862599848888</v>
      </c>
      <c r="BO86" s="112">
        <f t="shared" si="572"/>
        <v>1.2799862599848888</v>
      </c>
      <c r="BP86" s="112">
        <f t="shared" si="572"/>
        <v>1.2799862599848888</v>
      </c>
      <c r="BQ86" s="112">
        <f t="shared" si="572"/>
        <v>1.2799862599848888</v>
      </c>
      <c r="BR86" s="112">
        <f t="shared" si="572"/>
        <v>1.2799862599848888</v>
      </c>
      <c r="BS86" s="112">
        <f t="shared" si="572"/>
        <v>1.2799862599848888</v>
      </c>
      <c r="BT86" s="112">
        <f t="shared" si="572"/>
        <v>1.2799862599848888</v>
      </c>
      <c r="BU86" s="112">
        <f t="shared" si="572"/>
        <v>1.2799862599848888</v>
      </c>
      <c r="BV86" s="112">
        <f t="shared" si="572"/>
        <v>1.2799862599848888</v>
      </c>
      <c r="BW86" s="112">
        <f>BX77+BX78</f>
        <v>4.2765361952562833</v>
      </c>
      <c r="BX86" s="112">
        <f>BX78+BX77</f>
        <v>4.2765361952562833</v>
      </c>
      <c r="BY86" s="112">
        <f t="shared" ref="BY86" si="579">BX86</f>
        <v>4.2765361952562833</v>
      </c>
      <c r="BZ86" s="112">
        <f t="shared" ref="BZ86" si="580">BY86</f>
        <v>4.2765361952562833</v>
      </c>
      <c r="CA86" s="112">
        <f t="shared" ref="CA86" si="581">BZ86</f>
        <v>4.2765361952562833</v>
      </c>
      <c r="CB86" s="112">
        <f t="shared" ref="CB86" si="582">CA86</f>
        <v>4.2765361952562833</v>
      </c>
      <c r="CC86" s="112">
        <f t="shared" ref="CC86" si="583">CB86</f>
        <v>4.2765361952562833</v>
      </c>
      <c r="CD86" s="112">
        <f t="shared" ref="CD86" si="584">CC86</f>
        <v>4.2765361952562833</v>
      </c>
      <c r="CE86" s="112">
        <f t="shared" ref="CE86" si="585">CD86</f>
        <v>4.2765361952562833</v>
      </c>
    </row>
    <row r="87" spans="1:83">
      <c r="B87" s="106" t="s">
        <v>412</v>
      </c>
      <c r="E87"/>
      <c r="H87"/>
      <c r="I87"/>
      <c r="J87"/>
      <c r="K87"/>
      <c r="L87" s="104">
        <f t="shared" ref="L87" si="586">+L85+L86</f>
        <v>2.7546268088421906</v>
      </c>
      <c r="M87" s="104">
        <f t="shared" ref="M87:BT87" si="587">+M85+M86</f>
        <v>2.982294857101051</v>
      </c>
      <c r="N87" s="104">
        <f t="shared" si="587"/>
        <v>3.3790034807576608</v>
      </c>
      <c r="O87" s="104">
        <f t="shared" si="587"/>
        <v>4.450337967594141</v>
      </c>
      <c r="P87" s="104">
        <f t="shared" si="587"/>
        <v>4.3390958763816858</v>
      </c>
      <c r="Q87" s="104">
        <f t="shared" si="587"/>
        <v>4.4515601782369121</v>
      </c>
      <c r="R87" s="104">
        <f t="shared" si="587"/>
        <v>4.5741313584704422</v>
      </c>
      <c r="S87" s="104">
        <f t="shared" si="587"/>
        <v>4.832451487488493</v>
      </c>
      <c r="T87" s="104">
        <f t="shared" si="587"/>
        <v>5.0190783915637631</v>
      </c>
      <c r="U87" s="104">
        <f t="shared" si="587"/>
        <v>5.0185723927265187</v>
      </c>
      <c r="V87" s="104">
        <f t="shared" si="587"/>
        <v>5.0530045224355051</v>
      </c>
      <c r="W87" s="104">
        <f t="shared" si="587"/>
        <v>5.2026075906743099</v>
      </c>
      <c r="X87" s="104">
        <f t="shared" si="587"/>
        <v>5.1449140566824516</v>
      </c>
      <c r="Y87" s="104">
        <f t="shared" si="587"/>
        <v>5.2386751861253833</v>
      </c>
      <c r="Z87" s="104">
        <f t="shared" si="587"/>
        <v>5.1005276163797983</v>
      </c>
      <c r="AA87" s="104">
        <f t="shared" si="587"/>
        <v>4.7476997246696691</v>
      </c>
      <c r="AB87" s="104">
        <f t="shared" si="587"/>
        <v>4.6728336583433583</v>
      </c>
      <c r="AC87" s="104">
        <f t="shared" si="587"/>
        <v>4.7583927944669568</v>
      </c>
      <c r="AD87" s="104">
        <f t="shared" si="587"/>
        <v>4.9738203361594469</v>
      </c>
      <c r="AE87" s="104">
        <f t="shared" si="587"/>
        <v>5.2288636334012271</v>
      </c>
      <c r="AF87" s="104">
        <f t="shared" si="587"/>
        <v>5.2776276745082162</v>
      </c>
      <c r="AG87" s="104">
        <f t="shared" si="587"/>
        <v>5.2416294502965002</v>
      </c>
      <c r="AH87" s="104">
        <f t="shared" si="587"/>
        <v>5.2729758506910844</v>
      </c>
      <c r="AI87" s="104">
        <f t="shared" si="587"/>
        <v>5.4154426693126405</v>
      </c>
      <c r="AJ87" s="104">
        <f t="shared" si="587"/>
        <v>5.3430930881775538</v>
      </c>
      <c r="AK87" s="104">
        <f t="shared" si="587"/>
        <v>5.4276468437761913</v>
      </c>
      <c r="AL87" s="104">
        <f t="shared" si="587"/>
        <v>5.2851976013266082</v>
      </c>
      <c r="AM87" s="104">
        <f t="shared" si="587"/>
        <v>4.9212789031714328</v>
      </c>
      <c r="AN87" s="104">
        <f t="shared" si="587"/>
        <v>4.8773324607693258</v>
      </c>
      <c r="AO87" s="104">
        <f t="shared" si="587"/>
        <v>4.7352497701030378</v>
      </c>
      <c r="AP87" s="104">
        <f t="shared" si="587"/>
        <v>4.9412054021650826</v>
      </c>
      <c r="AQ87" s="104">
        <f t="shared" si="587"/>
        <v>5.1856633090926598</v>
      </c>
      <c r="AR87" s="104">
        <f t="shared" si="587"/>
        <v>5.2406668341780476</v>
      </c>
      <c r="AS87" s="104">
        <f t="shared" si="587"/>
        <v>5.2203428061461912</v>
      </c>
      <c r="AT87" s="104">
        <f t="shared" si="587"/>
        <v>5.2569558730253645</v>
      </c>
      <c r="AU87" s="104">
        <f t="shared" si="587"/>
        <v>5.3682677750745524</v>
      </c>
      <c r="AV87" s="104">
        <f t="shared" si="587"/>
        <v>5.3163296107705715</v>
      </c>
      <c r="AW87" s="104">
        <f t="shared" si="587"/>
        <v>5.4180349574668547</v>
      </c>
      <c r="AX87" s="104">
        <f t="shared" si="587"/>
        <v>5.2691428817577943</v>
      </c>
      <c r="AY87" s="104">
        <f t="shared" si="587"/>
        <v>4.9009320534880363</v>
      </c>
      <c r="AZ87" s="104">
        <f t="shared" si="587"/>
        <v>4.8899083533506378</v>
      </c>
      <c r="BA87" s="104">
        <f t="shared" si="587"/>
        <v>4.5920183918242543</v>
      </c>
      <c r="BB87" s="104">
        <f t="shared" si="587"/>
        <v>4.819827697476037</v>
      </c>
      <c r="BC87" s="104">
        <f t="shared" si="587"/>
        <v>5.1080069048518766</v>
      </c>
      <c r="BD87" s="104">
        <f t="shared" si="587"/>
        <v>5.1650731777972947</v>
      </c>
      <c r="BE87" s="104">
        <f t="shared" si="587"/>
        <v>5.1332736732403799</v>
      </c>
      <c r="BF87" s="104">
        <f t="shared" si="587"/>
        <v>5.1615780076101014</v>
      </c>
      <c r="BG87" s="104">
        <f t="shared" si="587"/>
        <v>5.2814104139480511</v>
      </c>
      <c r="BH87" s="104">
        <f t="shared" si="587"/>
        <v>5.2592014849000703</v>
      </c>
      <c r="BI87" s="104">
        <f t="shared" si="587"/>
        <v>5.354530591751792</v>
      </c>
      <c r="BJ87" s="104">
        <f t="shared" si="587"/>
        <v>5.2082070674470762</v>
      </c>
      <c r="BK87" s="104">
        <f t="shared" si="587"/>
        <v>4.852096560518401</v>
      </c>
      <c r="BL87" s="104">
        <f t="shared" si="587"/>
        <v>4.8426107455684555</v>
      </c>
      <c r="BM87" s="104">
        <f t="shared" si="587"/>
        <v>4.5333727518434541</v>
      </c>
      <c r="BN87" s="104">
        <f t="shared" si="587"/>
        <v>4.7976542800268067</v>
      </c>
      <c r="BO87" s="104">
        <f t="shared" si="587"/>
        <v>5.0961387347990454</v>
      </c>
      <c r="BP87" s="104">
        <f t="shared" si="587"/>
        <v>5.1416926498295847</v>
      </c>
      <c r="BQ87" s="104">
        <f t="shared" si="587"/>
        <v>5.1046829552422217</v>
      </c>
      <c r="BR87" s="104">
        <f t="shared" si="587"/>
        <v>5.1434661242360384</v>
      </c>
      <c r="BS87" s="104">
        <f t="shared" si="587"/>
        <v>5.2843635273069909</v>
      </c>
      <c r="BT87" s="104">
        <f t="shared" si="587"/>
        <v>5.2073379427356015</v>
      </c>
      <c r="BU87" s="104">
        <f t="shared" ref="BU87:BY87" si="588">+BU85+BU86</f>
        <v>5.2882304141111929</v>
      </c>
      <c r="BV87" s="104">
        <f t="shared" si="588"/>
        <v>5.1302054080523654</v>
      </c>
      <c r="BW87" s="104">
        <f t="shared" si="588"/>
        <v>7.7553981972187209</v>
      </c>
      <c r="BX87" s="104">
        <f t="shared" si="588"/>
        <v>7.7471674920054632</v>
      </c>
      <c r="BY87" s="104">
        <f t="shared" si="588"/>
        <v>7.428558493470856</v>
      </c>
      <c r="BZ87" s="104">
        <f t="shared" ref="BZ87:CB87" si="589">+BZ85+BZ86</f>
        <v>7.6593519104633359</v>
      </c>
      <c r="CA87" s="104">
        <f t="shared" si="589"/>
        <v>7.9274136907020587</v>
      </c>
      <c r="CB87" s="104">
        <f t="shared" si="589"/>
        <v>7.96594700525318</v>
      </c>
      <c r="CC87" s="104">
        <f t="shared" ref="CC87" si="590">+CC85+CC86</f>
        <v>7.896566545519808</v>
      </c>
      <c r="CD87" s="104"/>
      <c r="CE87"/>
    </row>
    <row r="88" spans="1:83">
      <c r="B88" s="106" t="s">
        <v>413</v>
      </c>
      <c r="E88"/>
      <c r="H88"/>
      <c r="I88"/>
      <c r="J88"/>
      <c r="K88"/>
      <c r="L88" s="106">
        <f t="shared" ref="L88" si="591">+K88</f>
        <v>0</v>
      </c>
      <c r="M88" s="106">
        <f t="shared" ref="M88" si="592">+L88</f>
        <v>0</v>
      </c>
      <c r="N88" s="106">
        <f t="shared" ref="N88" si="593">+M88</f>
        <v>0</v>
      </c>
      <c r="O88" s="106">
        <f t="shared" ref="O88" si="594">+N88</f>
        <v>0</v>
      </c>
      <c r="P88" s="106">
        <f t="shared" ref="P88" si="595">+O88</f>
        <v>0</v>
      </c>
      <c r="Q88" s="106">
        <f t="shared" ref="Q88" si="596">+P88</f>
        <v>0</v>
      </c>
      <c r="R88" s="106">
        <f t="shared" ref="R88" si="597">+Q88</f>
        <v>0</v>
      </c>
      <c r="S88" s="106">
        <f t="shared" ref="S88" si="598">+R88</f>
        <v>0</v>
      </c>
      <c r="T88" s="106">
        <f t="shared" ref="T88" si="599">+S88</f>
        <v>0</v>
      </c>
      <c r="U88" s="106">
        <f t="shared" ref="U88" si="600">+T88</f>
        <v>0</v>
      </c>
      <c r="V88" s="106">
        <f t="shared" ref="V88" si="601">+U88</f>
        <v>0</v>
      </c>
      <c r="W88" s="106">
        <f t="shared" ref="W88" si="602">+V88</f>
        <v>0</v>
      </c>
      <c r="X88" s="106">
        <f t="shared" ref="X88" si="603">+W88</f>
        <v>0</v>
      </c>
      <c r="Y88" s="106">
        <f t="shared" ref="Y88" si="604">+X88</f>
        <v>0</v>
      </c>
      <c r="Z88" s="106">
        <f t="shared" ref="Z88" si="605">+Y88</f>
        <v>0</v>
      </c>
      <c r="AA88" s="106">
        <f t="shared" ref="AA88" si="606">+Z88</f>
        <v>0</v>
      </c>
      <c r="AB88" s="106">
        <f t="shared" ref="AB88" si="607">+AA88</f>
        <v>0</v>
      </c>
      <c r="AC88" s="106">
        <f t="shared" ref="AC88" si="608">+AB88</f>
        <v>0</v>
      </c>
      <c r="AD88" s="106">
        <f t="shared" ref="AD88" si="609">+AC88</f>
        <v>0</v>
      </c>
      <c r="AE88" s="106">
        <f t="shared" ref="AE88" si="610">+AD88</f>
        <v>0</v>
      </c>
      <c r="AF88" s="106">
        <f t="shared" ref="AF88" si="611">+AE88</f>
        <v>0</v>
      </c>
      <c r="AG88" s="106">
        <f t="shared" ref="AG88" si="612">+AF88</f>
        <v>0</v>
      </c>
      <c r="AH88" s="106">
        <f t="shared" ref="AH88" si="613">+AG88</f>
        <v>0</v>
      </c>
      <c r="AI88" s="106">
        <f t="shared" ref="AI88" si="614">+AH88</f>
        <v>0</v>
      </c>
      <c r="AJ88" s="106">
        <f t="shared" ref="AJ88" si="615">+AI88</f>
        <v>0</v>
      </c>
      <c r="AK88" s="106">
        <f t="shared" ref="AK88" si="616">+AJ88</f>
        <v>0</v>
      </c>
      <c r="AL88" s="106">
        <f t="shared" ref="AL88" si="617">+AK88</f>
        <v>0</v>
      </c>
      <c r="AM88" s="106">
        <f t="shared" ref="AM88" si="618">+AL88</f>
        <v>0</v>
      </c>
      <c r="AN88" s="106">
        <f t="shared" ref="AN88" si="619">+AM88</f>
        <v>0</v>
      </c>
      <c r="AO88" s="106">
        <f t="shared" ref="AO88" si="620">+AN88</f>
        <v>0</v>
      </c>
      <c r="AP88" s="106">
        <f t="shared" ref="AP88" si="621">+AO88</f>
        <v>0</v>
      </c>
      <c r="AQ88" s="106">
        <f t="shared" ref="AQ88" si="622">+AP88</f>
        <v>0</v>
      </c>
      <c r="AR88" s="106">
        <f t="shared" ref="AR88" si="623">+AQ88</f>
        <v>0</v>
      </c>
      <c r="AS88" s="106">
        <f t="shared" ref="AS88" si="624">+AR88</f>
        <v>0</v>
      </c>
      <c r="AT88" s="106">
        <f t="shared" ref="AT88" si="625">+AS88</f>
        <v>0</v>
      </c>
      <c r="AU88" s="106">
        <f t="shared" ref="AU88" si="626">+AT88</f>
        <v>0</v>
      </c>
      <c r="AV88" s="106">
        <f t="shared" ref="AV88" si="627">+AU88</f>
        <v>0</v>
      </c>
      <c r="AW88" s="106">
        <f t="shared" ref="AW88" si="628">+AV88</f>
        <v>0</v>
      </c>
      <c r="AX88" s="106">
        <f t="shared" ref="AX88" si="629">+AW88</f>
        <v>0</v>
      </c>
      <c r="AY88" s="106">
        <f t="shared" ref="AY88" si="630">+AX88</f>
        <v>0</v>
      </c>
      <c r="AZ88" s="106">
        <f t="shared" ref="AZ88" si="631">+AY88</f>
        <v>0</v>
      </c>
      <c r="BA88" s="106">
        <f t="shared" ref="BA88" si="632">+AZ88</f>
        <v>0</v>
      </c>
      <c r="BB88" s="106">
        <f t="shared" ref="BB88" si="633">+BA88</f>
        <v>0</v>
      </c>
      <c r="BC88" s="106">
        <f t="shared" ref="BC88" si="634">+BB88</f>
        <v>0</v>
      </c>
      <c r="BD88" s="106">
        <f t="shared" ref="BD88" si="635">+BC88</f>
        <v>0</v>
      </c>
      <c r="BE88" s="106">
        <f t="shared" ref="BE88" si="636">+BD88</f>
        <v>0</v>
      </c>
      <c r="BF88" s="106">
        <f t="shared" ref="BF88" si="637">+BE88</f>
        <v>0</v>
      </c>
      <c r="BG88" s="106">
        <f t="shared" ref="BG88" si="638">+BF88</f>
        <v>0</v>
      </c>
      <c r="BH88" s="106">
        <f t="shared" ref="BH88" si="639">+BG88</f>
        <v>0</v>
      </c>
      <c r="BI88" s="106">
        <f t="shared" ref="BI88" si="640">+BH88</f>
        <v>0</v>
      </c>
      <c r="BJ88" s="106">
        <f t="shared" ref="BJ88" si="641">+BI88</f>
        <v>0</v>
      </c>
      <c r="BK88" s="106">
        <f t="shared" ref="BK88" si="642">+BJ88</f>
        <v>0</v>
      </c>
      <c r="BL88" s="106">
        <f t="shared" ref="BL88" si="643">+BK88</f>
        <v>0</v>
      </c>
      <c r="BM88" s="106">
        <f t="shared" ref="BM88" si="644">+BL88</f>
        <v>0</v>
      </c>
      <c r="BN88" s="106">
        <f t="shared" ref="BN88" si="645">+BM88</f>
        <v>0</v>
      </c>
      <c r="BO88" s="106">
        <f t="shared" ref="BO88" si="646">+BN88</f>
        <v>0</v>
      </c>
      <c r="BP88" s="106">
        <f t="shared" ref="BP88" si="647">+BO88</f>
        <v>0</v>
      </c>
      <c r="BQ88" s="106">
        <f t="shared" ref="BQ88" si="648">+BP88</f>
        <v>0</v>
      </c>
      <c r="BR88" s="106">
        <f t="shared" ref="BR88" si="649">+BQ88</f>
        <v>0</v>
      </c>
      <c r="BS88" s="106">
        <f t="shared" ref="BS88" si="650">+BR88</f>
        <v>0</v>
      </c>
      <c r="BT88" s="106">
        <f t="shared" ref="BT88" si="651">+BS88</f>
        <v>0</v>
      </c>
      <c r="BU88" s="106">
        <f t="shared" ref="BU88" si="652">+BT88</f>
        <v>0</v>
      </c>
      <c r="BV88" s="106">
        <f t="shared" ref="BV88" si="653">+BU88</f>
        <v>0</v>
      </c>
      <c r="BW88" s="106">
        <f t="shared" ref="BW88" si="654">+BV88</f>
        <v>0</v>
      </c>
      <c r="BX88" s="106">
        <f t="shared" ref="BX88" si="655">+BW88</f>
        <v>0</v>
      </c>
      <c r="BY88" s="106">
        <f t="shared" ref="BY88" si="656">+BX88</f>
        <v>0</v>
      </c>
      <c r="BZ88" s="106">
        <f t="shared" ref="BZ88" si="657">+BY88</f>
        <v>0</v>
      </c>
      <c r="CA88" s="106">
        <f t="shared" ref="CA88" si="658">+BZ88</f>
        <v>0</v>
      </c>
      <c r="CB88" s="106">
        <f t="shared" ref="CB88:CC88" si="659">+CA88</f>
        <v>0</v>
      </c>
      <c r="CC88" s="106">
        <f t="shared" si="659"/>
        <v>0</v>
      </c>
      <c r="CE88"/>
    </row>
    <row r="89" spans="1:83">
      <c r="B89" s="106" t="s">
        <v>414</v>
      </c>
      <c r="E89"/>
      <c r="H89"/>
      <c r="I89"/>
      <c r="J89"/>
      <c r="K89"/>
      <c r="L89" s="104">
        <f t="shared" ref="L89" si="660">+L87+L88</f>
        <v>2.7546268088421906</v>
      </c>
      <c r="M89" s="104">
        <f t="shared" ref="M89:BT89" si="661">+M87+M88</f>
        <v>2.982294857101051</v>
      </c>
      <c r="N89" s="104">
        <f t="shared" si="661"/>
        <v>3.3790034807576608</v>
      </c>
      <c r="O89" s="104">
        <f t="shared" si="661"/>
        <v>4.450337967594141</v>
      </c>
      <c r="P89" s="104">
        <f t="shared" si="661"/>
        <v>4.3390958763816858</v>
      </c>
      <c r="Q89" s="104">
        <f t="shared" si="661"/>
        <v>4.4515601782369121</v>
      </c>
      <c r="R89" s="104">
        <f t="shared" si="661"/>
        <v>4.5741313584704422</v>
      </c>
      <c r="S89" s="104">
        <f t="shared" si="661"/>
        <v>4.832451487488493</v>
      </c>
      <c r="T89" s="104">
        <f t="shared" si="661"/>
        <v>5.0190783915637631</v>
      </c>
      <c r="U89" s="104">
        <f t="shared" si="661"/>
        <v>5.0185723927265187</v>
      </c>
      <c r="V89" s="104">
        <f t="shared" si="661"/>
        <v>5.0530045224355051</v>
      </c>
      <c r="W89" s="104">
        <f t="shared" si="661"/>
        <v>5.2026075906743099</v>
      </c>
      <c r="X89" s="104">
        <f t="shared" si="661"/>
        <v>5.1449140566824516</v>
      </c>
      <c r="Y89" s="104">
        <f t="shared" si="661"/>
        <v>5.2386751861253833</v>
      </c>
      <c r="Z89" s="104">
        <f t="shared" si="661"/>
        <v>5.1005276163797983</v>
      </c>
      <c r="AA89" s="104">
        <f t="shared" si="661"/>
        <v>4.7476997246696691</v>
      </c>
      <c r="AB89" s="104">
        <f t="shared" si="661"/>
        <v>4.6728336583433583</v>
      </c>
      <c r="AC89" s="104">
        <f t="shared" si="661"/>
        <v>4.7583927944669568</v>
      </c>
      <c r="AD89" s="104">
        <f t="shared" si="661"/>
        <v>4.9738203361594469</v>
      </c>
      <c r="AE89" s="104">
        <f t="shared" si="661"/>
        <v>5.2288636334012271</v>
      </c>
      <c r="AF89" s="104">
        <f t="shared" si="661"/>
        <v>5.2776276745082162</v>
      </c>
      <c r="AG89" s="104">
        <f t="shared" si="661"/>
        <v>5.2416294502965002</v>
      </c>
      <c r="AH89" s="104">
        <f t="shared" si="661"/>
        <v>5.2729758506910844</v>
      </c>
      <c r="AI89" s="104">
        <f t="shared" si="661"/>
        <v>5.4154426693126405</v>
      </c>
      <c r="AJ89" s="104">
        <f t="shared" si="661"/>
        <v>5.3430930881775538</v>
      </c>
      <c r="AK89" s="104">
        <f t="shared" si="661"/>
        <v>5.4276468437761913</v>
      </c>
      <c r="AL89" s="104">
        <f t="shared" si="661"/>
        <v>5.2851976013266082</v>
      </c>
      <c r="AM89" s="104">
        <f t="shared" si="661"/>
        <v>4.9212789031714328</v>
      </c>
      <c r="AN89" s="104">
        <f t="shared" si="661"/>
        <v>4.8773324607693258</v>
      </c>
      <c r="AO89" s="104">
        <f t="shared" si="661"/>
        <v>4.7352497701030378</v>
      </c>
      <c r="AP89" s="104">
        <f t="shared" si="661"/>
        <v>4.9412054021650826</v>
      </c>
      <c r="AQ89" s="104">
        <f t="shared" si="661"/>
        <v>5.1856633090926598</v>
      </c>
      <c r="AR89" s="104">
        <f t="shared" si="661"/>
        <v>5.2406668341780476</v>
      </c>
      <c r="AS89" s="104">
        <f t="shared" si="661"/>
        <v>5.2203428061461912</v>
      </c>
      <c r="AT89" s="104">
        <f t="shared" si="661"/>
        <v>5.2569558730253645</v>
      </c>
      <c r="AU89" s="104">
        <f t="shared" si="661"/>
        <v>5.3682677750745524</v>
      </c>
      <c r="AV89" s="104">
        <f t="shared" si="661"/>
        <v>5.3163296107705715</v>
      </c>
      <c r="AW89" s="104">
        <f t="shared" si="661"/>
        <v>5.4180349574668547</v>
      </c>
      <c r="AX89" s="104">
        <f t="shared" si="661"/>
        <v>5.2691428817577943</v>
      </c>
      <c r="AY89" s="104">
        <f t="shared" si="661"/>
        <v>4.9009320534880363</v>
      </c>
      <c r="AZ89" s="104">
        <f t="shared" si="661"/>
        <v>4.8899083533506378</v>
      </c>
      <c r="BA89" s="104">
        <f t="shared" si="661"/>
        <v>4.5920183918242543</v>
      </c>
      <c r="BB89" s="104">
        <f t="shared" si="661"/>
        <v>4.819827697476037</v>
      </c>
      <c r="BC89" s="104">
        <f t="shared" si="661"/>
        <v>5.1080069048518766</v>
      </c>
      <c r="BD89" s="104">
        <f t="shared" si="661"/>
        <v>5.1650731777972947</v>
      </c>
      <c r="BE89" s="104">
        <f t="shared" si="661"/>
        <v>5.1332736732403799</v>
      </c>
      <c r="BF89" s="104">
        <f t="shared" si="661"/>
        <v>5.1615780076101014</v>
      </c>
      <c r="BG89" s="104">
        <f t="shared" si="661"/>
        <v>5.2814104139480511</v>
      </c>
      <c r="BH89" s="104">
        <f t="shared" si="661"/>
        <v>5.2592014849000703</v>
      </c>
      <c r="BI89" s="104">
        <f t="shared" si="661"/>
        <v>5.354530591751792</v>
      </c>
      <c r="BJ89" s="104">
        <f t="shared" si="661"/>
        <v>5.2082070674470762</v>
      </c>
      <c r="BK89" s="104">
        <f t="shared" si="661"/>
        <v>4.852096560518401</v>
      </c>
      <c r="BL89" s="104">
        <f t="shared" si="661"/>
        <v>4.8426107455684555</v>
      </c>
      <c r="BM89" s="104">
        <f t="shared" si="661"/>
        <v>4.5333727518434541</v>
      </c>
      <c r="BN89" s="104">
        <f t="shared" si="661"/>
        <v>4.7976542800268067</v>
      </c>
      <c r="BO89" s="104">
        <f t="shared" si="661"/>
        <v>5.0961387347990454</v>
      </c>
      <c r="BP89" s="104">
        <f t="shared" si="661"/>
        <v>5.1416926498295847</v>
      </c>
      <c r="BQ89" s="104">
        <f t="shared" si="661"/>
        <v>5.1046829552422217</v>
      </c>
      <c r="BR89" s="104">
        <f t="shared" si="661"/>
        <v>5.1434661242360384</v>
      </c>
      <c r="BS89" s="104">
        <f t="shared" si="661"/>
        <v>5.2843635273069909</v>
      </c>
      <c r="BT89" s="104">
        <f t="shared" si="661"/>
        <v>5.2073379427356015</v>
      </c>
      <c r="BU89" s="104">
        <f t="shared" ref="BU89:BY89" si="662">+BU87+BU88</f>
        <v>5.2882304141111929</v>
      </c>
      <c r="BV89" s="104">
        <f t="shared" si="662"/>
        <v>5.1302054080523654</v>
      </c>
      <c r="BW89" s="104">
        <f t="shared" si="662"/>
        <v>7.7553981972187209</v>
      </c>
      <c r="BX89" s="104">
        <f t="shared" si="662"/>
        <v>7.7471674920054632</v>
      </c>
      <c r="BY89" s="104">
        <f t="shared" si="662"/>
        <v>7.428558493470856</v>
      </c>
      <c r="BZ89" s="104">
        <f t="shared" ref="BZ89:CB89" si="663">+BZ87+BZ88</f>
        <v>7.6593519104633359</v>
      </c>
      <c r="CA89" s="104">
        <f t="shared" si="663"/>
        <v>7.9274136907020587</v>
      </c>
      <c r="CB89" s="104">
        <f t="shared" si="663"/>
        <v>7.96594700525318</v>
      </c>
      <c r="CC89" s="104">
        <f t="shared" ref="CC89" si="664">+CC87+CC88</f>
        <v>7.896566545519808</v>
      </c>
      <c r="CD89" s="104"/>
      <c r="CE89"/>
    </row>
    <row r="90" spans="1:83">
      <c r="C90"/>
      <c r="D90"/>
      <c r="E90"/>
      <c r="J90" s="246"/>
      <c r="M90" s="246"/>
      <c r="N90" s="246"/>
      <c r="O90" s="114"/>
      <c r="P90" s="246"/>
      <c r="Y90" s="246"/>
      <c r="Z90" s="246"/>
      <c r="AA90" s="114"/>
      <c r="AB90" s="246"/>
      <c r="AK90" s="246"/>
      <c r="AL90" s="246"/>
      <c r="AM90" s="114"/>
      <c r="AN90" s="246"/>
      <c r="AW90" s="246"/>
      <c r="AX90" s="246"/>
      <c r="AY90" s="114"/>
      <c r="AZ90" s="246"/>
      <c r="BI90" s="246"/>
      <c r="BJ90" s="246"/>
      <c r="BK90" s="114"/>
      <c r="BL90" s="246"/>
      <c r="BU90" s="246"/>
      <c r="BV90" s="246"/>
      <c r="BW90" s="114"/>
      <c r="BX90" s="246"/>
      <c r="BZ90" s="114"/>
      <c r="CA90" s="246"/>
      <c r="CC90" s="114"/>
      <c r="CE90"/>
    </row>
    <row r="91" spans="1:83" ht="13.5" thickBot="1">
      <c r="A91" s="106" t="s">
        <v>490</v>
      </c>
      <c r="C91"/>
      <c r="D91"/>
      <c r="E91"/>
      <c r="F91" s="106" t="s">
        <v>604</v>
      </c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</row>
    <row r="92" spans="1:83">
      <c r="B92" s="106" t="s">
        <v>415</v>
      </c>
      <c r="C92"/>
      <c r="D92"/>
      <c r="E92"/>
      <c r="F92" s="563">
        <v>2.2254999999999998</v>
      </c>
      <c r="G92" s="246">
        <f>F92</f>
        <v>2.2254999999999998</v>
      </c>
      <c r="H92" s="246">
        <f>G92</f>
        <v>2.2254999999999998</v>
      </c>
      <c r="I92" s="563">
        <v>3.1993999999999998</v>
      </c>
      <c r="J92" s="246">
        <f>I92</f>
        <v>3.1993999999999998</v>
      </c>
      <c r="K92" s="246">
        <f>J92</f>
        <v>3.1993999999999998</v>
      </c>
      <c r="L92" s="563">
        <f t="shared" ref="L92" si="665">+L84</f>
        <v>3.0808557934427783</v>
      </c>
      <c r="M92" s="246">
        <f t="shared" ref="M92:M93" si="666">L92</f>
        <v>3.0808557934427783</v>
      </c>
      <c r="N92" s="246">
        <f t="shared" ref="N92:N93" si="667">M92</f>
        <v>3.0808557934427783</v>
      </c>
      <c r="O92" s="563">
        <f t="shared" ref="O92" si="668">+O84</f>
        <v>3.1287459514485132</v>
      </c>
      <c r="P92" s="246">
        <f t="shared" ref="P92:P93" si="669">O92</f>
        <v>3.1287459514485132</v>
      </c>
      <c r="Q92" s="246">
        <f t="shared" ref="Q92:Q93" si="670">P92</f>
        <v>3.1287459514485132</v>
      </c>
      <c r="R92" s="563">
        <f t="shared" ref="R92" si="671">+R84</f>
        <v>3.4806225145587706</v>
      </c>
      <c r="S92" s="246">
        <f t="shared" ref="S92:S93" si="672">R92</f>
        <v>3.4806225145587706</v>
      </c>
      <c r="T92" s="246">
        <f t="shared" ref="T92:T93" si="673">S92</f>
        <v>3.4806225145587706</v>
      </c>
      <c r="U92" s="563">
        <f t="shared" ref="U92" si="674">+U84</f>
        <v>3.8464021719032098</v>
      </c>
      <c r="V92" s="246">
        <f t="shared" ref="V92:V93" si="675">U92</f>
        <v>3.8464021719032098</v>
      </c>
      <c r="W92" s="246">
        <f t="shared" ref="W92:W93" si="676">V92</f>
        <v>3.8464021719032098</v>
      </c>
      <c r="X92" s="563">
        <f t="shared" ref="X92" si="677">+X84</f>
        <v>3.8772721632928526</v>
      </c>
      <c r="Y92" s="246">
        <f t="shared" ref="Y92:Y93" si="678">X92</f>
        <v>3.8772721632928526</v>
      </c>
      <c r="Z92" s="246">
        <f t="shared" ref="Z92:Z93" si="679">Y92</f>
        <v>3.8772721632928526</v>
      </c>
      <c r="AA92" s="563">
        <f t="shared" ref="AA92" si="680">+AA84</f>
        <v>3.4412310059405384</v>
      </c>
      <c r="AB92" s="246">
        <f t="shared" ref="AB92:AB93" si="681">AA92</f>
        <v>3.4412310059405384</v>
      </c>
      <c r="AC92" s="246">
        <f t="shared" ref="AC92:AC93" si="682">AB92</f>
        <v>3.4412310059405384</v>
      </c>
      <c r="AD92" s="563">
        <f t="shared" ref="AD92" si="683">+AD84</f>
        <v>3.8428210242423866</v>
      </c>
      <c r="AE92" s="246">
        <f t="shared" ref="AE92:AE93" si="684">AD92</f>
        <v>3.8428210242423866</v>
      </c>
      <c r="AF92" s="246">
        <f t="shared" ref="AF92:AF93" si="685">AE92</f>
        <v>3.8428210242423866</v>
      </c>
      <c r="AG92" s="563">
        <f t="shared" ref="AG92" si="686">+AG84</f>
        <v>4.064083036028288</v>
      </c>
      <c r="AH92" s="246">
        <f t="shared" ref="AH92:AH93" si="687">AG92</f>
        <v>4.064083036028288</v>
      </c>
      <c r="AI92" s="246">
        <f t="shared" ref="AI92:AI93" si="688">AH92</f>
        <v>4.064083036028288</v>
      </c>
      <c r="AJ92" s="563">
        <f t="shared" ref="AJ92" si="689">+AJ84</f>
        <v>4.0679750736776699</v>
      </c>
      <c r="AK92" s="246">
        <f t="shared" ref="AK92:AK93" si="690">AJ92</f>
        <v>4.0679750736776699</v>
      </c>
      <c r="AL92" s="246">
        <f t="shared" ref="AL92:AL93" si="691">AK92</f>
        <v>4.0679750736776699</v>
      </c>
      <c r="AM92" s="563">
        <f t="shared" ref="AM92" si="692">+AM84</f>
        <v>3.5891156682432714</v>
      </c>
      <c r="AN92" s="246">
        <f t="shared" ref="AN92:AN93" si="693">AM92</f>
        <v>3.5891156682432714</v>
      </c>
      <c r="AO92" s="246">
        <f t="shared" ref="AO92:AO93" si="694">AN92</f>
        <v>3.5891156682432714</v>
      </c>
      <c r="AP92" s="563">
        <f t="shared" ref="AP92" si="695">+AP84</f>
        <v>3.8072451317738074</v>
      </c>
      <c r="AQ92" s="246">
        <f t="shared" ref="AQ92:AQ93" si="696">AP92</f>
        <v>3.8072451317738074</v>
      </c>
      <c r="AR92" s="246">
        <f t="shared" ref="AR92:AR93" si="697">AQ92</f>
        <v>3.8072451317738074</v>
      </c>
      <c r="AS92" s="563">
        <f t="shared" ref="AS92" si="698">+AS84</f>
        <v>4.0304491685067152</v>
      </c>
      <c r="AT92" s="246">
        <f t="shared" ref="AT92:AT93" si="699">AS92</f>
        <v>4.0304491685067152</v>
      </c>
      <c r="AU92" s="246">
        <f t="shared" ref="AU92:AU93" si="700">AT92</f>
        <v>4.0304491685067152</v>
      </c>
      <c r="AV92" s="563">
        <f t="shared" ref="AV92" si="701">+AV84</f>
        <v>4.052778796803568</v>
      </c>
      <c r="AW92" s="246">
        <f t="shared" ref="AW92:AW93" si="702">AV92</f>
        <v>4.052778796803568</v>
      </c>
      <c r="AX92" s="246">
        <f t="shared" ref="AX92:AX93" si="703">AW92</f>
        <v>4.052778796803568</v>
      </c>
      <c r="AY92" s="563">
        <f t="shared" ref="AY92" si="704">+AY84</f>
        <v>3.5577021062375453</v>
      </c>
      <c r="AZ92" s="246">
        <f t="shared" ref="AZ92:AZ93" si="705">AY92</f>
        <v>3.5577021062375453</v>
      </c>
      <c r="BA92" s="246">
        <f t="shared" ref="BA92:BA93" si="706">AZ92</f>
        <v>3.5577021062375453</v>
      </c>
      <c r="BB92" s="563">
        <f t="shared" ref="BB92" si="707">+BB84</f>
        <v>3.7114669909893792</v>
      </c>
      <c r="BC92" s="246">
        <f t="shared" ref="BC92:BC93" si="708">BB92</f>
        <v>3.7114669909893792</v>
      </c>
      <c r="BD92" s="246">
        <f t="shared" ref="BD92:BD93" si="709">BC92</f>
        <v>3.7114669909893792</v>
      </c>
      <c r="BE92" s="563">
        <f t="shared" ref="BE92" si="710">+BE84</f>
        <v>3.9427216319075291</v>
      </c>
      <c r="BF92" s="246">
        <f t="shared" ref="BF92:BF93" si="711">BE92</f>
        <v>3.9427216319075291</v>
      </c>
      <c r="BG92" s="246">
        <f t="shared" ref="BG92:BG93" si="712">BF92</f>
        <v>3.9427216319075291</v>
      </c>
      <c r="BH92" s="563">
        <f t="shared" ref="BH92" si="713">+BH84</f>
        <v>3.9929814107171704</v>
      </c>
      <c r="BI92" s="246">
        <f t="shared" ref="BI92:BI93" si="714">BH92</f>
        <v>3.9929814107171704</v>
      </c>
      <c r="BJ92" s="246">
        <f t="shared" ref="BJ92:BJ93" si="715">BI92</f>
        <v>3.9929814107171704</v>
      </c>
      <c r="BK92" s="563">
        <f t="shared" ref="BK92" si="716">+BK84</f>
        <v>3.5086611520571771</v>
      </c>
      <c r="BL92" s="246">
        <f t="shared" ref="BL92:BL93" si="717">BK92</f>
        <v>3.5086611520571771</v>
      </c>
      <c r="BM92" s="246">
        <f t="shared" ref="BM92:BM93" si="718">BL92</f>
        <v>3.5086611520571771</v>
      </c>
      <c r="BN92" s="563">
        <f t="shared" ref="BN92" si="719">+BN84</f>
        <v>3.6930000583411045</v>
      </c>
      <c r="BO92" s="246">
        <f t="shared" ref="BO92:BO93" si="720">BN92</f>
        <v>3.6930000583411045</v>
      </c>
      <c r="BP92" s="246">
        <f t="shared" ref="BP92:BP93" si="721">BO92</f>
        <v>3.6930000583411045</v>
      </c>
      <c r="BQ92" s="563">
        <f t="shared" ref="BQ92" si="722">+BQ84</f>
        <v>3.9355697855735166</v>
      </c>
      <c r="BR92" s="246">
        <f t="shared" ref="BR92:BR93" si="723">BQ92</f>
        <v>3.9355697855735166</v>
      </c>
      <c r="BS92" s="246">
        <f t="shared" ref="BS92:BS93" si="724">BR92</f>
        <v>3.9355697855735166</v>
      </c>
      <c r="BT92" s="563">
        <f t="shared" ref="BT92" si="725">+BT84</f>
        <v>3.9268102477389548</v>
      </c>
      <c r="BU92" s="246">
        <f t="shared" ref="BU92:BU93" si="726">BT92</f>
        <v>3.9268102477389548</v>
      </c>
      <c r="BV92" s="246">
        <f t="shared" ref="BV92:BV93" si="727">BU92</f>
        <v>3.9268102477389548</v>
      </c>
      <c r="BW92" s="563">
        <f t="shared" ref="BW92" si="728">+BW84</f>
        <v>3.4142960552352806</v>
      </c>
      <c r="BX92" s="246">
        <f t="shared" ref="BX92:BX93" si="729">BW92</f>
        <v>3.4142960552352806</v>
      </c>
      <c r="BY92" s="246">
        <f t="shared" ref="BY92:BY93" si="730">BX92</f>
        <v>3.4142960552352806</v>
      </c>
      <c r="BZ92" s="563">
        <f t="shared" ref="BZ92" si="731">+BZ84</f>
        <v>3.539608530659232</v>
      </c>
      <c r="CA92" s="246">
        <f t="shared" ref="CA92:CA93" si="732">BZ92</f>
        <v>3.539608530659232</v>
      </c>
      <c r="CB92" s="246">
        <f t="shared" ref="CB92:CB93" si="733">CA92</f>
        <v>3.539608530659232</v>
      </c>
      <c r="CC92" s="563">
        <f>CB92</f>
        <v>3.539608530659232</v>
      </c>
      <c r="CD92"/>
      <c r="CE92" s="114"/>
    </row>
    <row r="93" spans="1:83">
      <c r="B93" s="106" t="s">
        <v>416</v>
      </c>
      <c r="C93"/>
      <c r="D93"/>
      <c r="E93"/>
      <c r="F93" s="360">
        <v>1.3554999999999999</v>
      </c>
      <c r="G93" s="246">
        <f t="shared" ref="G93:G103" si="734">F93</f>
        <v>1.3554999999999999</v>
      </c>
      <c r="H93" s="246">
        <f t="shared" ref="H93:H103" si="735">G93</f>
        <v>1.3554999999999999</v>
      </c>
      <c r="I93" s="360">
        <v>1.3531</v>
      </c>
      <c r="J93" s="246">
        <f t="shared" ref="J93:J103" si="736">I93</f>
        <v>1.3531</v>
      </c>
      <c r="K93" s="246">
        <f t="shared" ref="K93:K103" si="737">J93</f>
        <v>1.3531</v>
      </c>
      <c r="L93" s="360">
        <f t="shared" ref="L93" si="738">L86</f>
        <v>0</v>
      </c>
      <c r="M93" s="246">
        <f t="shared" si="666"/>
        <v>0</v>
      </c>
      <c r="N93" s="246">
        <f t="shared" si="667"/>
        <v>0</v>
      </c>
      <c r="O93" s="360">
        <f t="shared" ref="O93" si="739">O86</f>
        <v>1.2845457095252448</v>
      </c>
      <c r="P93" s="246">
        <f t="shared" si="669"/>
        <v>1.2845457095252448</v>
      </c>
      <c r="Q93" s="246">
        <f t="shared" si="670"/>
        <v>1.2845457095252448</v>
      </c>
      <c r="R93" s="360">
        <f t="shared" ref="R93" si="740">R86</f>
        <v>1.2845457095252448</v>
      </c>
      <c r="S93" s="246">
        <f t="shared" si="672"/>
        <v>1.2845457095252448</v>
      </c>
      <c r="T93" s="246">
        <f t="shared" si="673"/>
        <v>1.2845457095252448</v>
      </c>
      <c r="U93" s="360">
        <f t="shared" ref="U93" si="741">U86</f>
        <v>1.2845457095252448</v>
      </c>
      <c r="V93" s="246">
        <f t="shared" si="675"/>
        <v>1.2845457095252448</v>
      </c>
      <c r="W93" s="246">
        <f t="shared" si="676"/>
        <v>1.2845457095252448</v>
      </c>
      <c r="X93" s="360">
        <f t="shared" ref="X93" si="742">X86</f>
        <v>1.2845457095252448</v>
      </c>
      <c r="Y93" s="246">
        <f t="shared" si="678"/>
        <v>1.2845457095252448</v>
      </c>
      <c r="Z93" s="246">
        <f t="shared" si="679"/>
        <v>1.2845457095252448</v>
      </c>
      <c r="AA93" s="360">
        <f t="shared" ref="AA93" si="743">AA86</f>
        <v>1.2834027141527058</v>
      </c>
      <c r="AB93" s="246">
        <f t="shared" si="681"/>
        <v>1.2834027141527058</v>
      </c>
      <c r="AC93" s="246">
        <f t="shared" si="682"/>
        <v>1.2834027141527058</v>
      </c>
      <c r="AD93" s="360">
        <f t="shared" ref="AD93" si="744">AD86</f>
        <v>1.2834027141527058</v>
      </c>
      <c r="AE93" s="246">
        <f t="shared" si="684"/>
        <v>1.2834027141527058</v>
      </c>
      <c r="AF93" s="246">
        <f t="shared" si="685"/>
        <v>1.2834027141527058</v>
      </c>
      <c r="AG93" s="360">
        <f t="shared" ref="AG93" si="745">AG86</f>
        <v>1.2834027141527058</v>
      </c>
      <c r="AH93" s="246">
        <f t="shared" si="687"/>
        <v>1.2834027141527058</v>
      </c>
      <c r="AI93" s="246">
        <f t="shared" si="688"/>
        <v>1.2834027141527058</v>
      </c>
      <c r="AJ93" s="360">
        <f t="shared" ref="AJ93" si="746">AJ86</f>
        <v>1.2834027141527058</v>
      </c>
      <c r="AK93" s="246">
        <f t="shared" si="690"/>
        <v>1.2834027141527058</v>
      </c>
      <c r="AL93" s="246">
        <f t="shared" si="691"/>
        <v>1.2834027141527058</v>
      </c>
      <c r="AM93" s="360">
        <f t="shared" ref="AM93" si="747">AM86</f>
        <v>1.2822617367458997</v>
      </c>
      <c r="AN93" s="246">
        <f t="shared" si="693"/>
        <v>1.2822617367458997</v>
      </c>
      <c r="AO93" s="246">
        <f t="shared" si="694"/>
        <v>1.2822617367458997</v>
      </c>
      <c r="AP93" s="360">
        <f t="shared" ref="AP93" si="748">AP86</f>
        <v>1.2822617367458997</v>
      </c>
      <c r="AQ93" s="246">
        <f t="shared" si="696"/>
        <v>1.2822617367458997</v>
      </c>
      <c r="AR93" s="246">
        <f t="shared" si="697"/>
        <v>1.2822617367458997</v>
      </c>
      <c r="AS93" s="360">
        <f t="shared" ref="AS93" si="749">AS86</f>
        <v>1.2822617367458997</v>
      </c>
      <c r="AT93" s="246">
        <f t="shared" si="699"/>
        <v>1.2822617367458997</v>
      </c>
      <c r="AU93" s="246">
        <f t="shared" si="700"/>
        <v>1.2822617367458997</v>
      </c>
      <c r="AV93" s="360">
        <f t="shared" ref="AV93" si="750">AV86</f>
        <v>1.2822617367458997</v>
      </c>
      <c r="AW93" s="246">
        <f t="shared" si="702"/>
        <v>1.2822617367458997</v>
      </c>
      <c r="AX93" s="246">
        <f t="shared" si="703"/>
        <v>1.2822617367458997</v>
      </c>
      <c r="AY93" s="360">
        <f t="shared" ref="AY93" si="751">AY86</f>
        <v>1.2811230742616493</v>
      </c>
      <c r="AZ93" s="246">
        <f t="shared" si="705"/>
        <v>1.2811230742616493</v>
      </c>
      <c r="BA93" s="246">
        <f t="shared" si="706"/>
        <v>1.2811230742616493</v>
      </c>
      <c r="BB93" s="360">
        <f t="shared" ref="BB93" si="752">BB86</f>
        <v>1.2811230742616493</v>
      </c>
      <c r="BC93" s="246">
        <f t="shared" si="708"/>
        <v>1.2811230742616493</v>
      </c>
      <c r="BD93" s="246">
        <f t="shared" si="709"/>
        <v>1.2811230742616493</v>
      </c>
      <c r="BE93" s="360">
        <f t="shared" ref="BE93" si="753">BE86</f>
        <v>1.2811230742616493</v>
      </c>
      <c r="BF93" s="246">
        <f t="shared" si="711"/>
        <v>1.2811230742616493</v>
      </c>
      <c r="BG93" s="246">
        <f t="shared" si="712"/>
        <v>1.2811230742616493</v>
      </c>
      <c r="BH93" s="360">
        <f t="shared" ref="BH93" si="754">BH86</f>
        <v>1.2811230742616493</v>
      </c>
      <c r="BI93" s="246">
        <f t="shared" si="714"/>
        <v>1.2811230742616493</v>
      </c>
      <c r="BJ93" s="246">
        <f t="shared" si="715"/>
        <v>1.2811230742616493</v>
      </c>
      <c r="BK93" s="360">
        <f t="shared" ref="BK93" si="755">BK86</f>
        <v>1.2799862599848888</v>
      </c>
      <c r="BL93" s="246">
        <f t="shared" si="717"/>
        <v>1.2799862599848888</v>
      </c>
      <c r="BM93" s="246">
        <f t="shared" si="718"/>
        <v>1.2799862599848888</v>
      </c>
      <c r="BN93" s="360">
        <f t="shared" ref="BN93" si="756">BN86</f>
        <v>1.2799862599848888</v>
      </c>
      <c r="BO93" s="246">
        <f t="shared" si="720"/>
        <v>1.2799862599848888</v>
      </c>
      <c r="BP93" s="246">
        <f t="shared" si="721"/>
        <v>1.2799862599848888</v>
      </c>
      <c r="BQ93" s="360">
        <f t="shared" ref="BQ93" si="757">BQ86</f>
        <v>1.2799862599848888</v>
      </c>
      <c r="BR93" s="246">
        <f t="shared" si="723"/>
        <v>1.2799862599848888</v>
      </c>
      <c r="BS93" s="246">
        <f t="shared" si="724"/>
        <v>1.2799862599848888</v>
      </c>
      <c r="BT93" s="360">
        <f t="shared" ref="BT93" si="758">BT86</f>
        <v>1.2799862599848888</v>
      </c>
      <c r="BU93" s="246">
        <f t="shared" si="726"/>
        <v>1.2799862599848888</v>
      </c>
      <c r="BV93" s="246">
        <f t="shared" si="727"/>
        <v>1.2799862599848888</v>
      </c>
      <c r="BW93" s="360">
        <f t="shared" ref="BW93" si="759">BW86</f>
        <v>4.2765361952562833</v>
      </c>
      <c r="BX93" s="246">
        <f t="shared" si="729"/>
        <v>4.2765361952562833</v>
      </c>
      <c r="BY93" s="246">
        <f t="shared" si="730"/>
        <v>4.2765361952562833</v>
      </c>
      <c r="BZ93" s="360">
        <f t="shared" ref="BZ93" si="760">BZ86</f>
        <v>4.2765361952562833</v>
      </c>
      <c r="CA93" s="246">
        <f t="shared" si="732"/>
        <v>4.2765361952562833</v>
      </c>
      <c r="CB93" s="246">
        <f t="shared" si="733"/>
        <v>4.2765361952562833</v>
      </c>
      <c r="CC93" s="360">
        <f t="shared" ref="CC93:CC103" si="761">CB93</f>
        <v>4.2765361952562833</v>
      </c>
      <c r="CD93"/>
      <c r="CE93" s="114"/>
    </row>
    <row r="94" spans="1:83">
      <c r="B94" s="106" t="s">
        <v>417</v>
      </c>
      <c r="C94"/>
      <c r="D94"/>
      <c r="E94"/>
      <c r="F94" s="360">
        <v>-0.52159999999999995</v>
      </c>
      <c r="G94" s="246">
        <f t="shared" si="734"/>
        <v>-0.52159999999999995</v>
      </c>
      <c r="H94" s="246">
        <f t="shared" si="735"/>
        <v>-0.52159999999999995</v>
      </c>
      <c r="I94" s="360">
        <v>-0.63900000000000001</v>
      </c>
      <c r="J94" s="246">
        <f t="shared" si="736"/>
        <v>-0.63900000000000001</v>
      </c>
      <c r="K94" s="246">
        <f t="shared" si="737"/>
        <v>-0.63900000000000001</v>
      </c>
      <c r="L94" s="360">
        <v>0</v>
      </c>
      <c r="M94" s="246">
        <v>0</v>
      </c>
      <c r="N94" s="246">
        <v>0</v>
      </c>
      <c r="O94" s="360">
        <v>0</v>
      </c>
      <c r="P94" s="246">
        <v>0</v>
      </c>
      <c r="Q94" s="246">
        <v>0</v>
      </c>
      <c r="R94" s="360">
        <v>0</v>
      </c>
      <c r="S94" s="246">
        <v>0</v>
      </c>
      <c r="T94" s="246">
        <v>0</v>
      </c>
      <c r="U94" s="360">
        <v>0</v>
      </c>
      <c r="V94" s="246">
        <v>0</v>
      </c>
      <c r="W94" s="246">
        <v>0</v>
      </c>
      <c r="X94" s="360">
        <v>0</v>
      </c>
      <c r="Y94" s="246">
        <v>0</v>
      </c>
      <c r="Z94" s="246">
        <v>0</v>
      </c>
      <c r="AA94" s="360">
        <v>0</v>
      </c>
      <c r="AB94" s="246">
        <v>0</v>
      </c>
      <c r="AC94" s="246">
        <v>0</v>
      </c>
      <c r="AD94" s="360">
        <v>0</v>
      </c>
      <c r="AE94" s="246">
        <v>0</v>
      </c>
      <c r="AF94" s="246">
        <v>0</v>
      </c>
      <c r="AG94" s="360">
        <v>0</v>
      </c>
      <c r="AH94" s="246">
        <v>0</v>
      </c>
      <c r="AI94" s="246">
        <v>0</v>
      </c>
      <c r="AJ94" s="360">
        <v>0</v>
      </c>
      <c r="AK94" s="246">
        <v>0</v>
      </c>
      <c r="AL94" s="246">
        <v>0</v>
      </c>
      <c r="AM94" s="360">
        <v>0</v>
      </c>
      <c r="AN94" s="246">
        <v>0</v>
      </c>
      <c r="AO94" s="246">
        <v>0</v>
      </c>
      <c r="AP94" s="360">
        <v>0</v>
      </c>
      <c r="AQ94" s="246">
        <v>0</v>
      </c>
      <c r="AR94" s="246">
        <v>0</v>
      </c>
      <c r="AS94" s="360">
        <v>0</v>
      </c>
      <c r="AT94" s="246">
        <v>0</v>
      </c>
      <c r="AU94" s="246">
        <v>0</v>
      </c>
      <c r="AV94" s="360">
        <v>0</v>
      </c>
      <c r="AW94" s="246">
        <v>0</v>
      </c>
      <c r="AX94" s="246">
        <v>0</v>
      </c>
      <c r="AY94" s="360">
        <v>0</v>
      </c>
      <c r="AZ94" s="246">
        <v>0</v>
      </c>
      <c r="BA94" s="246">
        <v>0</v>
      </c>
      <c r="BB94" s="360">
        <v>0</v>
      </c>
      <c r="BC94" s="246">
        <v>0</v>
      </c>
      <c r="BD94" s="246">
        <v>0</v>
      </c>
      <c r="BE94" s="360">
        <v>0</v>
      </c>
      <c r="BF94" s="246">
        <v>0</v>
      </c>
      <c r="BG94" s="246">
        <v>0</v>
      </c>
      <c r="BH94" s="360">
        <v>0</v>
      </c>
      <c r="BI94" s="246">
        <v>0</v>
      </c>
      <c r="BJ94" s="246">
        <v>0</v>
      </c>
      <c r="BK94" s="360">
        <v>0</v>
      </c>
      <c r="BL94" s="246">
        <v>0</v>
      </c>
      <c r="BM94" s="246">
        <v>0</v>
      </c>
      <c r="BN94" s="360">
        <v>0</v>
      </c>
      <c r="BO94" s="246">
        <v>0</v>
      </c>
      <c r="BP94" s="246">
        <v>0</v>
      </c>
      <c r="BQ94" s="360">
        <v>0</v>
      </c>
      <c r="BR94" s="246">
        <v>0</v>
      </c>
      <c r="BS94" s="246">
        <v>0</v>
      </c>
      <c r="BT94" s="360">
        <v>0</v>
      </c>
      <c r="BU94" s="246">
        <v>0</v>
      </c>
      <c r="BV94" s="246">
        <v>0</v>
      </c>
      <c r="BW94" s="360">
        <v>0</v>
      </c>
      <c r="BX94" s="246">
        <v>0</v>
      </c>
      <c r="BY94" s="246">
        <v>0</v>
      </c>
      <c r="BZ94" s="360">
        <v>0</v>
      </c>
      <c r="CA94" s="246">
        <v>0</v>
      </c>
      <c r="CB94" s="246">
        <v>0</v>
      </c>
      <c r="CC94" s="360">
        <f t="shared" si="761"/>
        <v>0</v>
      </c>
      <c r="CD94"/>
      <c r="CE94" s="114"/>
    </row>
    <row r="95" spans="1:83">
      <c r="B95" s="106" t="s">
        <v>418</v>
      </c>
      <c r="C95"/>
      <c r="D95"/>
      <c r="E95"/>
      <c r="F95" s="360"/>
      <c r="G95" s="246">
        <f t="shared" si="734"/>
        <v>0</v>
      </c>
      <c r="H95" s="246">
        <f t="shared" si="735"/>
        <v>0</v>
      </c>
      <c r="I95" s="360"/>
      <c r="J95" s="246">
        <f t="shared" si="736"/>
        <v>0</v>
      </c>
      <c r="K95" s="246">
        <f t="shared" si="737"/>
        <v>0</v>
      </c>
      <c r="L95" s="360">
        <f t="shared" ref="L95:L96" si="762">+K95</f>
        <v>0</v>
      </c>
      <c r="M95" s="246">
        <f t="shared" ref="M95:M103" si="763">L95</f>
        <v>0</v>
      </c>
      <c r="N95" s="246">
        <f t="shared" ref="N95:N103" si="764">M95</f>
        <v>0</v>
      </c>
      <c r="O95" s="360">
        <f t="shared" ref="O95:O96" si="765">+N95</f>
        <v>0</v>
      </c>
      <c r="P95" s="246">
        <f t="shared" ref="P95:P103" si="766">O95</f>
        <v>0</v>
      </c>
      <c r="Q95" s="246">
        <f t="shared" ref="Q95:Q103" si="767">P95</f>
        <v>0</v>
      </c>
      <c r="R95" s="360">
        <f t="shared" ref="R95:R96" si="768">+Q95</f>
        <v>0</v>
      </c>
      <c r="S95" s="246">
        <f t="shared" ref="S95:S103" si="769">R95</f>
        <v>0</v>
      </c>
      <c r="T95" s="246">
        <f t="shared" ref="T95:T103" si="770">S95</f>
        <v>0</v>
      </c>
      <c r="U95" s="360">
        <f t="shared" ref="U95:U96" si="771">+T95</f>
        <v>0</v>
      </c>
      <c r="V95" s="246">
        <f t="shared" ref="V95:V103" si="772">U95</f>
        <v>0</v>
      </c>
      <c r="W95" s="246">
        <f t="shared" ref="W95:W103" si="773">V95</f>
        <v>0</v>
      </c>
      <c r="X95" s="360">
        <f t="shared" ref="X95:X96" si="774">+W95</f>
        <v>0</v>
      </c>
      <c r="Y95" s="246">
        <f t="shared" ref="Y95:Y103" si="775">X95</f>
        <v>0</v>
      </c>
      <c r="Z95" s="246">
        <f t="shared" ref="Z95:Z103" si="776">Y95</f>
        <v>0</v>
      </c>
      <c r="AA95" s="360">
        <f t="shared" ref="AA95:AA96" si="777">+Z95</f>
        <v>0</v>
      </c>
      <c r="AB95" s="246">
        <f t="shared" ref="AB95:AB103" si="778">AA95</f>
        <v>0</v>
      </c>
      <c r="AC95" s="246">
        <f t="shared" ref="AC95:AC103" si="779">AB95</f>
        <v>0</v>
      </c>
      <c r="AD95" s="360">
        <f t="shared" ref="AD95:AD96" si="780">+AC95</f>
        <v>0</v>
      </c>
      <c r="AE95" s="246">
        <f t="shared" ref="AE95:AE103" si="781">AD95</f>
        <v>0</v>
      </c>
      <c r="AF95" s="246">
        <f t="shared" ref="AF95:AS103" si="782">AE95</f>
        <v>0</v>
      </c>
      <c r="AG95" s="360">
        <f t="shared" ref="AG95:AG96" si="783">+AF95</f>
        <v>0</v>
      </c>
      <c r="AH95" s="246">
        <f t="shared" ref="AH95:AH103" si="784">AG95</f>
        <v>0</v>
      </c>
      <c r="AI95" s="246">
        <f t="shared" ref="AI95:AV103" si="785">AH95</f>
        <v>0</v>
      </c>
      <c r="AJ95" s="360">
        <f t="shared" ref="AJ95:AJ96" si="786">+AI95</f>
        <v>0</v>
      </c>
      <c r="AK95" s="246">
        <f t="shared" ref="AK95:AK103" si="787">AJ95</f>
        <v>0</v>
      </c>
      <c r="AL95" s="246">
        <f t="shared" ref="AL95:AL103" si="788">AK95</f>
        <v>0</v>
      </c>
      <c r="AM95" s="360">
        <f t="shared" ref="AM95:AM96" si="789">+AL95</f>
        <v>0</v>
      </c>
      <c r="AN95" s="246">
        <f t="shared" ref="AN95:AN103" si="790">AM95</f>
        <v>0</v>
      </c>
      <c r="AO95" s="246">
        <f t="shared" ref="AO95:AO103" si="791">AN95</f>
        <v>0</v>
      </c>
      <c r="AP95" s="360">
        <f t="shared" ref="AP95:AP96" si="792">+AO95</f>
        <v>0</v>
      </c>
      <c r="AQ95" s="246">
        <f t="shared" ref="AQ95:AQ103" si="793">AP95</f>
        <v>0</v>
      </c>
      <c r="AR95" s="246">
        <f t="shared" ref="AR95:AR103" si="794">AQ95</f>
        <v>0</v>
      </c>
      <c r="AS95" s="360">
        <f t="shared" ref="AS95:AS96" si="795">+AR95</f>
        <v>0</v>
      </c>
      <c r="AT95" s="246">
        <f t="shared" ref="AT95:AT103" si="796">AS95</f>
        <v>0</v>
      </c>
      <c r="AU95" s="246">
        <f t="shared" ref="AU95:AU103" si="797">AT95</f>
        <v>0</v>
      </c>
      <c r="AV95" s="360">
        <f t="shared" ref="AV95:AV96" si="798">+AU95</f>
        <v>0</v>
      </c>
      <c r="AW95" s="246">
        <f t="shared" ref="AW95:AW103" si="799">AV95</f>
        <v>0</v>
      </c>
      <c r="AX95" s="246">
        <f t="shared" ref="AX95:AX103" si="800">AW95</f>
        <v>0</v>
      </c>
      <c r="AY95" s="360">
        <f t="shared" ref="AY95:AY96" si="801">+AX95</f>
        <v>0</v>
      </c>
      <c r="AZ95" s="246">
        <f t="shared" ref="AZ95:AZ103" si="802">AY95</f>
        <v>0</v>
      </c>
      <c r="BA95" s="246">
        <f t="shared" ref="BA95:BA103" si="803">AZ95</f>
        <v>0</v>
      </c>
      <c r="BB95" s="360">
        <f t="shared" ref="BB95:BB96" si="804">+BA95</f>
        <v>0</v>
      </c>
      <c r="BC95" s="246">
        <f t="shared" ref="BC95:BC103" si="805">BB95</f>
        <v>0</v>
      </c>
      <c r="BD95" s="246">
        <f t="shared" ref="BD95:BQ103" si="806">BC95</f>
        <v>0</v>
      </c>
      <c r="BE95" s="360">
        <f t="shared" ref="BE95:BE96" si="807">+BD95</f>
        <v>0</v>
      </c>
      <c r="BF95" s="246">
        <f t="shared" ref="BF95:BF103" si="808">BE95</f>
        <v>0</v>
      </c>
      <c r="BG95" s="246">
        <f t="shared" ref="BG95:BT103" si="809">BF95</f>
        <v>0</v>
      </c>
      <c r="BH95" s="360">
        <f t="shared" ref="BH95:BH96" si="810">+BG95</f>
        <v>0</v>
      </c>
      <c r="BI95" s="246">
        <f t="shared" ref="BI95:BI103" si="811">BH95</f>
        <v>0</v>
      </c>
      <c r="BJ95" s="246">
        <f t="shared" ref="BJ95:BJ103" si="812">BI95</f>
        <v>0</v>
      </c>
      <c r="BK95" s="360">
        <f t="shared" ref="BK95:BK96" si="813">+BJ95</f>
        <v>0</v>
      </c>
      <c r="BL95" s="246">
        <f t="shared" ref="BL95:BL103" si="814">BK95</f>
        <v>0</v>
      </c>
      <c r="BM95" s="246">
        <f t="shared" ref="BM95:BM103" si="815">BL95</f>
        <v>0</v>
      </c>
      <c r="BN95" s="360">
        <f t="shared" ref="BN95:BN96" si="816">+BM95</f>
        <v>0</v>
      </c>
      <c r="BO95" s="246">
        <f t="shared" ref="BO95:BO103" si="817">BN95</f>
        <v>0</v>
      </c>
      <c r="BP95" s="246">
        <f t="shared" ref="BP95:BP103" si="818">BO95</f>
        <v>0</v>
      </c>
      <c r="BQ95" s="360">
        <f t="shared" ref="BQ95:BQ96" si="819">+BP95</f>
        <v>0</v>
      </c>
      <c r="BR95" s="246">
        <f t="shared" ref="BR95:BR103" si="820">BQ95</f>
        <v>0</v>
      </c>
      <c r="BS95" s="246">
        <f t="shared" ref="BS95:BS103" si="821">BR95</f>
        <v>0</v>
      </c>
      <c r="BT95" s="360">
        <f t="shared" ref="BT95:BT96" si="822">+BS95</f>
        <v>0</v>
      </c>
      <c r="BU95" s="246">
        <f t="shared" ref="BU95:BU103" si="823">BT95</f>
        <v>0</v>
      </c>
      <c r="BV95" s="246">
        <f t="shared" ref="BV95:BV103" si="824">BU95</f>
        <v>0</v>
      </c>
      <c r="BW95" s="360">
        <f t="shared" ref="BW95:BW96" si="825">+BV95</f>
        <v>0</v>
      </c>
      <c r="BX95" s="246">
        <f t="shared" ref="BX95:BX103" si="826">BW95</f>
        <v>0</v>
      </c>
      <c r="BY95" s="246">
        <f t="shared" ref="BY95:BY103" si="827">BX95</f>
        <v>0</v>
      </c>
      <c r="BZ95" s="360">
        <f t="shared" ref="BZ95:BZ96" si="828">+BY95</f>
        <v>0</v>
      </c>
      <c r="CA95" s="246">
        <f t="shared" ref="CA95:CA103" si="829">BZ95</f>
        <v>0</v>
      </c>
      <c r="CB95" s="246">
        <f t="shared" ref="CB95:CB103" si="830">CA95</f>
        <v>0</v>
      </c>
      <c r="CC95" s="360">
        <f t="shared" si="761"/>
        <v>0</v>
      </c>
      <c r="CD95"/>
      <c r="CE95" s="114"/>
    </row>
    <row r="96" spans="1:83">
      <c r="B96" s="106" t="s">
        <v>419</v>
      </c>
      <c r="C96"/>
      <c r="D96"/>
      <c r="E96"/>
      <c r="F96" s="360">
        <v>0.16800000000000001</v>
      </c>
      <c r="G96" s="246">
        <f t="shared" si="734"/>
        <v>0.16800000000000001</v>
      </c>
      <c r="H96" s="246">
        <f t="shared" si="735"/>
        <v>0.16800000000000001</v>
      </c>
      <c r="I96" s="360">
        <v>0.16800000000000001</v>
      </c>
      <c r="J96" s="246">
        <f t="shared" si="736"/>
        <v>0.16800000000000001</v>
      </c>
      <c r="K96" s="246">
        <f t="shared" si="737"/>
        <v>0.16800000000000001</v>
      </c>
      <c r="L96" s="360">
        <f t="shared" si="762"/>
        <v>0.16800000000000001</v>
      </c>
      <c r="M96" s="246">
        <f t="shared" si="763"/>
        <v>0.16800000000000001</v>
      </c>
      <c r="N96" s="246">
        <f t="shared" si="764"/>
        <v>0.16800000000000001</v>
      </c>
      <c r="O96" s="360">
        <f t="shared" si="765"/>
        <v>0.16800000000000001</v>
      </c>
      <c r="P96" s="246">
        <f t="shared" si="766"/>
        <v>0.16800000000000001</v>
      </c>
      <c r="Q96" s="246">
        <f t="shared" si="767"/>
        <v>0.16800000000000001</v>
      </c>
      <c r="R96" s="360">
        <f t="shared" si="768"/>
        <v>0.16800000000000001</v>
      </c>
      <c r="S96" s="246">
        <f t="shared" si="769"/>
        <v>0.16800000000000001</v>
      </c>
      <c r="T96" s="246">
        <f t="shared" si="770"/>
        <v>0.16800000000000001</v>
      </c>
      <c r="U96" s="360">
        <f t="shared" si="771"/>
        <v>0.16800000000000001</v>
      </c>
      <c r="V96" s="246">
        <f t="shared" si="772"/>
        <v>0.16800000000000001</v>
      </c>
      <c r="W96" s="246">
        <f t="shared" si="773"/>
        <v>0.16800000000000001</v>
      </c>
      <c r="X96" s="360">
        <f t="shared" si="774"/>
        <v>0.16800000000000001</v>
      </c>
      <c r="Y96" s="246">
        <f t="shared" si="775"/>
        <v>0.16800000000000001</v>
      </c>
      <c r="Z96" s="246">
        <f t="shared" si="776"/>
        <v>0.16800000000000001</v>
      </c>
      <c r="AA96" s="360">
        <f t="shared" si="777"/>
        <v>0.16800000000000001</v>
      </c>
      <c r="AB96" s="246">
        <f t="shared" si="778"/>
        <v>0.16800000000000001</v>
      </c>
      <c r="AC96" s="246">
        <f t="shared" si="779"/>
        <v>0.16800000000000001</v>
      </c>
      <c r="AD96" s="360">
        <f t="shared" si="780"/>
        <v>0.16800000000000001</v>
      </c>
      <c r="AE96" s="246">
        <f t="shared" si="781"/>
        <v>0.16800000000000001</v>
      </c>
      <c r="AF96" s="246">
        <f t="shared" si="782"/>
        <v>0.16800000000000001</v>
      </c>
      <c r="AG96" s="360">
        <f t="shared" si="783"/>
        <v>0.16800000000000001</v>
      </c>
      <c r="AH96" s="246">
        <f t="shared" si="784"/>
        <v>0.16800000000000001</v>
      </c>
      <c r="AI96" s="246">
        <f t="shared" si="785"/>
        <v>0.16800000000000001</v>
      </c>
      <c r="AJ96" s="360">
        <f t="shared" si="786"/>
        <v>0.16800000000000001</v>
      </c>
      <c r="AK96" s="246">
        <f t="shared" si="787"/>
        <v>0.16800000000000001</v>
      </c>
      <c r="AL96" s="246">
        <f t="shared" si="788"/>
        <v>0.16800000000000001</v>
      </c>
      <c r="AM96" s="360">
        <f t="shared" si="789"/>
        <v>0.16800000000000001</v>
      </c>
      <c r="AN96" s="246">
        <f t="shared" si="790"/>
        <v>0.16800000000000001</v>
      </c>
      <c r="AO96" s="246">
        <f t="shared" si="791"/>
        <v>0.16800000000000001</v>
      </c>
      <c r="AP96" s="360">
        <f t="shared" si="792"/>
        <v>0.16800000000000001</v>
      </c>
      <c r="AQ96" s="246">
        <f t="shared" si="793"/>
        <v>0.16800000000000001</v>
      </c>
      <c r="AR96" s="246">
        <f t="shared" si="794"/>
        <v>0.16800000000000001</v>
      </c>
      <c r="AS96" s="360">
        <f t="shared" si="795"/>
        <v>0.16800000000000001</v>
      </c>
      <c r="AT96" s="246">
        <f t="shared" si="796"/>
        <v>0.16800000000000001</v>
      </c>
      <c r="AU96" s="246">
        <f t="shared" si="797"/>
        <v>0.16800000000000001</v>
      </c>
      <c r="AV96" s="360">
        <f t="shared" si="798"/>
        <v>0.16800000000000001</v>
      </c>
      <c r="AW96" s="246">
        <f t="shared" si="799"/>
        <v>0.16800000000000001</v>
      </c>
      <c r="AX96" s="246">
        <f t="shared" si="800"/>
        <v>0.16800000000000001</v>
      </c>
      <c r="AY96" s="360">
        <f t="shared" si="801"/>
        <v>0.16800000000000001</v>
      </c>
      <c r="AZ96" s="246">
        <f t="shared" si="802"/>
        <v>0.16800000000000001</v>
      </c>
      <c r="BA96" s="246">
        <f t="shared" si="803"/>
        <v>0.16800000000000001</v>
      </c>
      <c r="BB96" s="360">
        <f t="shared" si="804"/>
        <v>0.16800000000000001</v>
      </c>
      <c r="BC96" s="246">
        <f t="shared" si="805"/>
        <v>0.16800000000000001</v>
      </c>
      <c r="BD96" s="246">
        <f t="shared" si="806"/>
        <v>0.16800000000000001</v>
      </c>
      <c r="BE96" s="360">
        <f t="shared" si="807"/>
        <v>0.16800000000000001</v>
      </c>
      <c r="BF96" s="246">
        <f t="shared" si="808"/>
        <v>0.16800000000000001</v>
      </c>
      <c r="BG96" s="246">
        <f t="shared" si="809"/>
        <v>0.16800000000000001</v>
      </c>
      <c r="BH96" s="360">
        <f t="shared" si="810"/>
        <v>0.16800000000000001</v>
      </c>
      <c r="BI96" s="246">
        <f t="shared" si="811"/>
        <v>0.16800000000000001</v>
      </c>
      <c r="BJ96" s="246">
        <f t="shared" si="812"/>
        <v>0.16800000000000001</v>
      </c>
      <c r="BK96" s="360">
        <f t="shared" si="813"/>
        <v>0.16800000000000001</v>
      </c>
      <c r="BL96" s="246">
        <f t="shared" si="814"/>
        <v>0.16800000000000001</v>
      </c>
      <c r="BM96" s="246">
        <f t="shared" si="815"/>
        <v>0.16800000000000001</v>
      </c>
      <c r="BN96" s="360">
        <f t="shared" si="816"/>
        <v>0.16800000000000001</v>
      </c>
      <c r="BO96" s="246">
        <f t="shared" si="817"/>
        <v>0.16800000000000001</v>
      </c>
      <c r="BP96" s="246">
        <f t="shared" si="818"/>
        <v>0.16800000000000001</v>
      </c>
      <c r="BQ96" s="360">
        <f t="shared" si="819"/>
        <v>0.16800000000000001</v>
      </c>
      <c r="BR96" s="246">
        <f t="shared" si="820"/>
        <v>0.16800000000000001</v>
      </c>
      <c r="BS96" s="246">
        <f t="shared" si="821"/>
        <v>0.16800000000000001</v>
      </c>
      <c r="BT96" s="360">
        <f t="shared" si="822"/>
        <v>0.16800000000000001</v>
      </c>
      <c r="BU96" s="246">
        <f t="shared" si="823"/>
        <v>0.16800000000000001</v>
      </c>
      <c r="BV96" s="246">
        <f t="shared" si="824"/>
        <v>0.16800000000000001</v>
      </c>
      <c r="BW96" s="360">
        <f t="shared" si="825"/>
        <v>0.16800000000000001</v>
      </c>
      <c r="BX96" s="246">
        <f t="shared" si="826"/>
        <v>0.16800000000000001</v>
      </c>
      <c r="BY96" s="246">
        <f t="shared" si="827"/>
        <v>0.16800000000000001</v>
      </c>
      <c r="BZ96" s="360">
        <f t="shared" si="828"/>
        <v>0.16800000000000001</v>
      </c>
      <c r="CA96" s="246">
        <f t="shared" si="829"/>
        <v>0.16800000000000001</v>
      </c>
      <c r="CB96" s="246">
        <f t="shared" si="830"/>
        <v>0.16800000000000001</v>
      </c>
      <c r="CC96" s="360">
        <f t="shared" si="761"/>
        <v>0.16800000000000001</v>
      </c>
      <c r="CD96"/>
      <c r="CE96" s="114"/>
    </row>
    <row r="97" spans="1:81">
      <c r="B97" s="106" t="s">
        <v>420</v>
      </c>
      <c r="C97"/>
      <c r="D97"/>
      <c r="E97"/>
      <c r="F97" s="564">
        <f>SUM(F92:F96)</f>
        <v>3.2273999999999998</v>
      </c>
      <c r="G97" s="565">
        <f t="shared" si="734"/>
        <v>3.2273999999999998</v>
      </c>
      <c r="H97" s="565">
        <f t="shared" si="735"/>
        <v>3.2273999999999998</v>
      </c>
      <c r="I97" s="564">
        <f>SUM(I92:I96)</f>
        <v>4.0815000000000001</v>
      </c>
      <c r="J97" s="565">
        <f t="shared" si="736"/>
        <v>4.0815000000000001</v>
      </c>
      <c r="K97" s="565">
        <f t="shared" si="737"/>
        <v>4.0815000000000001</v>
      </c>
      <c r="L97" s="564">
        <f t="shared" ref="L97" si="831">+L92+L93+L94+L95+L96</f>
        <v>3.2488557934427784</v>
      </c>
      <c r="M97" s="565">
        <f t="shared" si="763"/>
        <v>3.2488557934427784</v>
      </c>
      <c r="N97" s="565">
        <f t="shared" si="764"/>
        <v>3.2488557934427784</v>
      </c>
      <c r="O97" s="564">
        <f t="shared" ref="O97" si="832">+O92+O93+O94+O95+O96</f>
        <v>4.5812916609737586</v>
      </c>
      <c r="P97" s="565">
        <f t="shared" si="766"/>
        <v>4.5812916609737586</v>
      </c>
      <c r="Q97" s="565">
        <f t="shared" si="767"/>
        <v>4.5812916609737586</v>
      </c>
      <c r="R97" s="564">
        <f t="shared" ref="R97" si="833">+R92+R93+R94+R95+R96</f>
        <v>4.9331682240840156</v>
      </c>
      <c r="S97" s="565">
        <f t="shared" si="769"/>
        <v>4.9331682240840156</v>
      </c>
      <c r="T97" s="565">
        <f t="shared" si="770"/>
        <v>4.9331682240840156</v>
      </c>
      <c r="U97" s="564">
        <f t="shared" ref="U97" si="834">+U92+U93+U94+U95+U96</f>
        <v>5.2989478814284547</v>
      </c>
      <c r="V97" s="565">
        <f t="shared" si="772"/>
        <v>5.2989478814284547</v>
      </c>
      <c r="W97" s="565">
        <f t="shared" si="773"/>
        <v>5.2989478814284547</v>
      </c>
      <c r="X97" s="564">
        <f t="shared" ref="X97" si="835">+X92+X93+X94+X95+X96</f>
        <v>5.329817872818098</v>
      </c>
      <c r="Y97" s="565">
        <f t="shared" si="775"/>
        <v>5.329817872818098</v>
      </c>
      <c r="Z97" s="565">
        <f t="shared" si="776"/>
        <v>5.329817872818098</v>
      </c>
      <c r="AA97" s="564">
        <f t="shared" ref="AA97" si="836">+AA92+AA93+AA94+AA95+AA96</f>
        <v>4.8926337200932446</v>
      </c>
      <c r="AB97" s="565">
        <f t="shared" si="778"/>
        <v>4.8926337200932446</v>
      </c>
      <c r="AC97" s="565">
        <f t="shared" si="779"/>
        <v>4.8926337200932446</v>
      </c>
      <c r="AD97" s="564">
        <f t="shared" ref="AD97" si="837">+AD92+AD93+AD94+AD95+AD96</f>
        <v>5.2942237383950923</v>
      </c>
      <c r="AE97" s="565">
        <f t="shared" si="781"/>
        <v>5.2942237383950923</v>
      </c>
      <c r="AF97" s="565">
        <f t="shared" si="782"/>
        <v>5.2942237383950923</v>
      </c>
      <c r="AG97" s="564">
        <f t="shared" ref="AG97" si="838">+AG92+AG93+AG94+AG95+AG96</f>
        <v>5.5154857501809937</v>
      </c>
      <c r="AH97" s="565">
        <f t="shared" si="784"/>
        <v>5.5154857501809937</v>
      </c>
      <c r="AI97" s="565">
        <f t="shared" si="785"/>
        <v>5.5154857501809937</v>
      </c>
      <c r="AJ97" s="564">
        <f t="shared" ref="AJ97" si="839">+AJ92+AJ93+AJ94+AJ95+AJ96</f>
        <v>5.5193777878303756</v>
      </c>
      <c r="AK97" s="565">
        <f t="shared" si="787"/>
        <v>5.5193777878303756</v>
      </c>
      <c r="AL97" s="565">
        <f t="shared" si="788"/>
        <v>5.5193777878303756</v>
      </c>
      <c r="AM97" s="564">
        <f t="shared" ref="AM97" si="840">+AM92+AM93+AM94+AM95+AM96</f>
        <v>5.0393774049891711</v>
      </c>
      <c r="AN97" s="565">
        <f t="shared" si="790"/>
        <v>5.0393774049891711</v>
      </c>
      <c r="AO97" s="565">
        <f t="shared" si="791"/>
        <v>5.0393774049891711</v>
      </c>
      <c r="AP97" s="564">
        <f t="shared" ref="AP97" si="841">+AP92+AP93+AP94+AP95+AP96</f>
        <v>5.2575068685197071</v>
      </c>
      <c r="AQ97" s="565">
        <f t="shared" si="793"/>
        <v>5.2575068685197071</v>
      </c>
      <c r="AR97" s="565">
        <f t="shared" si="794"/>
        <v>5.2575068685197071</v>
      </c>
      <c r="AS97" s="564">
        <f t="shared" ref="AS97" si="842">+AS92+AS93+AS94+AS95+AS96</f>
        <v>5.4807109052526153</v>
      </c>
      <c r="AT97" s="565">
        <f t="shared" si="796"/>
        <v>5.4807109052526153</v>
      </c>
      <c r="AU97" s="565">
        <f t="shared" si="797"/>
        <v>5.4807109052526153</v>
      </c>
      <c r="AV97" s="564">
        <f t="shared" ref="AV97" si="843">+AV92+AV93+AV94+AV95+AV96</f>
        <v>5.5030405335494681</v>
      </c>
      <c r="AW97" s="565">
        <f t="shared" si="799"/>
        <v>5.5030405335494681</v>
      </c>
      <c r="AX97" s="565">
        <f t="shared" si="800"/>
        <v>5.5030405335494681</v>
      </c>
      <c r="AY97" s="564">
        <f t="shared" ref="AY97" si="844">+AY92+AY93+AY94+AY95+AY96</f>
        <v>5.0068251804991943</v>
      </c>
      <c r="AZ97" s="565">
        <f t="shared" si="802"/>
        <v>5.0068251804991943</v>
      </c>
      <c r="BA97" s="565">
        <f t="shared" si="803"/>
        <v>5.0068251804991943</v>
      </c>
      <c r="BB97" s="564">
        <f t="shared" ref="BB97" si="845">+BB92+BB93+BB94+BB95+BB96</f>
        <v>5.1605900652510286</v>
      </c>
      <c r="BC97" s="565">
        <f t="shared" si="805"/>
        <v>5.1605900652510286</v>
      </c>
      <c r="BD97" s="565">
        <f t="shared" si="806"/>
        <v>5.1605900652510286</v>
      </c>
      <c r="BE97" s="564">
        <f t="shared" ref="BE97" si="846">+BE92+BE93+BE94+BE95+BE96</f>
        <v>5.3918447061691781</v>
      </c>
      <c r="BF97" s="565">
        <f t="shared" si="808"/>
        <v>5.3918447061691781</v>
      </c>
      <c r="BG97" s="565">
        <f t="shared" si="809"/>
        <v>5.3918447061691781</v>
      </c>
      <c r="BH97" s="564">
        <f t="shared" ref="BH97" si="847">+BH92+BH93+BH94+BH95+BH96</f>
        <v>5.4421044849788194</v>
      </c>
      <c r="BI97" s="565">
        <f t="shared" si="811"/>
        <v>5.4421044849788194</v>
      </c>
      <c r="BJ97" s="565">
        <f t="shared" si="812"/>
        <v>5.4421044849788194</v>
      </c>
      <c r="BK97" s="564">
        <f t="shared" ref="BK97" si="848">+BK92+BK93+BK94+BK95+BK96</f>
        <v>4.9566474120420656</v>
      </c>
      <c r="BL97" s="565">
        <f t="shared" si="814"/>
        <v>4.9566474120420656</v>
      </c>
      <c r="BM97" s="565">
        <f t="shared" si="815"/>
        <v>4.9566474120420656</v>
      </c>
      <c r="BN97" s="564">
        <f t="shared" ref="BN97" si="849">+BN92+BN93+BN94+BN95+BN96</f>
        <v>5.1409863183259938</v>
      </c>
      <c r="BO97" s="565">
        <f t="shared" si="817"/>
        <v>5.1409863183259938</v>
      </c>
      <c r="BP97" s="565">
        <f t="shared" si="818"/>
        <v>5.1409863183259938</v>
      </c>
      <c r="BQ97" s="564">
        <f t="shared" ref="BQ97" si="850">+BQ92+BQ93+BQ94+BQ95+BQ96</f>
        <v>5.3835560455584055</v>
      </c>
      <c r="BR97" s="565">
        <f t="shared" si="820"/>
        <v>5.3835560455584055</v>
      </c>
      <c r="BS97" s="565">
        <f t="shared" si="821"/>
        <v>5.3835560455584055</v>
      </c>
      <c r="BT97" s="564">
        <f t="shared" ref="BT97" si="851">+BT92+BT93+BT94+BT95+BT96</f>
        <v>5.3747965077238442</v>
      </c>
      <c r="BU97" s="565">
        <f t="shared" si="823"/>
        <v>5.3747965077238442</v>
      </c>
      <c r="BV97" s="565">
        <f t="shared" si="824"/>
        <v>5.3747965077238442</v>
      </c>
      <c r="BW97" s="564">
        <f t="shared" ref="BW97" si="852">+BW92+BW93+BW94+BW95+BW96</f>
        <v>7.858832250491564</v>
      </c>
      <c r="BX97" s="565">
        <f t="shared" si="826"/>
        <v>7.858832250491564</v>
      </c>
      <c r="BY97" s="565">
        <f t="shared" si="827"/>
        <v>7.858832250491564</v>
      </c>
      <c r="BZ97" s="564">
        <f t="shared" ref="BZ97" si="853">+BZ92+BZ93+BZ94+BZ95+BZ96</f>
        <v>7.9841447259155158</v>
      </c>
      <c r="CA97" s="565">
        <f t="shared" si="829"/>
        <v>7.9841447259155158</v>
      </c>
      <c r="CB97" s="565">
        <f t="shared" si="830"/>
        <v>7.9841447259155158</v>
      </c>
      <c r="CC97" s="564">
        <f t="shared" si="761"/>
        <v>7.9841447259155158</v>
      </c>
    </row>
    <row r="98" spans="1:81">
      <c r="B98" s="106" t="s">
        <v>421</v>
      </c>
      <c r="C98"/>
      <c r="D98"/>
      <c r="E98"/>
      <c r="F98" s="360">
        <f>F92</f>
        <v>2.2254999999999998</v>
      </c>
      <c r="G98" s="246">
        <f t="shared" si="734"/>
        <v>2.2254999999999998</v>
      </c>
      <c r="H98" s="246">
        <f t="shared" si="735"/>
        <v>2.2254999999999998</v>
      </c>
      <c r="I98" s="360">
        <f>I92</f>
        <v>3.1993999999999998</v>
      </c>
      <c r="J98" s="246">
        <f t="shared" si="736"/>
        <v>3.1993999999999998</v>
      </c>
      <c r="K98" s="246">
        <f t="shared" si="737"/>
        <v>3.1993999999999998</v>
      </c>
      <c r="L98" s="360">
        <f t="shared" ref="L98" si="854">+L92</f>
        <v>3.0808557934427783</v>
      </c>
      <c r="M98" s="246">
        <f t="shared" si="763"/>
        <v>3.0808557934427783</v>
      </c>
      <c r="N98" s="246">
        <f t="shared" si="764"/>
        <v>3.0808557934427783</v>
      </c>
      <c r="O98" s="360">
        <f t="shared" ref="O98" si="855">+O92</f>
        <v>3.1287459514485132</v>
      </c>
      <c r="P98" s="246">
        <f t="shared" si="766"/>
        <v>3.1287459514485132</v>
      </c>
      <c r="Q98" s="246">
        <f t="shared" si="767"/>
        <v>3.1287459514485132</v>
      </c>
      <c r="R98" s="360">
        <f t="shared" ref="R98" si="856">+R92</f>
        <v>3.4806225145587706</v>
      </c>
      <c r="S98" s="246">
        <f t="shared" si="769"/>
        <v>3.4806225145587706</v>
      </c>
      <c r="T98" s="246">
        <f t="shared" si="770"/>
        <v>3.4806225145587706</v>
      </c>
      <c r="U98" s="360">
        <f t="shared" ref="U98" si="857">+U92</f>
        <v>3.8464021719032098</v>
      </c>
      <c r="V98" s="246">
        <f t="shared" si="772"/>
        <v>3.8464021719032098</v>
      </c>
      <c r="W98" s="246">
        <f t="shared" si="773"/>
        <v>3.8464021719032098</v>
      </c>
      <c r="X98" s="360">
        <f t="shared" ref="X98" si="858">+X92</f>
        <v>3.8772721632928526</v>
      </c>
      <c r="Y98" s="246">
        <f t="shared" si="775"/>
        <v>3.8772721632928526</v>
      </c>
      <c r="Z98" s="246">
        <f t="shared" si="776"/>
        <v>3.8772721632928526</v>
      </c>
      <c r="AA98" s="360">
        <f t="shared" ref="AA98" si="859">+AA92</f>
        <v>3.4412310059405384</v>
      </c>
      <c r="AB98" s="246">
        <f t="shared" si="778"/>
        <v>3.4412310059405384</v>
      </c>
      <c r="AC98" s="246">
        <f t="shared" si="779"/>
        <v>3.4412310059405384</v>
      </c>
      <c r="AD98" s="360">
        <f t="shared" ref="AD98" si="860">+AD92</f>
        <v>3.8428210242423866</v>
      </c>
      <c r="AE98" s="246">
        <f t="shared" si="781"/>
        <v>3.8428210242423866</v>
      </c>
      <c r="AF98" s="246">
        <f t="shared" si="782"/>
        <v>3.8428210242423866</v>
      </c>
      <c r="AG98" s="360">
        <f t="shared" ref="AG98" si="861">+AG92</f>
        <v>4.064083036028288</v>
      </c>
      <c r="AH98" s="246">
        <f t="shared" si="784"/>
        <v>4.064083036028288</v>
      </c>
      <c r="AI98" s="246">
        <f t="shared" si="785"/>
        <v>4.064083036028288</v>
      </c>
      <c r="AJ98" s="360">
        <f t="shared" ref="AJ98" si="862">+AJ92</f>
        <v>4.0679750736776699</v>
      </c>
      <c r="AK98" s="246">
        <f t="shared" si="787"/>
        <v>4.0679750736776699</v>
      </c>
      <c r="AL98" s="246">
        <f t="shared" si="788"/>
        <v>4.0679750736776699</v>
      </c>
      <c r="AM98" s="360">
        <f t="shared" ref="AM98" si="863">+AM92</f>
        <v>3.5891156682432714</v>
      </c>
      <c r="AN98" s="246">
        <f t="shared" si="790"/>
        <v>3.5891156682432714</v>
      </c>
      <c r="AO98" s="246">
        <f t="shared" si="791"/>
        <v>3.5891156682432714</v>
      </c>
      <c r="AP98" s="360">
        <f t="shared" ref="AP98" si="864">+AP92</f>
        <v>3.8072451317738074</v>
      </c>
      <c r="AQ98" s="246">
        <f t="shared" si="793"/>
        <v>3.8072451317738074</v>
      </c>
      <c r="AR98" s="246">
        <f t="shared" si="794"/>
        <v>3.8072451317738074</v>
      </c>
      <c r="AS98" s="360">
        <f t="shared" ref="AS98" si="865">+AS92</f>
        <v>4.0304491685067152</v>
      </c>
      <c r="AT98" s="246">
        <f t="shared" si="796"/>
        <v>4.0304491685067152</v>
      </c>
      <c r="AU98" s="246">
        <f t="shared" si="797"/>
        <v>4.0304491685067152</v>
      </c>
      <c r="AV98" s="360">
        <f t="shared" ref="AV98" si="866">+AV92</f>
        <v>4.052778796803568</v>
      </c>
      <c r="AW98" s="246">
        <f t="shared" si="799"/>
        <v>4.052778796803568</v>
      </c>
      <c r="AX98" s="246">
        <f t="shared" si="800"/>
        <v>4.052778796803568</v>
      </c>
      <c r="AY98" s="360">
        <f t="shared" ref="AY98" si="867">+AY92</f>
        <v>3.5577021062375453</v>
      </c>
      <c r="AZ98" s="246">
        <f t="shared" si="802"/>
        <v>3.5577021062375453</v>
      </c>
      <c r="BA98" s="246">
        <f t="shared" si="803"/>
        <v>3.5577021062375453</v>
      </c>
      <c r="BB98" s="360">
        <f t="shared" ref="BB98" si="868">+BB92</f>
        <v>3.7114669909893792</v>
      </c>
      <c r="BC98" s="246">
        <f t="shared" si="805"/>
        <v>3.7114669909893792</v>
      </c>
      <c r="BD98" s="246">
        <f t="shared" si="806"/>
        <v>3.7114669909893792</v>
      </c>
      <c r="BE98" s="360">
        <f t="shared" ref="BE98" si="869">+BE92</f>
        <v>3.9427216319075291</v>
      </c>
      <c r="BF98" s="246">
        <f t="shared" si="808"/>
        <v>3.9427216319075291</v>
      </c>
      <c r="BG98" s="246">
        <f t="shared" si="809"/>
        <v>3.9427216319075291</v>
      </c>
      <c r="BH98" s="360">
        <f t="shared" ref="BH98" si="870">+BH92</f>
        <v>3.9929814107171704</v>
      </c>
      <c r="BI98" s="246">
        <f t="shared" si="811"/>
        <v>3.9929814107171704</v>
      </c>
      <c r="BJ98" s="246">
        <f t="shared" si="812"/>
        <v>3.9929814107171704</v>
      </c>
      <c r="BK98" s="360">
        <f t="shared" ref="BK98" si="871">+BK92</f>
        <v>3.5086611520571771</v>
      </c>
      <c r="BL98" s="246">
        <f t="shared" si="814"/>
        <v>3.5086611520571771</v>
      </c>
      <c r="BM98" s="246">
        <f t="shared" si="815"/>
        <v>3.5086611520571771</v>
      </c>
      <c r="BN98" s="360">
        <f t="shared" ref="BN98" si="872">+BN92</f>
        <v>3.6930000583411045</v>
      </c>
      <c r="BO98" s="246">
        <f t="shared" si="817"/>
        <v>3.6930000583411045</v>
      </c>
      <c r="BP98" s="246">
        <f t="shared" si="818"/>
        <v>3.6930000583411045</v>
      </c>
      <c r="BQ98" s="360">
        <f t="shared" ref="BQ98" si="873">+BQ92</f>
        <v>3.9355697855735166</v>
      </c>
      <c r="BR98" s="246">
        <f t="shared" si="820"/>
        <v>3.9355697855735166</v>
      </c>
      <c r="BS98" s="246">
        <f t="shared" si="821"/>
        <v>3.9355697855735166</v>
      </c>
      <c r="BT98" s="360">
        <f t="shared" ref="BT98" si="874">+BT92</f>
        <v>3.9268102477389548</v>
      </c>
      <c r="BU98" s="246">
        <f t="shared" si="823"/>
        <v>3.9268102477389548</v>
      </c>
      <c r="BV98" s="246">
        <f t="shared" si="824"/>
        <v>3.9268102477389548</v>
      </c>
      <c r="BW98" s="360">
        <f t="shared" ref="BW98" si="875">+BW92</f>
        <v>3.4142960552352806</v>
      </c>
      <c r="BX98" s="246">
        <f t="shared" si="826"/>
        <v>3.4142960552352806</v>
      </c>
      <c r="BY98" s="246">
        <f t="shared" si="827"/>
        <v>3.4142960552352806</v>
      </c>
      <c r="BZ98" s="360">
        <f t="shared" ref="BZ98" si="876">+BZ92</f>
        <v>3.539608530659232</v>
      </c>
      <c r="CA98" s="246">
        <f t="shared" si="829"/>
        <v>3.539608530659232</v>
      </c>
      <c r="CB98" s="246">
        <f t="shared" si="830"/>
        <v>3.539608530659232</v>
      </c>
      <c r="CC98" s="360">
        <f t="shared" si="761"/>
        <v>3.539608530659232</v>
      </c>
    </row>
    <row r="99" spans="1:81">
      <c r="B99" s="106" t="s">
        <v>422</v>
      </c>
      <c r="C99"/>
      <c r="D99"/>
      <c r="E99"/>
      <c r="F99" s="360">
        <v>0.1938</v>
      </c>
      <c r="G99" s="246">
        <f t="shared" si="734"/>
        <v>0.1938</v>
      </c>
      <c r="H99" s="246">
        <f t="shared" si="735"/>
        <v>0.1938</v>
      </c>
      <c r="I99" s="360">
        <v>0.19339999999999999</v>
      </c>
      <c r="J99" s="246">
        <f t="shared" si="736"/>
        <v>0.19339999999999999</v>
      </c>
      <c r="K99" s="246">
        <f t="shared" si="737"/>
        <v>0.19339999999999999</v>
      </c>
      <c r="L99" s="360">
        <f>L77</f>
        <v>0.18465040445953734</v>
      </c>
      <c r="M99" s="246">
        <f t="shared" si="763"/>
        <v>0.18465040445953734</v>
      </c>
      <c r="N99" s="246">
        <f t="shared" si="764"/>
        <v>0.18465040445953734</v>
      </c>
      <c r="O99" s="360">
        <f>P77</f>
        <v>0.18455135383052118</v>
      </c>
      <c r="P99" s="246">
        <f t="shared" si="766"/>
        <v>0.18455135383052118</v>
      </c>
      <c r="Q99" s="246">
        <f t="shared" si="767"/>
        <v>0.18455135383052118</v>
      </c>
      <c r="R99" s="360">
        <f>Q99</f>
        <v>0.18455135383052118</v>
      </c>
      <c r="S99" s="246">
        <f t="shared" si="769"/>
        <v>0.18455135383052118</v>
      </c>
      <c r="T99" s="246">
        <f t="shared" si="770"/>
        <v>0.18455135383052118</v>
      </c>
      <c r="U99" s="360">
        <f t="shared" ref="U99" si="877">T99</f>
        <v>0.18455135383052118</v>
      </c>
      <c r="V99" s="246">
        <f t="shared" si="772"/>
        <v>0.18455135383052118</v>
      </c>
      <c r="W99" s="246">
        <f t="shared" si="773"/>
        <v>0.18455135383052118</v>
      </c>
      <c r="X99" s="360">
        <f t="shared" ref="X99" si="878">W99</f>
        <v>0.18455135383052118</v>
      </c>
      <c r="Y99" s="246">
        <f t="shared" si="775"/>
        <v>0.18455135383052118</v>
      </c>
      <c r="Z99" s="246">
        <f t="shared" si="776"/>
        <v>0.18455135383052118</v>
      </c>
      <c r="AA99" s="360">
        <f t="shared" ref="AA99" si="879">AB77</f>
        <v>0.18438887039222304</v>
      </c>
      <c r="AB99" s="246">
        <f t="shared" si="778"/>
        <v>0.18438887039222304</v>
      </c>
      <c r="AC99" s="246">
        <f t="shared" si="779"/>
        <v>0.18438887039222304</v>
      </c>
      <c r="AD99" s="360">
        <f t="shared" ref="AD99" si="880">AC99</f>
        <v>0.18438887039222304</v>
      </c>
      <c r="AE99" s="246">
        <f t="shared" si="781"/>
        <v>0.18438887039222304</v>
      </c>
      <c r="AF99" s="246">
        <f t="shared" si="782"/>
        <v>0.18438887039222304</v>
      </c>
      <c r="AG99" s="360">
        <f t="shared" si="782"/>
        <v>0.18438887039222304</v>
      </c>
      <c r="AH99" s="246">
        <f t="shared" si="784"/>
        <v>0.18438887039222304</v>
      </c>
      <c r="AI99" s="246">
        <f t="shared" si="785"/>
        <v>0.18438887039222304</v>
      </c>
      <c r="AJ99" s="360">
        <f t="shared" si="785"/>
        <v>0.18438887039222304</v>
      </c>
      <c r="AK99" s="246">
        <f t="shared" si="787"/>
        <v>0.18438887039222304</v>
      </c>
      <c r="AL99" s="246">
        <f t="shared" si="788"/>
        <v>0.18438887039222304</v>
      </c>
      <c r="AM99" s="360">
        <f t="shared" ref="AM99" si="881">AN77</f>
        <v>0.18422667077087729</v>
      </c>
      <c r="AN99" s="246">
        <f t="shared" si="790"/>
        <v>0.18422667077087729</v>
      </c>
      <c r="AO99" s="246">
        <f t="shared" si="791"/>
        <v>0.18422667077087729</v>
      </c>
      <c r="AP99" s="360">
        <f t="shared" ref="AP99" si="882">AO99</f>
        <v>0.18422667077087729</v>
      </c>
      <c r="AQ99" s="246">
        <f t="shared" si="793"/>
        <v>0.18422667077087729</v>
      </c>
      <c r="AR99" s="246">
        <f t="shared" si="794"/>
        <v>0.18422667077087729</v>
      </c>
      <c r="AS99" s="360">
        <f t="shared" si="782"/>
        <v>0.18422667077087729</v>
      </c>
      <c r="AT99" s="246">
        <f t="shared" si="796"/>
        <v>0.18422667077087729</v>
      </c>
      <c r="AU99" s="246">
        <f t="shared" si="797"/>
        <v>0.18422667077087729</v>
      </c>
      <c r="AV99" s="360">
        <f t="shared" si="785"/>
        <v>0.18422667077087729</v>
      </c>
      <c r="AW99" s="246">
        <f t="shared" si="799"/>
        <v>0.18422667077087729</v>
      </c>
      <c r="AX99" s="246">
        <f t="shared" si="800"/>
        <v>0.18422667077087729</v>
      </c>
      <c r="AY99" s="360">
        <f t="shared" ref="AY99" si="883">AZ77</f>
        <v>0.18406479719869398</v>
      </c>
      <c r="AZ99" s="246">
        <f t="shared" si="802"/>
        <v>0.18406479719869398</v>
      </c>
      <c r="BA99" s="246">
        <f t="shared" si="803"/>
        <v>0.18406479719869398</v>
      </c>
      <c r="BB99" s="360">
        <f t="shared" ref="BB99" si="884">BA99</f>
        <v>0.18406479719869398</v>
      </c>
      <c r="BC99" s="246">
        <f t="shared" si="805"/>
        <v>0.18406479719869398</v>
      </c>
      <c r="BD99" s="246">
        <f t="shared" si="806"/>
        <v>0.18406479719869398</v>
      </c>
      <c r="BE99" s="360">
        <f t="shared" si="806"/>
        <v>0.18406479719869398</v>
      </c>
      <c r="BF99" s="246">
        <f t="shared" si="808"/>
        <v>0.18406479719869398</v>
      </c>
      <c r="BG99" s="246">
        <f t="shared" si="809"/>
        <v>0.18406479719869398</v>
      </c>
      <c r="BH99" s="360">
        <f t="shared" si="809"/>
        <v>0.18406479719869398</v>
      </c>
      <c r="BI99" s="246">
        <f t="shared" si="811"/>
        <v>0.18406479719869398</v>
      </c>
      <c r="BJ99" s="246">
        <f t="shared" si="812"/>
        <v>0.18406479719869398</v>
      </c>
      <c r="BK99" s="360">
        <f t="shared" ref="BK99" si="885">BL77</f>
        <v>0.18390318334348951</v>
      </c>
      <c r="BL99" s="246">
        <f t="shared" si="814"/>
        <v>0.18390318334348951</v>
      </c>
      <c r="BM99" s="246">
        <f t="shared" si="815"/>
        <v>0.18390318334348951</v>
      </c>
      <c r="BN99" s="360">
        <f t="shared" ref="BN99" si="886">BM99</f>
        <v>0.18390318334348951</v>
      </c>
      <c r="BO99" s="246">
        <f t="shared" si="817"/>
        <v>0.18390318334348951</v>
      </c>
      <c r="BP99" s="246">
        <f t="shared" si="818"/>
        <v>0.18390318334348951</v>
      </c>
      <c r="BQ99" s="360">
        <f t="shared" si="806"/>
        <v>0.18390318334348951</v>
      </c>
      <c r="BR99" s="246">
        <f t="shared" si="820"/>
        <v>0.18390318334348951</v>
      </c>
      <c r="BS99" s="246">
        <f t="shared" si="821"/>
        <v>0.18390318334348951</v>
      </c>
      <c r="BT99" s="360">
        <f t="shared" si="809"/>
        <v>0.18390318334348951</v>
      </c>
      <c r="BU99" s="246">
        <f t="shared" si="823"/>
        <v>0.18390318334348951</v>
      </c>
      <c r="BV99" s="246">
        <f t="shared" si="824"/>
        <v>0.18390318334348951</v>
      </c>
      <c r="BW99" s="360">
        <f t="shared" ref="BW99" si="887">BV99</f>
        <v>0.18390318334348951</v>
      </c>
      <c r="BX99" s="246">
        <f t="shared" si="826"/>
        <v>0.18390318334348951</v>
      </c>
      <c r="BY99" s="246">
        <f t="shared" si="827"/>
        <v>0.18390318334348951</v>
      </c>
      <c r="BZ99" s="360">
        <f t="shared" ref="BZ99" si="888">BY99</f>
        <v>0.18390318334348951</v>
      </c>
      <c r="CA99" s="246">
        <f t="shared" si="829"/>
        <v>0.18390318334348951</v>
      </c>
      <c r="CB99" s="246">
        <f t="shared" si="830"/>
        <v>0.18390318334348951</v>
      </c>
      <c r="CC99" s="360">
        <f t="shared" si="761"/>
        <v>0.18390318334348951</v>
      </c>
    </row>
    <row r="100" spans="1:81">
      <c r="B100" s="106" t="s">
        <v>423</v>
      </c>
      <c r="C100"/>
      <c r="D100"/>
      <c r="E100"/>
      <c r="F100" s="360">
        <v>-0.52159999999999995</v>
      </c>
      <c r="G100" s="246">
        <f t="shared" si="734"/>
        <v>-0.52159999999999995</v>
      </c>
      <c r="H100" s="246">
        <f t="shared" si="735"/>
        <v>-0.52159999999999995</v>
      </c>
      <c r="I100" s="360">
        <v>-0.63900000000000001</v>
      </c>
      <c r="J100" s="246">
        <f t="shared" si="736"/>
        <v>-0.63900000000000001</v>
      </c>
      <c r="K100" s="246">
        <f t="shared" si="737"/>
        <v>-0.63900000000000001</v>
      </c>
      <c r="L100" s="360">
        <f t="shared" ref="L100" si="889">+L94</f>
        <v>0</v>
      </c>
      <c r="M100" s="246">
        <f t="shared" si="763"/>
        <v>0</v>
      </c>
      <c r="N100" s="246">
        <f t="shared" si="764"/>
        <v>0</v>
      </c>
      <c r="O100" s="360">
        <f t="shared" ref="O100" si="890">+O94</f>
        <v>0</v>
      </c>
      <c r="P100" s="246">
        <f t="shared" si="766"/>
        <v>0</v>
      </c>
      <c r="Q100" s="246">
        <f t="shared" si="767"/>
        <v>0</v>
      </c>
      <c r="R100" s="360">
        <f t="shared" ref="R100" si="891">+R94</f>
        <v>0</v>
      </c>
      <c r="S100" s="246">
        <f t="shared" si="769"/>
        <v>0</v>
      </c>
      <c r="T100" s="246">
        <f t="shared" si="770"/>
        <v>0</v>
      </c>
      <c r="U100" s="360">
        <f t="shared" ref="U100" si="892">+U94</f>
        <v>0</v>
      </c>
      <c r="V100" s="246">
        <f t="shared" si="772"/>
        <v>0</v>
      </c>
      <c r="W100" s="246">
        <f t="shared" si="773"/>
        <v>0</v>
      </c>
      <c r="X100" s="360">
        <f t="shared" ref="X100" si="893">+X94</f>
        <v>0</v>
      </c>
      <c r="Y100" s="246">
        <f t="shared" si="775"/>
        <v>0</v>
      </c>
      <c r="Z100" s="246">
        <f t="shared" si="776"/>
        <v>0</v>
      </c>
      <c r="AA100" s="360">
        <f t="shared" ref="AA100" si="894">+AA94</f>
        <v>0</v>
      </c>
      <c r="AB100" s="246">
        <f t="shared" si="778"/>
        <v>0</v>
      </c>
      <c r="AC100" s="246">
        <f t="shared" si="779"/>
        <v>0</v>
      </c>
      <c r="AD100" s="360">
        <f t="shared" ref="AD100" si="895">+AD94</f>
        <v>0</v>
      </c>
      <c r="AE100" s="246">
        <f t="shared" si="781"/>
        <v>0</v>
      </c>
      <c r="AF100" s="246">
        <f t="shared" si="782"/>
        <v>0</v>
      </c>
      <c r="AG100" s="360">
        <f t="shared" ref="AG100" si="896">+AG94</f>
        <v>0</v>
      </c>
      <c r="AH100" s="246">
        <f t="shared" si="784"/>
        <v>0</v>
      </c>
      <c r="AI100" s="246">
        <f t="shared" si="785"/>
        <v>0</v>
      </c>
      <c r="AJ100" s="360">
        <f t="shared" ref="AJ100" si="897">+AJ94</f>
        <v>0</v>
      </c>
      <c r="AK100" s="246">
        <f t="shared" si="787"/>
        <v>0</v>
      </c>
      <c r="AL100" s="246">
        <f t="shared" si="788"/>
        <v>0</v>
      </c>
      <c r="AM100" s="360">
        <f t="shared" ref="AM100" si="898">+AM94</f>
        <v>0</v>
      </c>
      <c r="AN100" s="246">
        <f t="shared" si="790"/>
        <v>0</v>
      </c>
      <c r="AO100" s="246">
        <f t="shared" si="791"/>
        <v>0</v>
      </c>
      <c r="AP100" s="360">
        <f t="shared" ref="AP100" si="899">+AP94</f>
        <v>0</v>
      </c>
      <c r="AQ100" s="246">
        <f t="shared" si="793"/>
        <v>0</v>
      </c>
      <c r="AR100" s="246">
        <f t="shared" si="794"/>
        <v>0</v>
      </c>
      <c r="AS100" s="360">
        <f t="shared" ref="AS100" si="900">+AS94</f>
        <v>0</v>
      </c>
      <c r="AT100" s="246">
        <f t="shared" si="796"/>
        <v>0</v>
      </c>
      <c r="AU100" s="246">
        <f t="shared" si="797"/>
        <v>0</v>
      </c>
      <c r="AV100" s="360">
        <f t="shared" ref="AV100" si="901">+AV94</f>
        <v>0</v>
      </c>
      <c r="AW100" s="246">
        <f t="shared" si="799"/>
        <v>0</v>
      </c>
      <c r="AX100" s="246">
        <f t="shared" si="800"/>
        <v>0</v>
      </c>
      <c r="AY100" s="360">
        <f t="shared" ref="AY100" si="902">+AY94</f>
        <v>0</v>
      </c>
      <c r="AZ100" s="246">
        <f t="shared" si="802"/>
        <v>0</v>
      </c>
      <c r="BA100" s="246">
        <f t="shared" si="803"/>
        <v>0</v>
      </c>
      <c r="BB100" s="360">
        <f t="shared" ref="BB100" si="903">+BB94</f>
        <v>0</v>
      </c>
      <c r="BC100" s="246">
        <f t="shared" si="805"/>
        <v>0</v>
      </c>
      <c r="BD100" s="246">
        <f t="shared" si="806"/>
        <v>0</v>
      </c>
      <c r="BE100" s="360">
        <f t="shared" ref="BE100" si="904">+BE94</f>
        <v>0</v>
      </c>
      <c r="BF100" s="246">
        <f t="shared" si="808"/>
        <v>0</v>
      </c>
      <c r="BG100" s="246">
        <f t="shared" si="809"/>
        <v>0</v>
      </c>
      <c r="BH100" s="360">
        <f t="shared" ref="BH100" si="905">+BH94</f>
        <v>0</v>
      </c>
      <c r="BI100" s="246">
        <f t="shared" si="811"/>
        <v>0</v>
      </c>
      <c r="BJ100" s="246">
        <f t="shared" si="812"/>
        <v>0</v>
      </c>
      <c r="BK100" s="360">
        <f t="shared" ref="BK100" si="906">+BK94</f>
        <v>0</v>
      </c>
      <c r="BL100" s="246">
        <f t="shared" si="814"/>
        <v>0</v>
      </c>
      <c r="BM100" s="246">
        <f t="shared" si="815"/>
        <v>0</v>
      </c>
      <c r="BN100" s="360">
        <f t="shared" ref="BN100" si="907">+BN94</f>
        <v>0</v>
      </c>
      <c r="BO100" s="246">
        <f t="shared" si="817"/>
        <v>0</v>
      </c>
      <c r="BP100" s="246">
        <f t="shared" si="818"/>
        <v>0</v>
      </c>
      <c r="BQ100" s="360">
        <f t="shared" ref="BQ100" si="908">+BQ94</f>
        <v>0</v>
      </c>
      <c r="BR100" s="246">
        <f t="shared" si="820"/>
        <v>0</v>
      </c>
      <c r="BS100" s="246">
        <f t="shared" si="821"/>
        <v>0</v>
      </c>
      <c r="BT100" s="360">
        <f t="shared" ref="BT100" si="909">+BT94</f>
        <v>0</v>
      </c>
      <c r="BU100" s="246">
        <f t="shared" si="823"/>
        <v>0</v>
      </c>
      <c r="BV100" s="246">
        <f t="shared" si="824"/>
        <v>0</v>
      </c>
      <c r="BW100" s="360">
        <f t="shared" ref="BW100" si="910">+BW94</f>
        <v>0</v>
      </c>
      <c r="BX100" s="246">
        <f t="shared" si="826"/>
        <v>0</v>
      </c>
      <c r="BY100" s="246">
        <f t="shared" si="827"/>
        <v>0</v>
      </c>
      <c r="BZ100" s="360">
        <f t="shared" ref="BZ100" si="911">+BZ94</f>
        <v>0</v>
      </c>
      <c r="CA100" s="246">
        <f t="shared" si="829"/>
        <v>0</v>
      </c>
      <c r="CB100" s="246">
        <f t="shared" si="830"/>
        <v>0</v>
      </c>
      <c r="CC100" s="360">
        <f t="shared" si="761"/>
        <v>0</v>
      </c>
    </row>
    <row r="101" spans="1:81">
      <c r="B101" s="106" t="s">
        <v>418</v>
      </c>
      <c r="C101"/>
      <c r="D101"/>
      <c r="E101"/>
      <c r="F101" s="360"/>
      <c r="G101" s="246">
        <f t="shared" si="734"/>
        <v>0</v>
      </c>
      <c r="H101" s="246">
        <f t="shared" si="735"/>
        <v>0</v>
      </c>
      <c r="I101" s="360"/>
      <c r="J101" s="246">
        <f t="shared" si="736"/>
        <v>0</v>
      </c>
      <c r="K101" s="246">
        <f t="shared" si="737"/>
        <v>0</v>
      </c>
      <c r="L101" s="360">
        <f t="shared" ref="L101:L102" si="912">+K101</f>
        <v>0</v>
      </c>
      <c r="M101" s="246">
        <f t="shared" si="763"/>
        <v>0</v>
      </c>
      <c r="N101" s="246">
        <f t="shared" si="764"/>
        <v>0</v>
      </c>
      <c r="O101" s="360">
        <f t="shared" ref="O101:O102" si="913">+N101</f>
        <v>0</v>
      </c>
      <c r="P101" s="246">
        <f t="shared" si="766"/>
        <v>0</v>
      </c>
      <c r="Q101" s="246">
        <f t="shared" si="767"/>
        <v>0</v>
      </c>
      <c r="R101" s="360">
        <f t="shared" ref="R101:R102" si="914">+Q101</f>
        <v>0</v>
      </c>
      <c r="S101" s="246">
        <f t="shared" si="769"/>
        <v>0</v>
      </c>
      <c r="T101" s="246">
        <f t="shared" si="770"/>
        <v>0</v>
      </c>
      <c r="U101" s="360">
        <f t="shared" ref="U101:U102" si="915">+T101</f>
        <v>0</v>
      </c>
      <c r="V101" s="246">
        <f t="shared" si="772"/>
        <v>0</v>
      </c>
      <c r="W101" s="246">
        <f t="shared" si="773"/>
        <v>0</v>
      </c>
      <c r="X101" s="360">
        <f t="shared" ref="X101:X102" si="916">+W101</f>
        <v>0</v>
      </c>
      <c r="Y101" s="246">
        <f t="shared" si="775"/>
        <v>0</v>
      </c>
      <c r="Z101" s="246">
        <f t="shared" si="776"/>
        <v>0</v>
      </c>
      <c r="AA101" s="360">
        <f t="shared" ref="AA101:AA102" si="917">+Z101</f>
        <v>0</v>
      </c>
      <c r="AB101" s="246">
        <f t="shared" si="778"/>
        <v>0</v>
      </c>
      <c r="AC101" s="246">
        <f t="shared" si="779"/>
        <v>0</v>
      </c>
      <c r="AD101" s="360">
        <f t="shared" ref="AD101:AD102" si="918">+AC101</f>
        <v>0</v>
      </c>
      <c r="AE101" s="246">
        <f t="shared" si="781"/>
        <v>0</v>
      </c>
      <c r="AF101" s="246">
        <f t="shared" si="782"/>
        <v>0</v>
      </c>
      <c r="AG101" s="360">
        <f t="shared" ref="AG101:AG102" si="919">+AF101</f>
        <v>0</v>
      </c>
      <c r="AH101" s="246">
        <f t="shared" si="784"/>
        <v>0</v>
      </c>
      <c r="AI101" s="246">
        <f t="shared" si="785"/>
        <v>0</v>
      </c>
      <c r="AJ101" s="360">
        <f t="shared" ref="AJ101:AJ102" si="920">+AI101</f>
        <v>0</v>
      </c>
      <c r="AK101" s="246">
        <f t="shared" si="787"/>
        <v>0</v>
      </c>
      <c r="AL101" s="246">
        <f t="shared" si="788"/>
        <v>0</v>
      </c>
      <c r="AM101" s="360">
        <f t="shared" ref="AM101:AM102" si="921">+AL101</f>
        <v>0</v>
      </c>
      <c r="AN101" s="246">
        <f t="shared" si="790"/>
        <v>0</v>
      </c>
      <c r="AO101" s="246">
        <f t="shared" si="791"/>
        <v>0</v>
      </c>
      <c r="AP101" s="360">
        <f t="shared" ref="AP101:AP102" si="922">+AO101</f>
        <v>0</v>
      </c>
      <c r="AQ101" s="246">
        <f t="shared" si="793"/>
        <v>0</v>
      </c>
      <c r="AR101" s="246">
        <f t="shared" si="794"/>
        <v>0</v>
      </c>
      <c r="AS101" s="360">
        <f t="shared" ref="AS101:AS102" si="923">+AR101</f>
        <v>0</v>
      </c>
      <c r="AT101" s="246">
        <f t="shared" si="796"/>
        <v>0</v>
      </c>
      <c r="AU101" s="246">
        <f t="shared" si="797"/>
        <v>0</v>
      </c>
      <c r="AV101" s="360">
        <f t="shared" ref="AV101:AV102" si="924">+AU101</f>
        <v>0</v>
      </c>
      <c r="AW101" s="246">
        <f t="shared" si="799"/>
        <v>0</v>
      </c>
      <c r="AX101" s="246">
        <f t="shared" si="800"/>
        <v>0</v>
      </c>
      <c r="AY101" s="360">
        <f t="shared" ref="AY101:AY102" si="925">+AX101</f>
        <v>0</v>
      </c>
      <c r="AZ101" s="246">
        <f t="shared" si="802"/>
        <v>0</v>
      </c>
      <c r="BA101" s="246">
        <f t="shared" si="803"/>
        <v>0</v>
      </c>
      <c r="BB101" s="360">
        <f t="shared" ref="BB101:BB102" si="926">+BA101</f>
        <v>0</v>
      </c>
      <c r="BC101" s="246">
        <f t="shared" si="805"/>
        <v>0</v>
      </c>
      <c r="BD101" s="246">
        <f t="shared" si="806"/>
        <v>0</v>
      </c>
      <c r="BE101" s="360">
        <f t="shared" ref="BE101:BE102" si="927">+BD101</f>
        <v>0</v>
      </c>
      <c r="BF101" s="246">
        <f t="shared" si="808"/>
        <v>0</v>
      </c>
      <c r="BG101" s="246">
        <f t="shared" si="809"/>
        <v>0</v>
      </c>
      <c r="BH101" s="360">
        <f t="shared" ref="BH101:BH102" si="928">+BG101</f>
        <v>0</v>
      </c>
      <c r="BI101" s="246">
        <f t="shared" si="811"/>
        <v>0</v>
      </c>
      <c r="BJ101" s="246">
        <f t="shared" si="812"/>
        <v>0</v>
      </c>
      <c r="BK101" s="360">
        <f t="shared" ref="BK101:BK102" si="929">+BJ101</f>
        <v>0</v>
      </c>
      <c r="BL101" s="246">
        <f t="shared" si="814"/>
        <v>0</v>
      </c>
      <c r="BM101" s="246">
        <f t="shared" si="815"/>
        <v>0</v>
      </c>
      <c r="BN101" s="360">
        <f t="shared" ref="BN101:BN102" si="930">+BM101</f>
        <v>0</v>
      </c>
      <c r="BO101" s="246">
        <f t="shared" si="817"/>
        <v>0</v>
      </c>
      <c r="BP101" s="246">
        <f t="shared" si="818"/>
        <v>0</v>
      </c>
      <c r="BQ101" s="360">
        <f t="shared" ref="BQ101:BQ102" si="931">+BP101</f>
        <v>0</v>
      </c>
      <c r="BR101" s="246">
        <f t="shared" si="820"/>
        <v>0</v>
      </c>
      <c r="BS101" s="246">
        <f t="shared" si="821"/>
        <v>0</v>
      </c>
      <c r="BT101" s="360">
        <f t="shared" ref="BT101:BT102" si="932">+BS101</f>
        <v>0</v>
      </c>
      <c r="BU101" s="246">
        <f t="shared" si="823"/>
        <v>0</v>
      </c>
      <c r="BV101" s="246">
        <f t="shared" si="824"/>
        <v>0</v>
      </c>
      <c r="BW101" s="360">
        <f t="shared" ref="BW101:BW102" si="933">+BV101</f>
        <v>0</v>
      </c>
      <c r="BX101" s="246">
        <f t="shared" si="826"/>
        <v>0</v>
      </c>
      <c r="BY101" s="246">
        <f t="shared" si="827"/>
        <v>0</v>
      </c>
      <c r="BZ101" s="360">
        <f t="shared" ref="BZ101:BZ102" si="934">+BY101</f>
        <v>0</v>
      </c>
      <c r="CA101" s="246">
        <f t="shared" si="829"/>
        <v>0</v>
      </c>
      <c r="CB101" s="246">
        <f t="shared" si="830"/>
        <v>0</v>
      </c>
      <c r="CC101" s="360">
        <f t="shared" si="761"/>
        <v>0</v>
      </c>
    </row>
    <row r="102" spans="1:81">
      <c r="B102" s="106" t="s">
        <v>419</v>
      </c>
      <c r="C102"/>
      <c r="D102"/>
      <c r="E102"/>
      <c r="F102" s="360">
        <f>F96</f>
        <v>0.16800000000000001</v>
      </c>
      <c r="G102" s="246">
        <f t="shared" si="734"/>
        <v>0.16800000000000001</v>
      </c>
      <c r="H102" s="246">
        <f t="shared" si="735"/>
        <v>0.16800000000000001</v>
      </c>
      <c r="I102" s="360">
        <f>I96</f>
        <v>0.16800000000000001</v>
      </c>
      <c r="J102" s="246">
        <f t="shared" si="736"/>
        <v>0.16800000000000001</v>
      </c>
      <c r="K102" s="246">
        <f t="shared" si="737"/>
        <v>0.16800000000000001</v>
      </c>
      <c r="L102" s="360">
        <f t="shared" si="912"/>
        <v>0.16800000000000001</v>
      </c>
      <c r="M102" s="246">
        <f t="shared" si="763"/>
        <v>0.16800000000000001</v>
      </c>
      <c r="N102" s="246">
        <f t="shared" si="764"/>
        <v>0.16800000000000001</v>
      </c>
      <c r="O102" s="360">
        <f t="shared" si="913"/>
        <v>0.16800000000000001</v>
      </c>
      <c r="P102" s="246">
        <f t="shared" si="766"/>
        <v>0.16800000000000001</v>
      </c>
      <c r="Q102" s="246">
        <f t="shared" si="767"/>
        <v>0.16800000000000001</v>
      </c>
      <c r="R102" s="360">
        <f t="shared" si="914"/>
        <v>0.16800000000000001</v>
      </c>
      <c r="S102" s="246">
        <f t="shared" si="769"/>
        <v>0.16800000000000001</v>
      </c>
      <c r="T102" s="246">
        <f t="shared" si="770"/>
        <v>0.16800000000000001</v>
      </c>
      <c r="U102" s="360">
        <f t="shared" si="915"/>
        <v>0.16800000000000001</v>
      </c>
      <c r="V102" s="246">
        <f t="shared" si="772"/>
        <v>0.16800000000000001</v>
      </c>
      <c r="W102" s="246">
        <f t="shared" si="773"/>
        <v>0.16800000000000001</v>
      </c>
      <c r="X102" s="360">
        <f t="shared" si="916"/>
        <v>0.16800000000000001</v>
      </c>
      <c r="Y102" s="246">
        <f t="shared" si="775"/>
        <v>0.16800000000000001</v>
      </c>
      <c r="Z102" s="246">
        <f t="shared" si="776"/>
        <v>0.16800000000000001</v>
      </c>
      <c r="AA102" s="360">
        <f t="shared" si="917"/>
        <v>0.16800000000000001</v>
      </c>
      <c r="AB102" s="246">
        <f t="shared" si="778"/>
        <v>0.16800000000000001</v>
      </c>
      <c r="AC102" s="246">
        <f t="shared" si="779"/>
        <v>0.16800000000000001</v>
      </c>
      <c r="AD102" s="360">
        <f t="shared" si="918"/>
        <v>0.16800000000000001</v>
      </c>
      <c r="AE102" s="246">
        <f t="shared" si="781"/>
        <v>0.16800000000000001</v>
      </c>
      <c r="AF102" s="246">
        <f t="shared" si="782"/>
        <v>0.16800000000000001</v>
      </c>
      <c r="AG102" s="360">
        <f t="shared" si="919"/>
        <v>0.16800000000000001</v>
      </c>
      <c r="AH102" s="246">
        <f t="shared" si="784"/>
        <v>0.16800000000000001</v>
      </c>
      <c r="AI102" s="246">
        <f t="shared" si="785"/>
        <v>0.16800000000000001</v>
      </c>
      <c r="AJ102" s="360">
        <f t="shared" si="920"/>
        <v>0.16800000000000001</v>
      </c>
      <c r="AK102" s="246">
        <f t="shared" si="787"/>
        <v>0.16800000000000001</v>
      </c>
      <c r="AL102" s="246">
        <f t="shared" si="788"/>
        <v>0.16800000000000001</v>
      </c>
      <c r="AM102" s="360">
        <f t="shared" si="921"/>
        <v>0.16800000000000001</v>
      </c>
      <c r="AN102" s="246">
        <f t="shared" si="790"/>
        <v>0.16800000000000001</v>
      </c>
      <c r="AO102" s="246">
        <f t="shared" si="791"/>
        <v>0.16800000000000001</v>
      </c>
      <c r="AP102" s="360">
        <f t="shared" si="922"/>
        <v>0.16800000000000001</v>
      </c>
      <c r="AQ102" s="246">
        <f t="shared" si="793"/>
        <v>0.16800000000000001</v>
      </c>
      <c r="AR102" s="246">
        <f t="shared" si="794"/>
        <v>0.16800000000000001</v>
      </c>
      <c r="AS102" s="360">
        <f t="shared" si="923"/>
        <v>0.16800000000000001</v>
      </c>
      <c r="AT102" s="246">
        <f t="shared" si="796"/>
        <v>0.16800000000000001</v>
      </c>
      <c r="AU102" s="246">
        <f t="shared" si="797"/>
        <v>0.16800000000000001</v>
      </c>
      <c r="AV102" s="360">
        <f t="shared" si="924"/>
        <v>0.16800000000000001</v>
      </c>
      <c r="AW102" s="246">
        <f t="shared" si="799"/>
        <v>0.16800000000000001</v>
      </c>
      <c r="AX102" s="246">
        <f t="shared" si="800"/>
        <v>0.16800000000000001</v>
      </c>
      <c r="AY102" s="360">
        <f t="shared" si="925"/>
        <v>0.16800000000000001</v>
      </c>
      <c r="AZ102" s="246">
        <f t="shared" si="802"/>
        <v>0.16800000000000001</v>
      </c>
      <c r="BA102" s="246">
        <f t="shared" si="803"/>
        <v>0.16800000000000001</v>
      </c>
      <c r="BB102" s="360">
        <f t="shared" si="926"/>
        <v>0.16800000000000001</v>
      </c>
      <c r="BC102" s="246">
        <f t="shared" si="805"/>
        <v>0.16800000000000001</v>
      </c>
      <c r="BD102" s="246">
        <f t="shared" si="806"/>
        <v>0.16800000000000001</v>
      </c>
      <c r="BE102" s="360">
        <f t="shared" si="927"/>
        <v>0.16800000000000001</v>
      </c>
      <c r="BF102" s="246">
        <f t="shared" si="808"/>
        <v>0.16800000000000001</v>
      </c>
      <c r="BG102" s="246">
        <f t="shared" si="809"/>
        <v>0.16800000000000001</v>
      </c>
      <c r="BH102" s="360">
        <f t="shared" si="928"/>
        <v>0.16800000000000001</v>
      </c>
      <c r="BI102" s="246">
        <f t="shared" si="811"/>
        <v>0.16800000000000001</v>
      </c>
      <c r="BJ102" s="246">
        <f t="shared" si="812"/>
        <v>0.16800000000000001</v>
      </c>
      <c r="BK102" s="360">
        <f t="shared" si="929"/>
        <v>0.16800000000000001</v>
      </c>
      <c r="BL102" s="246">
        <f t="shared" si="814"/>
        <v>0.16800000000000001</v>
      </c>
      <c r="BM102" s="246">
        <f t="shared" si="815"/>
        <v>0.16800000000000001</v>
      </c>
      <c r="BN102" s="360">
        <f t="shared" si="930"/>
        <v>0.16800000000000001</v>
      </c>
      <c r="BO102" s="246">
        <f t="shared" si="817"/>
        <v>0.16800000000000001</v>
      </c>
      <c r="BP102" s="246">
        <f t="shared" si="818"/>
        <v>0.16800000000000001</v>
      </c>
      <c r="BQ102" s="360">
        <f t="shared" si="931"/>
        <v>0.16800000000000001</v>
      </c>
      <c r="BR102" s="246">
        <f t="shared" si="820"/>
        <v>0.16800000000000001</v>
      </c>
      <c r="BS102" s="246">
        <f t="shared" si="821"/>
        <v>0.16800000000000001</v>
      </c>
      <c r="BT102" s="360">
        <f t="shared" si="932"/>
        <v>0.16800000000000001</v>
      </c>
      <c r="BU102" s="246">
        <f t="shared" si="823"/>
        <v>0.16800000000000001</v>
      </c>
      <c r="BV102" s="246">
        <f t="shared" si="824"/>
        <v>0.16800000000000001</v>
      </c>
      <c r="BW102" s="360">
        <f t="shared" si="933"/>
        <v>0.16800000000000001</v>
      </c>
      <c r="BX102" s="246">
        <f t="shared" si="826"/>
        <v>0.16800000000000001</v>
      </c>
      <c r="BY102" s="246">
        <f t="shared" si="827"/>
        <v>0.16800000000000001</v>
      </c>
      <c r="BZ102" s="360">
        <f t="shared" si="934"/>
        <v>0.16800000000000001</v>
      </c>
      <c r="CA102" s="246">
        <f t="shared" si="829"/>
        <v>0.16800000000000001</v>
      </c>
      <c r="CB102" s="246">
        <f t="shared" si="830"/>
        <v>0.16800000000000001</v>
      </c>
      <c r="CC102" s="360">
        <f t="shared" si="761"/>
        <v>0.16800000000000001</v>
      </c>
    </row>
    <row r="103" spans="1:81" ht="13.5" thickBot="1">
      <c r="B103" s="106" t="s">
        <v>424</v>
      </c>
      <c r="C103"/>
      <c r="D103"/>
      <c r="E103"/>
      <c r="F103" s="566">
        <f>SUM(F98:F102)</f>
        <v>2.0657000000000001</v>
      </c>
      <c r="G103" s="565">
        <f t="shared" si="734"/>
        <v>2.0657000000000001</v>
      </c>
      <c r="H103" s="565">
        <f t="shared" si="735"/>
        <v>2.0657000000000001</v>
      </c>
      <c r="I103" s="566">
        <f>SUM(I98:I102)</f>
        <v>2.9218000000000002</v>
      </c>
      <c r="J103" s="565">
        <f t="shared" si="736"/>
        <v>2.9218000000000002</v>
      </c>
      <c r="K103" s="565">
        <f t="shared" si="737"/>
        <v>2.9218000000000002</v>
      </c>
      <c r="L103" s="566">
        <f t="shared" ref="L103" si="935">+L98+L99+L100+L101+L102</f>
        <v>3.4335061979023158</v>
      </c>
      <c r="M103" s="565">
        <f t="shared" si="763"/>
        <v>3.4335061979023158</v>
      </c>
      <c r="N103" s="565">
        <f t="shared" si="764"/>
        <v>3.4335061979023158</v>
      </c>
      <c r="O103" s="566">
        <f t="shared" ref="O103" si="936">+O98+O99+O100+O101+O102</f>
        <v>3.4812973052790346</v>
      </c>
      <c r="P103" s="565">
        <f t="shared" si="766"/>
        <v>3.4812973052790346</v>
      </c>
      <c r="Q103" s="565">
        <f t="shared" si="767"/>
        <v>3.4812973052790346</v>
      </c>
      <c r="R103" s="566">
        <f t="shared" ref="R103" si="937">+R98+R99+R100+R101+R102</f>
        <v>3.833173868389292</v>
      </c>
      <c r="S103" s="565">
        <f t="shared" si="769"/>
        <v>3.833173868389292</v>
      </c>
      <c r="T103" s="565">
        <f t="shared" si="770"/>
        <v>3.833173868389292</v>
      </c>
      <c r="U103" s="566">
        <f t="shared" ref="U103" si="938">+U98+U99+U100+U101+U102</f>
        <v>4.1989535257337307</v>
      </c>
      <c r="V103" s="565">
        <f t="shared" si="772"/>
        <v>4.1989535257337307</v>
      </c>
      <c r="W103" s="565">
        <f t="shared" si="773"/>
        <v>4.1989535257337307</v>
      </c>
      <c r="X103" s="566">
        <f t="shared" ref="X103" si="939">+X98+X99+X100+X101+X102</f>
        <v>4.229823517123374</v>
      </c>
      <c r="Y103" s="565">
        <f t="shared" si="775"/>
        <v>4.229823517123374</v>
      </c>
      <c r="Z103" s="565">
        <f t="shared" si="776"/>
        <v>4.229823517123374</v>
      </c>
      <c r="AA103" s="566">
        <f t="shared" ref="AA103" si="940">+AA98+AA99+AA100+AA101+AA102</f>
        <v>3.7936198763327615</v>
      </c>
      <c r="AB103" s="565">
        <f t="shared" si="778"/>
        <v>3.7936198763327615</v>
      </c>
      <c r="AC103" s="565">
        <f t="shared" si="779"/>
        <v>3.7936198763327615</v>
      </c>
      <c r="AD103" s="566">
        <f t="shared" ref="AD103" si="941">+AD98+AD99+AD100+AD101+AD102</f>
        <v>4.1952098946346101</v>
      </c>
      <c r="AE103" s="565">
        <f t="shared" si="781"/>
        <v>4.1952098946346101</v>
      </c>
      <c r="AF103" s="565">
        <f t="shared" si="782"/>
        <v>4.1952098946346101</v>
      </c>
      <c r="AG103" s="566">
        <f t="shared" ref="AG103" si="942">+AG98+AG99+AG100+AG101+AG102</f>
        <v>4.4164719064205116</v>
      </c>
      <c r="AH103" s="565">
        <f t="shared" si="784"/>
        <v>4.4164719064205116</v>
      </c>
      <c r="AI103" s="565">
        <f t="shared" si="785"/>
        <v>4.4164719064205116</v>
      </c>
      <c r="AJ103" s="566">
        <f t="shared" ref="AJ103" si="943">+AJ98+AJ99+AJ100+AJ101+AJ102</f>
        <v>4.4203639440698934</v>
      </c>
      <c r="AK103" s="565">
        <f t="shared" si="787"/>
        <v>4.4203639440698934</v>
      </c>
      <c r="AL103" s="565">
        <f t="shared" si="788"/>
        <v>4.4203639440698934</v>
      </c>
      <c r="AM103" s="566">
        <f t="shared" ref="AM103" si="944">+AM98+AM99+AM100+AM101+AM102</f>
        <v>3.9413423390141489</v>
      </c>
      <c r="AN103" s="565">
        <f t="shared" si="790"/>
        <v>3.9413423390141489</v>
      </c>
      <c r="AO103" s="565">
        <f t="shared" si="791"/>
        <v>3.9413423390141489</v>
      </c>
      <c r="AP103" s="566">
        <f t="shared" ref="AP103" si="945">+AP98+AP99+AP100+AP101+AP102</f>
        <v>4.1594718025446848</v>
      </c>
      <c r="AQ103" s="565">
        <f t="shared" si="793"/>
        <v>4.1594718025446848</v>
      </c>
      <c r="AR103" s="565">
        <f t="shared" si="794"/>
        <v>4.1594718025446848</v>
      </c>
      <c r="AS103" s="566">
        <f t="shared" ref="AS103" si="946">+AS98+AS99+AS100+AS101+AS102</f>
        <v>4.3826758392775931</v>
      </c>
      <c r="AT103" s="565">
        <f t="shared" si="796"/>
        <v>4.3826758392775931</v>
      </c>
      <c r="AU103" s="565">
        <f t="shared" si="797"/>
        <v>4.3826758392775931</v>
      </c>
      <c r="AV103" s="566">
        <f t="shared" ref="AV103" si="947">+AV98+AV99+AV100+AV101+AV102</f>
        <v>4.405005467574445</v>
      </c>
      <c r="AW103" s="565">
        <f t="shared" si="799"/>
        <v>4.405005467574445</v>
      </c>
      <c r="AX103" s="565">
        <f t="shared" si="800"/>
        <v>4.405005467574445</v>
      </c>
      <c r="AY103" s="566">
        <f t="shared" ref="AY103" si="948">+AY98+AY99+AY100+AY101+AY102</f>
        <v>3.9097669034362394</v>
      </c>
      <c r="AZ103" s="565">
        <f t="shared" si="802"/>
        <v>3.9097669034362394</v>
      </c>
      <c r="BA103" s="565">
        <f t="shared" si="803"/>
        <v>3.9097669034362394</v>
      </c>
      <c r="BB103" s="566">
        <f t="shared" ref="BB103" si="949">+BB98+BB99+BB100+BB101+BB102</f>
        <v>4.0635317881880733</v>
      </c>
      <c r="BC103" s="565">
        <f t="shared" si="805"/>
        <v>4.0635317881880733</v>
      </c>
      <c r="BD103" s="565">
        <f t="shared" si="806"/>
        <v>4.0635317881880733</v>
      </c>
      <c r="BE103" s="566">
        <f t="shared" ref="BE103" si="950">+BE98+BE99+BE100+BE101+BE102</f>
        <v>4.2947864291062237</v>
      </c>
      <c r="BF103" s="565">
        <f t="shared" si="808"/>
        <v>4.2947864291062237</v>
      </c>
      <c r="BG103" s="565">
        <f t="shared" si="809"/>
        <v>4.2947864291062237</v>
      </c>
      <c r="BH103" s="566">
        <f t="shared" ref="BH103" si="951">+BH98+BH99+BH100+BH101+BH102</f>
        <v>4.3450462079158649</v>
      </c>
      <c r="BI103" s="565">
        <f t="shared" si="811"/>
        <v>4.3450462079158649</v>
      </c>
      <c r="BJ103" s="565">
        <f t="shared" si="812"/>
        <v>4.3450462079158649</v>
      </c>
      <c r="BK103" s="566">
        <f t="shared" ref="BK103" si="952">+BK98+BK99+BK100+BK101+BK102</f>
        <v>3.8605643354006669</v>
      </c>
      <c r="BL103" s="565">
        <f t="shared" si="814"/>
        <v>3.8605643354006669</v>
      </c>
      <c r="BM103" s="565">
        <f t="shared" si="815"/>
        <v>3.8605643354006669</v>
      </c>
      <c r="BN103" s="566">
        <f t="shared" ref="BN103" si="953">+BN98+BN99+BN100+BN101+BN102</f>
        <v>4.0449032416845938</v>
      </c>
      <c r="BO103" s="565">
        <f t="shared" si="817"/>
        <v>4.0449032416845938</v>
      </c>
      <c r="BP103" s="565">
        <f t="shared" si="818"/>
        <v>4.0449032416845938</v>
      </c>
      <c r="BQ103" s="566">
        <f t="shared" ref="BQ103" si="954">+BQ98+BQ99+BQ100+BQ101+BQ102</f>
        <v>4.2874729689170064</v>
      </c>
      <c r="BR103" s="565">
        <f t="shared" si="820"/>
        <v>4.2874729689170064</v>
      </c>
      <c r="BS103" s="565">
        <f t="shared" si="821"/>
        <v>4.2874729689170064</v>
      </c>
      <c r="BT103" s="566">
        <f t="shared" ref="BT103" si="955">+BT98+BT99+BT100+BT101+BT102</f>
        <v>4.2787134310824442</v>
      </c>
      <c r="BU103" s="565">
        <f t="shared" si="823"/>
        <v>4.2787134310824442</v>
      </c>
      <c r="BV103" s="565">
        <f t="shared" si="824"/>
        <v>4.2787134310824442</v>
      </c>
      <c r="BW103" s="566">
        <f t="shared" ref="BW103" si="956">+BW98+BW99+BW100+BW101+BW102</f>
        <v>3.7661992385787704</v>
      </c>
      <c r="BX103" s="565">
        <f t="shared" si="826"/>
        <v>3.7661992385787704</v>
      </c>
      <c r="BY103" s="565">
        <f t="shared" si="827"/>
        <v>3.7661992385787704</v>
      </c>
      <c r="BZ103" s="566">
        <f t="shared" ref="BZ103" si="957">+BZ98+BZ99+BZ100+BZ101+BZ102</f>
        <v>3.8915117140027218</v>
      </c>
      <c r="CA103" s="565">
        <f t="shared" si="829"/>
        <v>3.8915117140027218</v>
      </c>
      <c r="CB103" s="565">
        <f t="shared" si="830"/>
        <v>3.8915117140027218</v>
      </c>
      <c r="CC103" s="566">
        <f t="shared" si="761"/>
        <v>3.8915117140027218</v>
      </c>
    </row>
    <row r="104" spans="1:81">
      <c r="C104"/>
      <c r="D104"/>
      <c r="E104"/>
      <c r="F104"/>
    </row>
    <row r="107" spans="1:81">
      <c r="B107" s="106" t="s">
        <v>425</v>
      </c>
    </row>
    <row r="108" spans="1:81">
      <c r="A108" s="567">
        <f>+A35</f>
        <v>1.210513533125745E-2</v>
      </c>
      <c r="B108" s="106" t="s">
        <v>479</v>
      </c>
      <c r="J108" s="104">
        <f t="shared" ref="J108:N108" si="958">+((1/(1-$A$108))-1)*J32</f>
        <v>0</v>
      </c>
      <c r="K108" s="104">
        <f t="shared" si="958"/>
        <v>0</v>
      </c>
      <c r="L108" s="104">
        <f t="shared" si="958"/>
        <v>0</v>
      </c>
      <c r="M108" s="104">
        <f t="shared" si="958"/>
        <v>0</v>
      </c>
      <c r="N108" s="104">
        <f t="shared" si="958"/>
        <v>0</v>
      </c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AA108" s="104"/>
      <c r="AB108" s="104"/>
      <c r="AC108" s="104"/>
      <c r="AD108" s="104"/>
      <c r="AE108" s="104"/>
    </row>
    <row r="110" spans="1:81">
      <c r="A110" s="247" t="s">
        <v>426</v>
      </c>
      <c r="B110" s="106" t="s">
        <v>384</v>
      </c>
      <c r="J110" s="104">
        <f t="shared" ref="J110:N110" si="959">+J36</f>
        <v>4.9000000000000002E-2</v>
      </c>
      <c r="K110" s="104">
        <f t="shared" si="959"/>
        <v>4.9000000000000002E-2</v>
      </c>
      <c r="L110" s="104">
        <f t="shared" si="959"/>
        <v>4.9000000000000002E-2</v>
      </c>
      <c r="M110" s="104">
        <f t="shared" si="959"/>
        <v>4.9000000000000002E-2</v>
      </c>
      <c r="N110" s="104">
        <f t="shared" si="959"/>
        <v>4.9000000000000002E-2</v>
      </c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AA110" s="104"/>
      <c r="AB110" s="104"/>
      <c r="AC110" s="104"/>
      <c r="AD110" s="104"/>
      <c r="AE110" s="104"/>
    </row>
    <row r="112" spans="1:81">
      <c r="A112" s="106">
        <v>1</v>
      </c>
      <c r="B112" s="106" t="s">
        <v>427</v>
      </c>
      <c r="J112" s="246">
        <f>+J32+J108+J110</f>
        <v>4.9000000000000002E-2</v>
      </c>
      <c r="K112" s="246">
        <f t="shared" ref="K112:N112" si="960">+K32+K108+K110</f>
        <v>4.9000000000000002E-2</v>
      </c>
      <c r="L112" s="246">
        <f t="shared" si="960"/>
        <v>4.9000000000000002E-2</v>
      </c>
      <c r="M112" s="246">
        <f t="shared" si="960"/>
        <v>4.9000000000000002E-2</v>
      </c>
      <c r="N112" s="246">
        <f t="shared" si="960"/>
        <v>4.9000000000000002E-2</v>
      </c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  <c r="AA112" s="246"/>
      <c r="AB112" s="246"/>
      <c r="AC112" s="246"/>
      <c r="AD112" s="246"/>
      <c r="AE112" s="246"/>
    </row>
    <row r="114" spans="1:92">
      <c r="A114" s="106">
        <v>1</v>
      </c>
      <c r="B114" s="106" t="s">
        <v>337</v>
      </c>
      <c r="J114" s="244">
        <f t="shared" ref="J114:N114" si="961">+J26*J112</f>
        <v>0</v>
      </c>
      <c r="K114" s="244">
        <f t="shared" si="961"/>
        <v>0</v>
      </c>
      <c r="L114" s="244">
        <f t="shared" si="961"/>
        <v>0</v>
      </c>
      <c r="M114" s="244">
        <f t="shared" si="961"/>
        <v>0</v>
      </c>
      <c r="N114" s="244">
        <f t="shared" si="961"/>
        <v>0</v>
      </c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AA114" s="244"/>
      <c r="AB114" s="244"/>
      <c r="AC114" s="244"/>
      <c r="AD114" s="244"/>
      <c r="AE114" s="244"/>
    </row>
    <row r="115" spans="1:92"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7" spans="1:92">
      <c r="H117" s="363" t="s">
        <v>648</v>
      </c>
      <c r="AS117" s="106" t="s">
        <v>464</v>
      </c>
    </row>
    <row r="118" spans="1:92">
      <c r="C118" s="568" t="str">
        <f t="shared" ref="C118:AH118" si="962">TEXT(C4,"MMM")</f>
        <v>Feb</v>
      </c>
      <c r="D118" s="568" t="str">
        <f t="shared" si="962"/>
        <v>Mar</v>
      </c>
      <c r="E118" s="568" t="str">
        <f t="shared" si="962"/>
        <v>Apr</v>
      </c>
      <c r="F118" s="568" t="str">
        <f t="shared" si="962"/>
        <v>May</v>
      </c>
      <c r="G118" s="568" t="str">
        <f t="shared" si="962"/>
        <v>Jun</v>
      </c>
      <c r="H118" s="569" t="str">
        <f t="shared" si="962"/>
        <v>Jul</v>
      </c>
      <c r="I118" s="568" t="str">
        <f t="shared" si="962"/>
        <v>Aug</v>
      </c>
      <c r="J118" s="568" t="str">
        <f t="shared" si="962"/>
        <v>Sep</v>
      </c>
      <c r="K118" s="568" t="str">
        <f t="shared" si="962"/>
        <v>Oct</v>
      </c>
      <c r="L118" s="568" t="str">
        <f t="shared" si="962"/>
        <v>Nov</v>
      </c>
      <c r="M118" s="568" t="str">
        <f t="shared" si="962"/>
        <v>Dec</v>
      </c>
      <c r="N118" s="568" t="str">
        <f t="shared" si="962"/>
        <v>Jan</v>
      </c>
      <c r="O118" s="568" t="str">
        <f t="shared" si="962"/>
        <v>Feb</v>
      </c>
      <c r="P118" s="568" t="str">
        <f t="shared" si="962"/>
        <v>Mar</v>
      </c>
      <c r="Q118" s="568" t="str">
        <f t="shared" si="962"/>
        <v>Apr</v>
      </c>
      <c r="R118" s="568" t="str">
        <f t="shared" si="962"/>
        <v>May</v>
      </c>
      <c r="S118" s="568" t="str">
        <f t="shared" si="962"/>
        <v>Jun</v>
      </c>
      <c r="T118" s="568" t="str">
        <f t="shared" si="962"/>
        <v>Jul</v>
      </c>
      <c r="U118" s="568" t="str">
        <f t="shared" si="962"/>
        <v>Aug</v>
      </c>
      <c r="V118" s="568" t="str">
        <f t="shared" si="962"/>
        <v>Sep</v>
      </c>
      <c r="W118" s="568" t="str">
        <f t="shared" si="962"/>
        <v>Oct</v>
      </c>
      <c r="X118" s="568" t="str">
        <f t="shared" si="962"/>
        <v>Nov</v>
      </c>
      <c r="Y118" s="568" t="str">
        <f t="shared" si="962"/>
        <v>Dec</v>
      </c>
      <c r="Z118" s="568" t="str">
        <f t="shared" si="962"/>
        <v>Jan</v>
      </c>
      <c r="AA118" s="568" t="str">
        <f t="shared" si="962"/>
        <v>Feb</v>
      </c>
      <c r="AB118" s="568" t="str">
        <f t="shared" si="962"/>
        <v>Mar</v>
      </c>
      <c r="AC118" s="568" t="str">
        <f t="shared" si="962"/>
        <v>Apr</v>
      </c>
      <c r="AD118" s="568" t="str">
        <f t="shared" si="962"/>
        <v>May</v>
      </c>
      <c r="AE118" s="568" t="str">
        <f t="shared" si="962"/>
        <v>Jun</v>
      </c>
      <c r="AF118" s="568" t="str">
        <f t="shared" si="962"/>
        <v>Jul</v>
      </c>
      <c r="AG118" s="568" t="str">
        <f t="shared" si="962"/>
        <v>Aug</v>
      </c>
      <c r="AH118" s="568" t="str">
        <f t="shared" si="962"/>
        <v>Sep</v>
      </c>
      <c r="AI118" s="568" t="str">
        <f t="shared" ref="AI118:BN118" si="963">TEXT(AI4,"MMM")</f>
        <v>Oct</v>
      </c>
      <c r="AJ118" s="568" t="str">
        <f t="shared" si="963"/>
        <v>Nov</v>
      </c>
      <c r="AK118" s="568" t="str">
        <f t="shared" si="963"/>
        <v>Dec</v>
      </c>
      <c r="AL118" s="568" t="str">
        <f t="shared" si="963"/>
        <v>Jan</v>
      </c>
      <c r="AM118" s="568" t="str">
        <f t="shared" si="963"/>
        <v>Feb</v>
      </c>
      <c r="AN118" s="568" t="str">
        <f t="shared" si="963"/>
        <v>Mar</v>
      </c>
      <c r="AO118" s="568" t="str">
        <f t="shared" si="963"/>
        <v>Apr</v>
      </c>
      <c r="AP118" s="568" t="str">
        <f t="shared" si="963"/>
        <v>May</v>
      </c>
      <c r="AQ118" s="568" t="str">
        <f t="shared" si="963"/>
        <v>Jun</v>
      </c>
      <c r="AR118" s="568" t="str">
        <f t="shared" si="963"/>
        <v>Jul</v>
      </c>
      <c r="AS118" s="568" t="str">
        <f t="shared" si="963"/>
        <v>Aug</v>
      </c>
      <c r="AT118" s="568" t="str">
        <f t="shared" si="963"/>
        <v>Sep</v>
      </c>
      <c r="AU118" s="568" t="str">
        <f t="shared" si="963"/>
        <v>Oct</v>
      </c>
      <c r="AV118" s="568" t="str">
        <f t="shared" si="963"/>
        <v>Nov</v>
      </c>
      <c r="AW118" s="568" t="str">
        <f t="shared" si="963"/>
        <v>Dec</v>
      </c>
      <c r="AX118" s="568" t="str">
        <f t="shared" si="963"/>
        <v>Jan</v>
      </c>
      <c r="AY118" s="568" t="str">
        <f t="shared" si="963"/>
        <v>Feb</v>
      </c>
      <c r="AZ118" s="568" t="str">
        <f t="shared" si="963"/>
        <v>Mar</v>
      </c>
      <c r="BA118" s="568" t="str">
        <f t="shared" si="963"/>
        <v>Apr</v>
      </c>
      <c r="BB118" s="568" t="str">
        <f t="shared" si="963"/>
        <v>May</v>
      </c>
      <c r="BC118" s="568" t="str">
        <f t="shared" si="963"/>
        <v>Jun</v>
      </c>
      <c r="BD118" s="568" t="str">
        <f t="shared" si="963"/>
        <v>Jul</v>
      </c>
      <c r="BE118" s="568" t="str">
        <f t="shared" si="963"/>
        <v>Aug</v>
      </c>
      <c r="BF118" s="568" t="str">
        <f t="shared" si="963"/>
        <v>Sep</v>
      </c>
      <c r="BG118" s="568" t="str">
        <f t="shared" si="963"/>
        <v>Oct</v>
      </c>
      <c r="BH118" s="568" t="str">
        <f t="shared" si="963"/>
        <v>Nov</v>
      </c>
      <c r="BI118" s="568" t="str">
        <f t="shared" si="963"/>
        <v>Dec</v>
      </c>
      <c r="BJ118" s="568" t="str">
        <f t="shared" si="963"/>
        <v>Jan</v>
      </c>
      <c r="BK118" s="568" t="str">
        <f t="shared" si="963"/>
        <v>Feb</v>
      </c>
      <c r="BL118" s="568" t="str">
        <f t="shared" si="963"/>
        <v>Mar</v>
      </c>
      <c r="BM118" s="568" t="str">
        <f t="shared" si="963"/>
        <v>Apr</v>
      </c>
      <c r="BN118" s="568" t="str">
        <f t="shared" si="963"/>
        <v>May</v>
      </c>
      <c r="BO118" s="568" t="str">
        <f t="shared" ref="BO118:CD118" si="964">TEXT(BO4,"MMM")</f>
        <v>Jun</v>
      </c>
      <c r="BP118" s="568" t="str">
        <f t="shared" si="964"/>
        <v>Jul</v>
      </c>
      <c r="BQ118" s="568" t="str">
        <f t="shared" si="964"/>
        <v>Aug</v>
      </c>
      <c r="BR118" s="568" t="str">
        <f t="shared" si="964"/>
        <v>Sep</v>
      </c>
      <c r="BS118" s="568" t="str">
        <f t="shared" si="964"/>
        <v>Oct</v>
      </c>
      <c r="BT118" s="568" t="str">
        <f t="shared" si="964"/>
        <v>Nov</v>
      </c>
      <c r="BU118" s="568" t="str">
        <f t="shared" si="964"/>
        <v>Dec</v>
      </c>
      <c r="BV118" s="568" t="str">
        <f t="shared" si="964"/>
        <v>Jan</v>
      </c>
      <c r="BW118" s="568" t="str">
        <f t="shared" si="964"/>
        <v>Feb</v>
      </c>
      <c r="BX118" s="568" t="str">
        <f t="shared" si="964"/>
        <v>Mar</v>
      </c>
      <c r="BY118" s="568" t="str">
        <f t="shared" si="964"/>
        <v>Apr</v>
      </c>
      <c r="BZ118" s="568" t="str">
        <f t="shared" si="964"/>
        <v>May</v>
      </c>
      <c r="CA118" s="568" t="str">
        <f t="shared" si="964"/>
        <v>Jun</v>
      </c>
      <c r="CB118" s="568" t="str">
        <f t="shared" si="964"/>
        <v>Jul</v>
      </c>
      <c r="CC118" s="568" t="str">
        <f t="shared" si="964"/>
        <v>Aug</v>
      </c>
      <c r="CD118" s="568" t="str">
        <f t="shared" si="964"/>
        <v>Sep</v>
      </c>
      <c r="CE118" s="568" t="str">
        <f>BS118</f>
        <v>Oct</v>
      </c>
      <c r="CF118" s="568" t="str">
        <f t="shared" ref="CF118:CN118" si="965">BT118</f>
        <v>Nov</v>
      </c>
      <c r="CG118" s="568" t="str">
        <f t="shared" si="965"/>
        <v>Dec</v>
      </c>
      <c r="CH118" s="568" t="str">
        <f t="shared" si="965"/>
        <v>Jan</v>
      </c>
      <c r="CI118" s="568" t="str">
        <f t="shared" si="965"/>
        <v>Feb</v>
      </c>
      <c r="CJ118" s="568" t="str">
        <f t="shared" si="965"/>
        <v>Mar</v>
      </c>
      <c r="CK118" s="568" t="str">
        <f t="shared" si="965"/>
        <v>Apr</v>
      </c>
      <c r="CL118" s="568" t="str">
        <f t="shared" si="965"/>
        <v>May</v>
      </c>
      <c r="CM118" s="568" t="str">
        <f t="shared" si="965"/>
        <v>Jun</v>
      </c>
      <c r="CN118" s="568" t="str">
        <f t="shared" si="965"/>
        <v>Jul</v>
      </c>
    </row>
    <row r="119" spans="1:92">
      <c r="A119" s="29">
        <v>6500000</v>
      </c>
      <c r="B119" s="115" t="s">
        <v>481</v>
      </c>
      <c r="C119" s="570" t="str">
        <f t="shared" ref="C119:H119" si="966">IF(AND(MONTH(C4)&gt;=4,MONTH(C4)&lt;=10),"Inject", "Withdraw")</f>
        <v>Withdraw</v>
      </c>
      <c r="D119" s="570" t="str">
        <f t="shared" si="966"/>
        <v>Withdraw</v>
      </c>
      <c r="E119" s="570" t="str">
        <f t="shared" si="966"/>
        <v>Inject</v>
      </c>
      <c r="F119" s="570" t="str">
        <f t="shared" si="966"/>
        <v>Inject</v>
      </c>
      <c r="G119" s="570" t="str">
        <f t="shared" si="966"/>
        <v>Inject</v>
      </c>
      <c r="H119" s="571" t="str">
        <f t="shared" si="966"/>
        <v>Inject</v>
      </c>
      <c r="I119" s="570" t="str">
        <f t="shared" ref="I119:BT119" si="967">IF(AND(MONTH(I4)&gt;=4,MONTH(I4)&lt;=10),"Inject", "Withdraw")</f>
        <v>Inject</v>
      </c>
      <c r="J119" s="570" t="str">
        <f t="shared" si="967"/>
        <v>Inject</v>
      </c>
      <c r="K119" s="570" t="str">
        <f t="shared" si="967"/>
        <v>Inject</v>
      </c>
      <c r="L119" s="570" t="str">
        <f t="shared" si="967"/>
        <v>Withdraw</v>
      </c>
      <c r="M119" s="570" t="str">
        <f t="shared" si="967"/>
        <v>Withdraw</v>
      </c>
      <c r="N119" s="570" t="str">
        <f t="shared" si="967"/>
        <v>Withdraw</v>
      </c>
      <c r="O119" s="570" t="str">
        <f t="shared" si="967"/>
        <v>Withdraw</v>
      </c>
      <c r="P119" s="570" t="str">
        <f t="shared" si="967"/>
        <v>Withdraw</v>
      </c>
      <c r="Q119" s="570" t="str">
        <f t="shared" si="967"/>
        <v>Inject</v>
      </c>
      <c r="R119" s="570" t="str">
        <f t="shared" si="967"/>
        <v>Inject</v>
      </c>
      <c r="S119" s="570" t="str">
        <f t="shared" si="967"/>
        <v>Inject</v>
      </c>
      <c r="T119" s="570" t="str">
        <f t="shared" si="967"/>
        <v>Inject</v>
      </c>
      <c r="U119" s="570" t="str">
        <f t="shared" si="967"/>
        <v>Inject</v>
      </c>
      <c r="V119" s="570" t="str">
        <f t="shared" si="967"/>
        <v>Inject</v>
      </c>
      <c r="W119" s="570" t="str">
        <f t="shared" si="967"/>
        <v>Inject</v>
      </c>
      <c r="X119" s="570" t="str">
        <f t="shared" si="967"/>
        <v>Withdraw</v>
      </c>
      <c r="Y119" s="570" t="str">
        <f t="shared" si="967"/>
        <v>Withdraw</v>
      </c>
      <c r="Z119" s="570" t="str">
        <f t="shared" si="967"/>
        <v>Withdraw</v>
      </c>
      <c r="AA119" s="570" t="str">
        <f t="shared" si="967"/>
        <v>Withdraw</v>
      </c>
      <c r="AB119" s="570" t="str">
        <f t="shared" si="967"/>
        <v>Withdraw</v>
      </c>
      <c r="AC119" s="570" t="str">
        <f t="shared" si="967"/>
        <v>Inject</v>
      </c>
      <c r="AD119" s="570" t="str">
        <f t="shared" si="967"/>
        <v>Inject</v>
      </c>
      <c r="AE119" s="570" t="str">
        <f t="shared" si="967"/>
        <v>Inject</v>
      </c>
      <c r="AF119" s="570" t="str">
        <f t="shared" si="967"/>
        <v>Inject</v>
      </c>
      <c r="AG119" s="570" t="str">
        <f t="shared" si="967"/>
        <v>Inject</v>
      </c>
      <c r="AH119" s="570" t="str">
        <f t="shared" si="967"/>
        <v>Inject</v>
      </c>
      <c r="AI119" s="570" t="str">
        <f t="shared" si="967"/>
        <v>Inject</v>
      </c>
      <c r="AJ119" s="570" t="str">
        <f t="shared" si="967"/>
        <v>Withdraw</v>
      </c>
      <c r="AK119" s="570" t="str">
        <f t="shared" si="967"/>
        <v>Withdraw</v>
      </c>
      <c r="AL119" s="570" t="str">
        <f t="shared" si="967"/>
        <v>Withdraw</v>
      </c>
      <c r="AM119" s="570" t="str">
        <f t="shared" si="967"/>
        <v>Withdraw</v>
      </c>
      <c r="AN119" s="570" t="str">
        <f t="shared" si="967"/>
        <v>Withdraw</v>
      </c>
      <c r="AO119" s="570" t="str">
        <f t="shared" si="967"/>
        <v>Inject</v>
      </c>
      <c r="AP119" s="570" t="str">
        <f t="shared" si="967"/>
        <v>Inject</v>
      </c>
      <c r="AQ119" s="570" t="str">
        <f t="shared" si="967"/>
        <v>Inject</v>
      </c>
      <c r="AR119" s="570" t="str">
        <f t="shared" si="967"/>
        <v>Inject</v>
      </c>
      <c r="AS119" s="570" t="str">
        <f t="shared" si="967"/>
        <v>Inject</v>
      </c>
      <c r="AT119" s="570" t="str">
        <f t="shared" si="967"/>
        <v>Inject</v>
      </c>
      <c r="AU119" s="570" t="str">
        <f t="shared" si="967"/>
        <v>Inject</v>
      </c>
      <c r="AV119" s="570" t="str">
        <f t="shared" si="967"/>
        <v>Withdraw</v>
      </c>
      <c r="AW119" s="570" t="str">
        <f t="shared" si="967"/>
        <v>Withdraw</v>
      </c>
      <c r="AX119" s="570" t="str">
        <f t="shared" si="967"/>
        <v>Withdraw</v>
      </c>
      <c r="AY119" s="570" t="str">
        <f t="shared" si="967"/>
        <v>Withdraw</v>
      </c>
      <c r="AZ119" s="570" t="str">
        <f t="shared" si="967"/>
        <v>Withdraw</v>
      </c>
      <c r="BA119" s="570" t="str">
        <f t="shared" si="967"/>
        <v>Inject</v>
      </c>
      <c r="BB119" s="570" t="str">
        <f t="shared" si="967"/>
        <v>Inject</v>
      </c>
      <c r="BC119" s="570" t="str">
        <f t="shared" si="967"/>
        <v>Inject</v>
      </c>
      <c r="BD119" s="570" t="str">
        <f t="shared" si="967"/>
        <v>Inject</v>
      </c>
      <c r="BE119" s="570" t="str">
        <f t="shared" si="967"/>
        <v>Inject</v>
      </c>
      <c r="BF119" s="570" t="str">
        <f t="shared" si="967"/>
        <v>Inject</v>
      </c>
      <c r="BG119" s="570" t="str">
        <f t="shared" si="967"/>
        <v>Inject</v>
      </c>
      <c r="BH119" s="570" t="str">
        <f t="shared" si="967"/>
        <v>Withdraw</v>
      </c>
      <c r="BI119" s="570" t="str">
        <f t="shared" si="967"/>
        <v>Withdraw</v>
      </c>
      <c r="BJ119" s="570" t="str">
        <f t="shared" si="967"/>
        <v>Withdraw</v>
      </c>
      <c r="BK119" s="570" t="str">
        <f t="shared" si="967"/>
        <v>Withdraw</v>
      </c>
      <c r="BL119" s="570" t="str">
        <f t="shared" si="967"/>
        <v>Withdraw</v>
      </c>
      <c r="BM119" s="570" t="str">
        <f t="shared" si="967"/>
        <v>Inject</v>
      </c>
      <c r="BN119" s="570" t="str">
        <f t="shared" si="967"/>
        <v>Inject</v>
      </c>
      <c r="BO119" s="570" t="str">
        <f t="shared" si="967"/>
        <v>Inject</v>
      </c>
      <c r="BP119" s="570" t="str">
        <f t="shared" si="967"/>
        <v>Inject</v>
      </c>
      <c r="BQ119" s="570" t="str">
        <f t="shared" si="967"/>
        <v>Inject</v>
      </c>
      <c r="BR119" s="570" t="str">
        <f t="shared" si="967"/>
        <v>Inject</v>
      </c>
      <c r="BS119" s="570" t="str">
        <f t="shared" si="967"/>
        <v>Inject</v>
      </c>
      <c r="BT119" s="570" t="str">
        <f t="shared" si="967"/>
        <v>Withdraw</v>
      </c>
      <c r="BU119" s="570" t="str">
        <f t="shared" ref="BU119:CN119" si="968">IF(AND(MONTH(BU4)&gt;=4,MONTH(BU4)&lt;=10),"Inject", "Withdraw")</f>
        <v>Withdraw</v>
      </c>
      <c r="BV119" s="570" t="str">
        <f t="shared" si="968"/>
        <v>Withdraw</v>
      </c>
      <c r="BW119" s="570" t="str">
        <f t="shared" si="968"/>
        <v>Withdraw</v>
      </c>
      <c r="BX119" s="570" t="str">
        <f t="shared" si="968"/>
        <v>Withdraw</v>
      </c>
      <c r="BY119" s="570" t="str">
        <f t="shared" si="968"/>
        <v>Inject</v>
      </c>
      <c r="BZ119" s="570" t="str">
        <f t="shared" si="968"/>
        <v>Inject</v>
      </c>
      <c r="CA119" s="570" t="str">
        <f t="shared" si="968"/>
        <v>Inject</v>
      </c>
      <c r="CB119" s="570" t="str">
        <f t="shared" si="968"/>
        <v>Inject</v>
      </c>
      <c r="CC119" s="570" t="str">
        <f t="shared" si="968"/>
        <v>Inject</v>
      </c>
      <c r="CD119" s="570" t="str">
        <f t="shared" si="968"/>
        <v>Inject</v>
      </c>
      <c r="CE119" s="570" t="str">
        <f t="shared" si="968"/>
        <v>Withdraw</v>
      </c>
      <c r="CF119" s="570" t="str">
        <f t="shared" si="968"/>
        <v>Withdraw</v>
      </c>
      <c r="CG119" s="570" t="str">
        <f t="shared" si="968"/>
        <v>Withdraw</v>
      </c>
      <c r="CH119" s="570" t="str">
        <f t="shared" si="968"/>
        <v>Withdraw</v>
      </c>
      <c r="CI119" s="570" t="str">
        <f t="shared" si="968"/>
        <v>Withdraw</v>
      </c>
      <c r="CJ119" s="570" t="str">
        <f t="shared" si="968"/>
        <v>Withdraw</v>
      </c>
      <c r="CK119" s="570" t="str">
        <f t="shared" si="968"/>
        <v>Withdraw</v>
      </c>
      <c r="CL119" s="570" t="str">
        <f t="shared" si="968"/>
        <v>Withdraw</v>
      </c>
      <c r="CM119" s="570" t="str">
        <f t="shared" si="968"/>
        <v>Withdraw</v>
      </c>
      <c r="CN119" s="570" t="str">
        <f t="shared" si="968"/>
        <v>Withdraw</v>
      </c>
    </row>
    <row r="120" spans="1:92">
      <c r="A120" s="106" t="s">
        <v>447</v>
      </c>
      <c r="C120" s="274" t="s">
        <v>650</v>
      </c>
      <c r="H120" s="362"/>
      <c r="I120" s="240"/>
      <c r="J120" s="240"/>
      <c r="N120" s="107"/>
      <c r="O120" s="240"/>
      <c r="P120" s="274"/>
      <c r="Q120" s="240"/>
      <c r="R120" s="240"/>
      <c r="S120" s="240"/>
      <c r="T120" s="107"/>
      <c r="U120" s="107"/>
      <c r="V120" s="107"/>
      <c r="W120" s="107"/>
      <c r="X120" s="107"/>
      <c r="Y120" s="107"/>
      <c r="Z120" s="107"/>
      <c r="AA120" s="107"/>
    </row>
    <row r="121" spans="1:92">
      <c r="A121" s="240">
        <v>1</v>
      </c>
      <c r="B121" s="106" t="s">
        <v>369</v>
      </c>
      <c r="C121" s="107"/>
      <c r="D121" s="107"/>
      <c r="F121"/>
      <c r="G121"/>
      <c r="H121" s="364">
        <v>0</v>
      </c>
      <c r="I121" s="22">
        <v>0</v>
      </c>
      <c r="J121" s="22">
        <v>0</v>
      </c>
      <c r="K121" s="22">
        <v>0</v>
      </c>
      <c r="L121" s="22">
        <v>164130</v>
      </c>
      <c r="M121" s="22">
        <v>254510</v>
      </c>
      <c r="N121" s="22">
        <v>303800</v>
      </c>
      <c r="O121" s="22">
        <v>250444</v>
      </c>
      <c r="P121" s="29">
        <v>209343</v>
      </c>
      <c r="Q121" s="282">
        <v>0</v>
      </c>
      <c r="R121" s="282">
        <v>0</v>
      </c>
      <c r="S121" s="282">
        <v>0</v>
      </c>
      <c r="T121" s="282">
        <v>0</v>
      </c>
      <c r="U121" s="22">
        <f t="shared" ref="U121:Z123" si="969">I121</f>
        <v>0</v>
      </c>
      <c r="V121" s="22">
        <f t="shared" si="969"/>
        <v>0</v>
      </c>
      <c r="W121" s="22">
        <f t="shared" si="969"/>
        <v>0</v>
      </c>
      <c r="X121" s="22">
        <f t="shared" si="969"/>
        <v>164130</v>
      </c>
      <c r="Y121" s="22">
        <f t="shared" si="969"/>
        <v>254510</v>
      </c>
      <c r="Z121" s="22">
        <f t="shared" si="969"/>
        <v>303800</v>
      </c>
      <c r="AA121" s="22">
        <f>O121</f>
        <v>250444</v>
      </c>
      <c r="AB121" s="22">
        <f t="shared" ref="AB121:CM123" si="970">P121</f>
        <v>209343</v>
      </c>
      <c r="AC121" s="22">
        <f t="shared" si="970"/>
        <v>0</v>
      </c>
      <c r="AD121" s="22">
        <f t="shared" si="970"/>
        <v>0</v>
      </c>
      <c r="AE121" s="22">
        <f t="shared" si="970"/>
        <v>0</v>
      </c>
      <c r="AF121" s="22">
        <f t="shared" si="970"/>
        <v>0</v>
      </c>
      <c r="AG121" s="22">
        <f t="shared" si="970"/>
        <v>0</v>
      </c>
      <c r="AH121" s="22">
        <f t="shared" si="970"/>
        <v>0</v>
      </c>
      <c r="AI121" s="22">
        <f t="shared" si="970"/>
        <v>0</v>
      </c>
      <c r="AJ121" s="22">
        <f t="shared" si="970"/>
        <v>164130</v>
      </c>
      <c r="AK121" s="22">
        <f t="shared" si="970"/>
        <v>254510</v>
      </c>
      <c r="AL121" s="22">
        <f t="shared" si="970"/>
        <v>303800</v>
      </c>
      <c r="AM121" s="22">
        <f t="shared" si="970"/>
        <v>250444</v>
      </c>
      <c r="AN121" s="22">
        <f t="shared" si="970"/>
        <v>209343</v>
      </c>
      <c r="AO121" s="22">
        <f t="shared" si="970"/>
        <v>0</v>
      </c>
      <c r="AP121" s="22">
        <f t="shared" si="970"/>
        <v>0</v>
      </c>
      <c r="AQ121" s="22">
        <f t="shared" si="970"/>
        <v>0</v>
      </c>
      <c r="AR121" s="22">
        <f t="shared" si="970"/>
        <v>0</v>
      </c>
      <c r="AS121" s="22">
        <f t="shared" si="970"/>
        <v>0</v>
      </c>
      <c r="AT121" s="22">
        <f t="shared" si="970"/>
        <v>0</v>
      </c>
      <c r="AU121" s="22">
        <f t="shared" si="970"/>
        <v>0</v>
      </c>
      <c r="AV121" s="22">
        <f t="shared" si="970"/>
        <v>164130</v>
      </c>
      <c r="AW121" s="22">
        <f t="shared" si="970"/>
        <v>254510</v>
      </c>
      <c r="AX121" s="22">
        <f t="shared" si="970"/>
        <v>303800</v>
      </c>
      <c r="AY121" s="22">
        <f t="shared" si="970"/>
        <v>250444</v>
      </c>
      <c r="AZ121" s="22">
        <f t="shared" si="970"/>
        <v>209343</v>
      </c>
      <c r="BA121" s="22">
        <f t="shared" si="970"/>
        <v>0</v>
      </c>
      <c r="BB121" s="22">
        <f t="shared" si="970"/>
        <v>0</v>
      </c>
      <c r="BC121" s="22">
        <f t="shared" si="970"/>
        <v>0</v>
      </c>
      <c r="BD121" s="22">
        <f t="shared" si="970"/>
        <v>0</v>
      </c>
      <c r="BE121" s="22">
        <f t="shared" si="970"/>
        <v>0</v>
      </c>
      <c r="BF121" s="22">
        <f t="shared" si="970"/>
        <v>0</v>
      </c>
      <c r="BG121" s="22">
        <f t="shared" si="970"/>
        <v>0</v>
      </c>
      <c r="BH121" s="22">
        <f t="shared" si="970"/>
        <v>164130</v>
      </c>
      <c r="BI121" s="22">
        <f t="shared" si="970"/>
        <v>254510</v>
      </c>
      <c r="BJ121" s="22">
        <f t="shared" si="970"/>
        <v>303800</v>
      </c>
      <c r="BK121" s="22">
        <f t="shared" si="970"/>
        <v>250444</v>
      </c>
      <c r="BL121" s="22">
        <f t="shared" si="970"/>
        <v>209343</v>
      </c>
      <c r="BM121" s="22">
        <f t="shared" si="970"/>
        <v>0</v>
      </c>
      <c r="BN121" s="22">
        <f t="shared" si="970"/>
        <v>0</v>
      </c>
      <c r="BO121" s="22">
        <f t="shared" si="970"/>
        <v>0</v>
      </c>
      <c r="BP121" s="22">
        <f t="shared" si="970"/>
        <v>0</v>
      </c>
      <c r="BQ121" s="22">
        <f t="shared" si="970"/>
        <v>0</v>
      </c>
      <c r="BR121" s="22">
        <f t="shared" si="970"/>
        <v>0</v>
      </c>
      <c r="BS121" s="22">
        <f t="shared" si="970"/>
        <v>0</v>
      </c>
      <c r="BT121" s="22">
        <f t="shared" si="970"/>
        <v>164130</v>
      </c>
      <c r="BU121" s="22">
        <f t="shared" si="970"/>
        <v>254510</v>
      </c>
      <c r="BV121" s="22">
        <f t="shared" si="970"/>
        <v>303800</v>
      </c>
      <c r="BW121" s="22">
        <f t="shared" si="970"/>
        <v>250444</v>
      </c>
      <c r="BX121" s="22">
        <f t="shared" si="970"/>
        <v>209343</v>
      </c>
      <c r="BY121" s="22">
        <f t="shared" si="970"/>
        <v>0</v>
      </c>
      <c r="BZ121" s="22">
        <f t="shared" si="970"/>
        <v>0</v>
      </c>
      <c r="CA121" s="22">
        <f t="shared" si="970"/>
        <v>0</v>
      </c>
      <c r="CB121" s="22">
        <f t="shared" si="970"/>
        <v>0</v>
      </c>
      <c r="CC121" s="22">
        <f t="shared" si="970"/>
        <v>0</v>
      </c>
      <c r="CD121" s="22">
        <f t="shared" si="970"/>
        <v>0</v>
      </c>
      <c r="CE121" s="29">
        <f t="shared" si="970"/>
        <v>0</v>
      </c>
      <c r="CF121" s="22">
        <f t="shared" si="970"/>
        <v>164130</v>
      </c>
      <c r="CG121" s="22">
        <f t="shared" si="970"/>
        <v>254510</v>
      </c>
      <c r="CH121" s="22">
        <f t="shared" si="970"/>
        <v>303800</v>
      </c>
      <c r="CI121" s="22">
        <f t="shared" si="970"/>
        <v>250444</v>
      </c>
      <c r="CJ121" s="22">
        <f t="shared" si="970"/>
        <v>209343</v>
      </c>
      <c r="CK121" s="22">
        <f t="shared" si="970"/>
        <v>0</v>
      </c>
      <c r="CL121" s="22">
        <f t="shared" si="970"/>
        <v>0</v>
      </c>
      <c r="CM121" s="22">
        <f t="shared" si="970"/>
        <v>0</v>
      </c>
      <c r="CN121" s="22">
        <f t="shared" ref="CN121:CN123" si="971">CB121</f>
        <v>0</v>
      </c>
    </row>
    <row r="122" spans="1:92">
      <c r="A122" s="115" t="s">
        <v>566</v>
      </c>
      <c r="B122" s="106" t="s">
        <v>370</v>
      </c>
      <c r="C122" s="265"/>
      <c r="D122" s="265"/>
      <c r="F122"/>
      <c r="G122"/>
      <c r="H122" s="364">
        <v>0</v>
      </c>
      <c r="I122" s="22">
        <v>0</v>
      </c>
      <c r="J122" s="22">
        <v>0</v>
      </c>
      <c r="K122" s="22">
        <v>0</v>
      </c>
      <c r="L122" s="22">
        <v>337176</v>
      </c>
      <c r="M122" s="22">
        <v>599205.20000000007</v>
      </c>
      <c r="N122" s="22">
        <v>685410</v>
      </c>
      <c r="O122" s="22">
        <v>837704</v>
      </c>
      <c r="P122" s="29">
        <v>651533.20000000007</v>
      </c>
      <c r="Q122" s="282">
        <v>0</v>
      </c>
      <c r="R122" s="282">
        <v>0</v>
      </c>
      <c r="S122" s="282">
        <v>0</v>
      </c>
      <c r="T122" s="282">
        <v>0</v>
      </c>
      <c r="U122" s="22">
        <f t="shared" si="969"/>
        <v>0</v>
      </c>
      <c r="V122" s="22">
        <f t="shared" si="969"/>
        <v>0</v>
      </c>
      <c r="W122" s="22">
        <f t="shared" si="969"/>
        <v>0</v>
      </c>
      <c r="X122" s="22">
        <f t="shared" si="969"/>
        <v>337176</v>
      </c>
      <c r="Y122" s="22">
        <f t="shared" si="969"/>
        <v>599205.20000000007</v>
      </c>
      <c r="Z122" s="22">
        <f t="shared" si="969"/>
        <v>685410</v>
      </c>
      <c r="AA122" s="22">
        <f t="shared" ref="AA122:AA123" si="972">O122</f>
        <v>837704</v>
      </c>
      <c r="AB122" s="22">
        <f t="shared" si="970"/>
        <v>651533.20000000007</v>
      </c>
      <c r="AC122" s="22">
        <f t="shared" si="970"/>
        <v>0</v>
      </c>
      <c r="AD122" s="22">
        <f t="shared" si="970"/>
        <v>0</v>
      </c>
      <c r="AE122" s="22">
        <f t="shared" si="970"/>
        <v>0</v>
      </c>
      <c r="AF122" s="22">
        <f t="shared" si="970"/>
        <v>0</v>
      </c>
      <c r="AG122" s="22">
        <f t="shared" si="970"/>
        <v>0</v>
      </c>
      <c r="AH122" s="22">
        <f t="shared" si="970"/>
        <v>0</v>
      </c>
      <c r="AI122" s="22">
        <f t="shared" si="970"/>
        <v>0</v>
      </c>
      <c r="AJ122" s="22">
        <f t="shared" si="970"/>
        <v>337176</v>
      </c>
      <c r="AK122" s="22">
        <f t="shared" si="970"/>
        <v>599205.20000000007</v>
      </c>
      <c r="AL122" s="22">
        <f t="shared" si="970"/>
        <v>685410</v>
      </c>
      <c r="AM122" s="22">
        <f t="shared" si="970"/>
        <v>837704</v>
      </c>
      <c r="AN122" s="22">
        <f t="shared" si="970"/>
        <v>651533.20000000007</v>
      </c>
      <c r="AO122" s="22">
        <f t="shared" si="970"/>
        <v>0</v>
      </c>
      <c r="AP122" s="22">
        <f t="shared" si="970"/>
        <v>0</v>
      </c>
      <c r="AQ122" s="22">
        <f t="shared" si="970"/>
        <v>0</v>
      </c>
      <c r="AR122" s="22">
        <f t="shared" si="970"/>
        <v>0</v>
      </c>
      <c r="AS122" s="22">
        <f t="shared" si="970"/>
        <v>0</v>
      </c>
      <c r="AT122" s="22">
        <f t="shared" si="970"/>
        <v>0</v>
      </c>
      <c r="AU122" s="22">
        <f t="shared" si="970"/>
        <v>0</v>
      </c>
      <c r="AV122" s="22">
        <f t="shared" si="970"/>
        <v>337176</v>
      </c>
      <c r="AW122" s="22">
        <f t="shared" si="970"/>
        <v>599205.20000000007</v>
      </c>
      <c r="AX122" s="22">
        <f t="shared" si="970"/>
        <v>685410</v>
      </c>
      <c r="AY122" s="22">
        <f t="shared" si="970"/>
        <v>837704</v>
      </c>
      <c r="AZ122" s="22">
        <f t="shared" si="970"/>
        <v>651533.20000000007</v>
      </c>
      <c r="BA122" s="22">
        <f t="shared" si="970"/>
        <v>0</v>
      </c>
      <c r="BB122" s="22">
        <f t="shared" si="970"/>
        <v>0</v>
      </c>
      <c r="BC122" s="22">
        <f t="shared" si="970"/>
        <v>0</v>
      </c>
      <c r="BD122" s="22">
        <f t="shared" si="970"/>
        <v>0</v>
      </c>
      <c r="BE122" s="22">
        <f t="shared" si="970"/>
        <v>0</v>
      </c>
      <c r="BF122" s="22">
        <f t="shared" si="970"/>
        <v>0</v>
      </c>
      <c r="BG122" s="22">
        <f t="shared" si="970"/>
        <v>0</v>
      </c>
      <c r="BH122" s="22">
        <f t="shared" si="970"/>
        <v>337176</v>
      </c>
      <c r="BI122" s="22">
        <f t="shared" si="970"/>
        <v>599205.20000000007</v>
      </c>
      <c r="BJ122" s="22">
        <f t="shared" si="970"/>
        <v>685410</v>
      </c>
      <c r="BK122" s="22">
        <f t="shared" si="970"/>
        <v>837704</v>
      </c>
      <c r="BL122" s="22">
        <f t="shared" si="970"/>
        <v>651533.20000000007</v>
      </c>
      <c r="BM122" s="22">
        <f t="shared" si="970"/>
        <v>0</v>
      </c>
      <c r="BN122" s="22">
        <f t="shared" si="970"/>
        <v>0</v>
      </c>
      <c r="BO122" s="22">
        <f t="shared" si="970"/>
        <v>0</v>
      </c>
      <c r="BP122" s="22">
        <f t="shared" si="970"/>
        <v>0</v>
      </c>
      <c r="BQ122" s="22">
        <f t="shared" si="970"/>
        <v>0</v>
      </c>
      <c r="BR122" s="22">
        <f t="shared" si="970"/>
        <v>0</v>
      </c>
      <c r="BS122" s="22">
        <f t="shared" si="970"/>
        <v>0</v>
      </c>
      <c r="BT122" s="22">
        <f t="shared" si="970"/>
        <v>337176</v>
      </c>
      <c r="BU122" s="22">
        <f t="shared" si="970"/>
        <v>599205.20000000007</v>
      </c>
      <c r="BV122" s="22">
        <f t="shared" si="970"/>
        <v>685410</v>
      </c>
      <c r="BW122" s="22">
        <f t="shared" si="970"/>
        <v>837704</v>
      </c>
      <c r="BX122" s="22">
        <f t="shared" si="970"/>
        <v>651533.20000000007</v>
      </c>
      <c r="BY122" s="22">
        <f t="shared" si="970"/>
        <v>0</v>
      </c>
      <c r="BZ122" s="22">
        <f t="shared" si="970"/>
        <v>0</v>
      </c>
      <c r="CA122" s="22">
        <f t="shared" si="970"/>
        <v>0</v>
      </c>
      <c r="CB122" s="22">
        <f t="shared" si="970"/>
        <v>0</v>
      </c>
      <c r="CC122" s="22">
        <f t="shared" si="970"/>
        <v>0</v>
      </c>
      <c r="CD122" s="22">
        <f t="shared" si="970"/>
        <v>0</v>
      </c>
      <c r="CE122" s="29">
        <f t="shared" si="970"/>
        <v>0</v>
      </c>
      <c r="CF122" s="22">
        <f t="shared" si="970"/>
        <v>337176</v>
      </c>
      <c r="CG122" s="22">
        <f t="shared" si="970"/>
        <v>599205.20000000007</v>
      </c>
      <c r="CH122" s="22">
        <f t="shared" si="970"/>
        <v>685410</v>
      </c>
      <c r="CI122" s="22">
        <f t="shared" si="970"/>
        <v>837704</v>
      </c>
      <c r="CJ122" s="22">
        <f t="shared" si="970"/>
        <v>651533.20000000007</v>
      </c>
      <c r="CK122" s="22">
        <f t="shared" si="970"/>
        <v>0</v>
      </c>
      <c r="CL122" s="22">
        <f t="shared" si="970"/>
        <v>0</v>
      </c>
      <c r="CM122" s="22">
        <f t="shared" si="970"/>
        <v>0</v>
      </c>
      <c r="CN122" s="22">
        <f t="shared" si="971"/>
        <v>0</v>
      </c>
    </row>
    <row r="123" spans="1:92">
      <c r="B123" s="106" t="s">
        <v>371</v>
      </c>
      <c r="C123" s="266"/>
      <c r="D123" s="266"/>
      <c r="F123"/>
      <c r="G123"/>
      <c r="H123" s="364">
        <v>0</v>
      </c>
      <c r="I123" s="22">
        <v>0</v>
      </c>
      <c r="J123" s="22">
        <v>0</v>
      </c>
      <c r="K123" s="22">
        <v>0</v>
      </c>
      <c r="L123" s="22">
        <v>458820</v>
      </c>
      <c r="M123" s="22">
        <v>729771</v>
      </c>
      <c r="N123" s="22">
        <v>791678</v>
      </c>
      <c r="O123" s="22">
        <v>1303036</v>
      </c>
      <c r="P123" s="317">
        <v>1244650</v>
      </c>
      <c r="Q123" s="294">
        <v>0</v>
      </c>
      <c r="R123" s="294">
        <v>0</v>
      </c>
      <c r="S123" s="294">
        <v>0</v>
      </c>
      <c r="T123" s="294">
        <v>0</v>
      </c>
      <c r="U123" s="22">
        <f t="shared" si="969"/>
        <v>0</v>
      </c>
      <c r="V123" s="22">
        <f t="shared" si="969"/>
        <v>0</v>
      </c>
      <c r="W123" s="22">
        <f t="shared" si="969"/>
        <v>0</v>
      </c>
      <c r="X123" s="22">
        <f t="shared" si="969"/>
        <v>458820</v>
      </c>
      <c r="Y123" s="22">
        <f t="shared" si="969"/>
        <v>729771</v>
      </c>
      <c r="Z123" s="22">
        <f t="shared" si="969"/>
        <v>791678</v>
      </c>
      <c r="AA123" s="22">
        <f t="shared" si="972"/>
        <v>1303036</v>
      </c>
      <c r="AB123" s="22">
        <f t="shared" si="970"/>
        <v>1244650</v>
      </c>
      <c r="AC123" s="22">
        <f t="shared" si="970"/>
        <v>0</v>
      </c>
      <c r="AD123" s="22">
        <f t="shared" si="970"/>
        <v>0</v>
      </c>
      <c r="AE123" s="22">
        <f t="shared" si="970"/>
        <v>0</v>
      </c>
      <c r="AF123" s="22">
        <f t="shared" si="970"/>
        <v>0</v>
      </c>
      <c r="AG123" s="22">
        <f t="shared" si="970"/>
        <v>0</v>
      </c>
      <c r="AH123" s="22">
        <f t="shared" si="970"/>
        <v>0</v>
      </c>
      <c r="AI123" s="22">
        <f t="shared" si="970"/>
        <v>0</v>
      </c>
      <c r="AJ123" s="22">
        <f t="shared" si="970"/>
        <v>458820</v>
      </c>
      <c r="AK123" s="22">
        <f t="shared" si="970"/>
        <v>729771</v>
      </c>
      <c r="AL123" s="22">
        <f t="shared" si="970"/>
        <v>791678</v>
      </c>
      <c r="AM123" s="22">
        <f t="shared" si="970"/>
        <v>1303036</v>
      </c>
      <c r="AN123" s="22">
        <f t="shared" si="970"/>
        <v>1244650</v>
      </c>
      <c r="AO123" s="22">
        <f t="shared" si="970"/>
        <v>0</v>
      </c>
      <c r="AP123" s="22">
        <f t="shared" si="970"/>
        <v>0</v>
      </c>
      <c r="AQ123" s="22">
        <f t="shared" si="970"/>
        <v>0</v>
      </c>
      <c r="AR123" s="22">
        <f t="shared" si="970"/>
        <v>0</v>
      </c>
      <c r="AS123" s="22">
        <f t="shared" si="970"/>
        <v>0</v>
      </c>
      <c r="AT123" s="22">
        <f t="shared" si="970"/>
        <v>0</v>
      </c>
      <c r="AU123" s="22">
        <f t="shared" si="970"/>
        <v>0</v>
      </c>
      <c r="AV123" s="22">
        <f t="shared" si="970"/>
        <v>458820</v>
      </c>
      <c r="AW123" s="22">
        <f t="shared" si="970"/>
        <v>729771</v>
      </c>
      <c r="AX123" s="22">
        <f t="shared" si="970"/>
        <v>791678</v>
      </c>
      <c r="AY123" s="22">
        <f t="shared" si="970"/>
        <v>1303036</v>
      </c>
      <c r="AZ123" s="22">
        <f t="shared" si="970"/>
        <v>1244650</v>
      </c>
      <c r="BA123" s="22">
        <f t="shared" si="970"/>
        <v>0</v>
      </c>
      <c r="BB123" s="22">
        <f t="shared" si="970"/>
        <v>0</v>
      </c>
      <c r="BC123" s="22">
        <f t="shared" si="970"/>
        <v>0</v>
      </c>
      <c r="BD123" s="22">
        <f t="shared" si="970"/>
        <v>0</v>
      </c>
      <c r="BE123" s="22">
        <f t="shared" si="970"/>
        <v>0</v>
      </c>
      <c r="BF123" s="22">
        <f t="shared" si="970"/>
        <v>0</v>
      </c>
      <c r="BG123" s="22">
        <f t="shared" si="970"/>
        <v>0</v>
      </c>
      <c r="BH123" s="22">
        <f t="shared" si="970"/>
        <v>458820</v>
      </c>
      <c r="BI123" s="22">
        <f t="shared" si="970"/>
        <v>729771</v>
      </c>
      <c r="BJ123" s="22">
        <f t="shared" si="970"/>
        <v>791678</v>
      </c>
      <c r="BK123" s="22">
        <f t="shared" si="970"/>
        <v>1303036</v>
      </c>
      <c r="BL123" s="22">
        <f t="shared" si="970"/>
        <v>1244650</v>
      </c>
      <c r="BM123" s="22">
        <f t="shared" si="970"/>
        <v>0</v>
      </c>
      <c r="BN123" s="22">
        <f t="shared" si="970"/>
        <v>0</v>
      </c>
      <c r="BO123" s="22">
        <f t="shared" si="970"/>
        <v>0</v>
      </c>
      <c r="BP123" s="22">
        <f t="shared" si="970"/>
        <v>0</v>
      </c>
      <c r="BQ123" s="22">
        <f t="shared" si="970"/>
        <v>0</v>
      </c>
      <c r="BR123" s="22">
        <f t="shared" si="970"/>
        <v>0</v>
      </c>
      <c r="BS123" s="22">
        <f t="shared" si="970"/>
        <v>0</v>
      </c>
      <c r="BT123" s="22">
        <f t="shared" si="970"/>
        <v>458820</v>
      </c>
      <c r="BU123" s="22">
        <f t="shared" si="970"/>
        <v>729771</v>
      </c>
      <c r="BV123" s="22">
        <f t="shared" si="970"/>
        <v>791678</v>
      </c>
      <c r="BW123" s="22">
        <f t="shared" si="970"/>
        <v>1303036</v>
      </c>
      <c r="BX123" s="22">
        <f t="shared" si="970"/>
        <v>1244650</v>
      </c>
      <c r="BY123" s="22">
        <f t="shared" si="970"/>
        <v>0</v>
      </c>
      <c r="BZ123" s="22">
        <f t="shared" si="970"/>
        <v>0</v>
      </c>
      <c r="CA123" s="22">
        <f t="shared" si="970"/>
        <v>0</v>
      </c>
      <c r="CB123" s="22">
        <f t="shared" si="970"/>
        <v>0</v>
      </c>
      <c r="CC123" s="22">
        <f t="shared" si="970"/>
        <v>0</v>
      </c>
      <c r="CD123" s="22">
        <f t="shared" si="970"/>
        <v>0</v>
      </c>
      <c r="CE123" s="29">
        <f t="shared" si="970"/>
        <v>0</v>
      </c>
      <c r="CF123" s="22">
        <f t="shared" si="970"/>
        <v>458820</v>
      </c>
      <c r="CG123" s="22">
        <f t="shared" si="970"/>
        <v>729771</v>
      </c>
      <c r="CH123" s="22">
        <f t="shared" si="970"/>
        <v>791678</v>
      </c>
      <c r="CI123" s="22">
        <f t="shared" si="970"/>
        <v>1303036</v>
      </c>
      <c r="CJ123" s="22">
        <f t="shared" si="970"/>
        <v>1244650</v>
      </c>
      <c r="CK123" s="22">
        <f t="shared" si="970"/>
        <v>0</v>
      </c>
      <c r="CL123" s="22">
        <f t="shared" si="970"/>
        <v>0</v>
      </c>
      <c r="CM123" s="22">
        <f t="shared" si="970"/>
        <v>0</v>
      </c>
      <c r="CN123" s="22">
        <f t="shared" si="971"/>
        <v>0</v>
      </c>
    </row>
    <row r="124" spans="1:92">
      <c r="B124" s="106" t="s">
        <v>372</v>
      </c>
      <c r="C124" s="107">
        <f t="shared" ref="C124:D124" si="973">SUM(C121:C123)</f>
        <v>0</v>
      </c>
      <c r="D124" s="107">
        <f t="shared" si="973"/>
        <v>0</v>
      </c>
      <c r="F124"/>
      <c r="G124"/>
      <c r="H124" s="572">
        <f>SUM(H121:H123)</f>
        <v>0</v>
      </c>
      <c r="I124" s="573">
        <f t="shared" ref="I124:O124" si="974">SUM(I121:I123)</f>
        <v>0</v>
      </c>
      <c r="J124" s="573">
        <f t="shared" si="974"/>
        <v>0</v>
      </c>
      <c r="K124" s="573">
        <f t="shared" si="974"/>
        <v>0</v>
      </c>
      <c r="L124" s="573">
        <f t="shared" si="974"/>
        <v>960126</v>
      </c>
      <c r="M124" s="573">
        <f t="shared" si="974"/>
        <v>1583486.2000000002</v>
      </c>
      <c r="N124" s="573">
        <f t="shared" si="974"/>
        <v>1780888</v>
      </c>
      <c r="O124" s="573">
        <f t="shared" si="974"/>
        <v>2391184</v>
      </c>
      <c r="P124" s="22">
        <f t="shared" ref="P124:Z124" si="975">SUM(P121:P123)</f>
        <v>2105526.2000000002</v>
      </c>
      <c r="Q124" s="22">
        <f t="shared" si="975"/>
        <v>0</v>
      </c>
      <c r="R124" s="22">
        <f t="shared" si="975"/>
        <v>0</v>
      </c>
      <c r="S124" s="22">
        <f t="shared" si="975"/>
        <v>0</v>
      </c>
      <c r="T124" s="22">
        <f t="shared" si="975"/>
        <v>0</v>
      </c>
      <c r="U124" s="573">
        <f t="shared" si="975"/>
        <v>0</v>
      </c>
      <c r="V124" s="573">
        <f t="shared" si="975"/>
        <v>0</v>
      </c>
      <c r="W124" s="573">
        <f t="shared" si="975"/>
        <v>0</v>
      </c>
      <c r="X124" s="573">
        <f t="shared" si="975"/>
        <v>960126</v>
      </c>
      <c r="Y124" s="573">
        <f t="shared" si="975"/>
        <v>1583486.2000000002</v>
      </c>
      <c r="Z124" s="573">
        <f t="shared" si="975"/>
        <v>1780888</v>
      </c>
      <c r="AA124" s="573">
        <f t="shared" ref="AA124" si="976">SUM(AA121:AA123)</f>
        <v>2391184</v>
      </c>
      <c r="AB124" s="573">
        <f t="shared" ref="AB124:CM124" si="977">SUM(AB121:AB123)</f>
        <v>2105526.2000000002</v>
      </c>
      <c r="AC124" s="573">
        <f t="shared" si="977"/>
        <v>0</v>
      </c>
      <c r="AD124" s="573">
        <f t="shared" si="977"/>
        <v>0</v>
      </c>
      <c r="AE124" s="573">
        <f t="shared" si="977"/>
        <v>0</v>
      </c>
      <c r="AF124" s="573">
        <f t="shared" si="977"/>
        <v>0</v>
      </c>
      <c r="AG124" s="573">
        <f t="shared" si="977"/>
        <v>0</v>
      </c>
      <c r="AH124" s="573">
        <f t="shared" si="977"/>
        <v>0</v>
      </c>
      <c r="AI124" s="573">
        <f t="shared" si="977"/>
        <v>0</v>
      </c>
      <c r="AJ124" s="573">
        <f t="shared" si="977"/>
        <v>960126</v>
      </c>
      <c r="AK124" s="573">
        <f t="shared" si="977"/>
        <v>1583486.2000000002</v>
      </c>
      <c r="AL124" s="573">
        <f t="shared" si="977"/>
        <v>1780888</v>
      </c>
      <c r="AM124" s="573">
        <f t="shared" si="977"/>
        <v>2391184</v>
      </c>
      <c r="AN124" s="573">
        <f t="shared" si="977"/>
        <v>2105526.2000000002</v>
      </c>
      <c r="AO124" s="573">
        <f t="shared" si="977"/>
        <v>0</v>
      </c>
      <c r="AP124" s="573">
        <f t="shared" si="977"/>
        <v>0</v>
      </c>
      <c r="AQ124" s="573">
        <f t="shared" si="977"/>
        <v>0</v>
      </c>
      <c r="AR124" s="573">
        <f t="shared" si="977"/>
        <v>0</v>
      </c>
      <c r="AS124" s="573">
        <f t="shared" si="977"/>
        <v>0</v>
      </c>
      <c r="AT124" s="573">
        <f t="shared" si="977"/>
        <v>0</v>
      </c>
      <c r="AU124" s="573">
        <f t="shared" si="977"/>
        <v>0</v>
      </c>
      <c r="AV124" s="573">
        <f t="shared" si="977"/>
        <v>960126</v>
      </c>
      <c r="AW124" s="573">
        <f t="shared" si="977"/>
        <v>1583486.2000000002</v>
      </c>
      <c r="AX124" s="573">
        <f t="shared" si="977"/>
        <v>1780888</v>
      </c>
      <c r="AY124" s="573">
        <f t="shared" si="977"/>
        <v>2391184</v>
      </c>
      <c r="AZ124" s="573">
        <f t="shared" si="977"/>
        <v>2105526.2000000002</v>
      </c>
      <c r="BA124" s="573">
        <f t="shared" si="977"/>
        <v>0</v>
      </c>
      <c r="BB124" s="573">
        <f t="shared" si="977"/>
        <v>0</v>
      </c>
      <c r="BC124" s="573">
        <f t="shared" si="977"/>
        <v>0</v>
      </c>
      <c r="BD124" s="573">
        <f t="shared" si="977"/>
        <v>0</v>
      </c>
      <c r="BE124" s="573">
        <f t="shared" si="977"/>
        <v>0</v>
      </c>
      <c r="BF124" s="573">
        <f t="shared" si="977"/>
        <v>0</v>
      </c>
      <c r="BG124" s="573">
        <f t="shared" si="977"/>
        <v>0</v>
      </c>
      <c r="BH124" s="573">
        <f t="shared" si="977"/>
        <v>960126</v>
      </c>
      <c r="BI124" s="573">
        <f t="shared" si="977"/>
        <v>1583486.2000000002</v>
      </c>
      <c r="BJ124" s="573">
        <f t="shared" si="977"/>
        <v>1780888</v>
      </c>
      <c r="BK124" s="573">
        <f t="shared" si="977"/>
        <v>2391184</v>
      </c>
      <c r="BL124" s="573">
        <f t="shared" si="977"/>
        <v>2105526.2000000002</v>
      </c>
      <c r="BM124" s="573">
        <f t="shared" si="977"/>
        <v>0</v>
      </c>
      <c r="BN124" s="573">
        <f t="shared" si="977"/>
        <v>0</v>
      </c>
      <c r="BO124" s="573">
        <f t="shared" si="977"/>
        <v>0</v>
      </c>
      <c r="BP124" s="573">
        <f t="shared" si="977"/>
        <v>0</v>
      </c>
      <c r="BQ124" s="573">
        <f t="shared" si="977"/>
        <v>0</v>
      </c>
      <c r="BR124" s="573">
        <f t="shared" si="977"/>
        <v>0</v>
      </c>
      <c r="BS124" s="573">
        <f t="shared" si="977"/>
        <v>0</v>
      </c>
      <c r="BT124" s="573">
        <f t="shared" si="977"/>
        <v>960126</v>
      </c>
      <c r="BU124" s="573">
        <f t="shared" si="977"/>
        <v>1583486.2000000002</v>
      </c>
      <c r="BV124" s="573">
        <f t="shared" si="977"/>
        <v>1780888</v>
      </c>
      <c r="BW124" s="573">
        <f t="shared" si="977"/>
        <v>2391184</v>
      </c>
      <c r="BX124" s="573">
        <f t="shared" si="977"/>
        <v>2105526.2000000002</v>
      </c>
      <c r="BY124" s="573">
        <f t="shared" si="977"/>
        <v>0</v>
      </c>
      <c r="BZ124" s="573">
        <f t="shared" si="977"/>
        <v>0</v>
      </c>
      <c r="CA124" s="573">
        <f t="shared" si="977"/>
        <v>0</v>
      </c>
      <c r="CB124" s="573">
        <f t="shared" si="977"/>
        <v>0</v>
      </c>
      <c r="CC124" s="573">
        <f t="shared" si="977"/>
        <v>0</v>
      </c>
      <c r="CD124" s="573">
        <f t="shared" si="977"/>
        <v>0</v>
      </c>
      <c r="CE124" s="308">
        <f t="shared" si="977"/>
        <v>0</v>
      </c>
      <c r="CF124" s="573">
        <f t="shared" si="977"/>
        <v>960126</v>
      </c>
      <c r="CG124" s="573">
        <f t="shared" si="977"/>
        <v>1583486.2000000002</v>
      </c>
      <c r="CH124" s="573">
        <f t="shared" si="977"/>
        <v>1780888</v>
      </c>
      <c r="CI124" s="573">
        <f t="shared" si="977"/>
        <v>2391184</v>
      </c>
      <c r="CJ124" s="573">
        <f t="shared" si="977"/>
        <v>2105526.2000000002</v>
      </c>
      <c r="CK124" s="573">
        <f t="shared" si="977"/>
        <v>0</v>
      </c>
      <c r="CL124" s="573">
        <f t="shared" si="977"/>
        <v>0</v>
      </c>
      <c r="CM124" s="573">
        <f t="shared" si="977"/>
        <v>0</v>
      </c>
      <c r="CN124" s="573">
        <f t="shared" ref="CN124" si="978">SUM(CN121:CN123)</f>
        <v>0</v>
      </c>
    </row>
    <row r="125" spans="1:92">
      <c r="D125" s="107"/>
      <c r="H125" s="364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9"/>
      <c r="CF125" s="22"/>
      <c r="CG125" s="22"/>
      <c r="CH125" s="22"/>
      <c r="CI125" s="22"/>
      <c r="CJ125" s="22"/>
      <c r="CK125" s="22"/>
      <c r="CL125" s="22"/>
      <c r="CM125" s="22"/>
      <c r="CN125" s="22"/>
    </row>
    <row r="126" spans="1:92">
      <c r="B126" s="106" t="s">
        <v>373</v>
      </c>
      <c r="C126" s="29"/>
      <c r="D126" s="107"/>
      <c r="E126"/>
      <c r="F126" s="270"/>
      <c r="G126" s="359"/>
      <c r="H126" s="364">
        <v>0</v>
      </c>
      <c r="I126" s="22">
        <v>65537</v>
      </c>
      <c r="J126" s="22">
        <v>65537</v>
      </c>
      <c r="K126" s="22">
        <v>65537</v>
      </c>
      <c r="L126" s="283">
        <v>0</v>
      </c>
      <c r="M126" s="283">
        <v>0</v>
      </c>
      <c r="N126" s="283">
        <v>0</v>
      </c>
      <c r="O126" s="283">
        <v>0</v>
      </c>
      <c r="P126" s="22">
        <v>0</v>
      </c>
      <c r="Q126" s="22">
        <f>SUM(L121:P121)/7</f>
        <v>168889.57142857142</v>
      </c>
      <c r="R126" s="22">
        <f>Q126</f>
        <v>168889.57142857142</v>
      </c>
      <c r="S126" s="22">
        <f t="shared" ref="S126:W126" si="979">R126</f>
        <v>168889.57142857142</v>
      </c>
      <c r="T126" s="22">
        <f t="shared" si="979"/>
        <v>168889.57142857142</v>
      </c>
      <c r="U126" s="22">
        <f t="shared" si="979"/>
        <v>168889.57142857142</v>
      </c>
      <c r="V126" s="22">
        <f t="shared" si="979"/>
        <v>168889.57142857142</v>
      </c>
      <c r="W126" s="22">
        <f t="shared" si="979"/>
        <v>168889.57142857142</v>
      </c>
      <c r="X126" s="22">
        <f t="shared" ref="X126:AA128" si="980">L126</f>
        <v>0</v>
      </c>
      <c r="Y126" s="22">
        <f t="shared" si="980"/>
        <v>0</v>
      </c>
      <c r="Z126" s="22">
        <f t="shared" si="980"/>
        <v>0</v>
      </c>
      <c r="AA126" s="22">
        <f t="shared" si="980"/>
        <v>0</v>
      </c>
      <c r="AB126" s="22">
        <f t="shared" ref="AB126:AB128" si="981">P126</f>
        <v>0</v>
      </c>
      <c r="AC126" s="22">
        <f t="shared" ref="AC126:AC128" si="982">Q126</f>
        <v>168889.57142857142</v>
      </c>
      <c r="AD126" s="22">
        <f t="shared" ref="AD126:AD128" si="983">R126</f>
        <v>168889.57142857142</v>
      </c>
      <c r="AE126" s="22">
        <f t="shared" ref="AE126:AE128" si="984">S126</f>
        <v>168889.57142857142</v>
      </c>
      <c r="AF126" s="22">
        <f t="shared" ref="AF126:AF128" si="985">T126</f>
        <v>168889.57142857142</v>
      </c>
      <c r="AG126" s="22">
        <f t="shared" ref="AG126:AG128" si="986">U126</f>
        <v>168889.57142857142</v>
      </c>
      <c r="AH126" s="22">
        <f t="shared" ref="AH126:AH128" si="987">V126</f>
        <v>168889.57142857142</v>
      </c>
      <c r="AI126" s="22">
        <f t="shared" ref="AI126:AI128" si="988">W126</f>
        <v>168889.57142857142</v>
      </c>
      <c r="AJ126" s="22">
        <f t="shared" ref="AJ126:AJ128" si="989">X126</f>
        <v>0</v>
      </c>
      <c r="AK126" s="22">
        <f t="shared" ref="AK126:AK128" si="990">Y126</f>
        <v>0</v>
      </c>
      <c r="AL126" s="22">
        <f t="shared" ref="AL126:AL128" si="991">Z126</f>
        <v>0</v>
      </c>
      <c r="AM126" s="22">
        <f t="shared" ref="AM126:AM128" si="992">AA126</f>
        <v>0</v>
      </c>
      <c r="AN126" s="22">
        <f t="shared" ref="AN126:AN128" si="993">AB126</f>
        <v>0</v>
      </c>
      <c r="AO126" s="22">
        <f t="shared" ref="AO126:AO128" si="994">AC126</f>
        <v>168889.57142857142</v>
      </c>
      <c r="AP126" s="22">
        <f t="shared" ref="AP126:AP128" si="995">AD126</f>
        <v>168889.57142857142</v>
      </c>
      <c r="AQ126" s="22">
        <f t="shared" ref="AQ126:AQ128" si="996">AE126</f>
        <v>168889.57142857142</v>
      </c>
      <c r="AR126" s="22">
        <f t="shared" ref="AR126:AR128" si="997">AF126</f>
        <v>168889.57142857142</v>
      </c>
      <c r="AS126" s="22">
        <f t="shared" ref="AS126:AS128" si="998">AG126</f>
        <v>168889.57142857142</v>
      </c>
      <c r="AT126" s="22">
        <f t="shared" ref="AT126:AT128" si="999">AH126</f>
        <v>168889.57142857142</v>
      </c>
      <c r="AU126" s="22">
        <f t="shared" ref="AU126:AU128" si="1000">AI126</f>
        <v>168889.57142857142</v>
      </c>
      <c r="AV126" s="22">
        <f t="shared" ref="AV126:AV128" si="1001">AJ126</f>
        <v>0</v>
      </c>
      <c r="AW126" s="22">
        <f t="shared" ref="AW126:AW128" si="1002">AK126</f>
        <v>0</v>
      </c>
      <c r="AX126" s="22">
        <f t="shared" ref="AX126:AX128" si="1003">AL126</f>
        <v>0</v>
      </c>
      <c r="AY126" s="22">
        <f t="shared" ref="AY126:AY128" si="1004">AM126</f>
        <v>0</v>
      </c>
      <c r="AZ126" s="22">
        <f t="shared" ref="AZ126:AZ128" si="1005">AN126</f>
        <v>0</v>
      </c>
      <c r="BA126" s="22">
        <f t="shared" ref="BA126:BA128" si="1006">AO126</f>
        <v>168889.57142857142</v>
      </c>
      <c r="BB126" s="22">
        <f t="shared" ref="BB126:BB128" si="1007">AP126</f>
        <v>168889.57142857142</v>
      </c>
      <c r="BC126" s="22">
        <f t="shared" ref="BC126:BC128" si="1008">AQ126</f>
        <v>168889.57142857142</v>
      </c>
      <c r="BD126" s="22">
        <f t="shared" ref="BD126:BD128" si="1009">AR126</f>
        <v>168889.57142857142</v>
      </c>
      <c r="BE126" s="22">
        <f t="shared" ref="BE126:BE128" si="1010">AS126</f>
        <v>168889.57142857142</v>
      </c>
      <c r="BF126" s="22">
        <f t="shared" ref="BF126:BF128" si="1011">AT126</f>
        <v>168889.57142857142</v>
      </c>
      <c r="BG126" s="22">
        <f t="shared" ref="BG126:BG128" si="1012">AU126</f>
        <v>168889.57142857142</v>
      </c>
      <c r="BH126" s="22">
        <f t="shared" ref="BH126:BH128" si="1013">AV126</f>
        <v>0</v>
      </c>
      <c r="BI126" s="22">
        <f t="shared" ref="BI126:BI128" si="1014">AW126</f>
        <v>0</v>
      </c>
      <c r="BJ126" s="22">
        <f t="shared" ref="BJ126:BJ128" si="1015">AX126</f>
        <v>0</v>
      </c>
      <c r="BK126" s="22">
        <f t="shared" ref="BK126:BK128" si="1016">AY126</f>
        <v>0</v>
      </c>
      <c r="BL126" s="22">
        <f t="shared" ref="BL126:BL128" si="1017">AZ126</f>
        <v>0</v>
      </c>
      <c r="BM126" s="22">
        <f t="shared" ref="BM126:BM128" si="1018">BA126</f>
        <v>168889.57142857142</v>
      </c>
      <c r="BN126" s="22">
        <f t="shared" ref="BN126:BN128" si="1019">BB126</f>
        <v>168889.57142857142</v>
      </c>
      <c r="BO126" s="22">
        <f t="shared" ref="BO126:BO128" si="1020">BC126</f>
        <v>168889.57142857142</v>
      </c>
      <c r="BP126" s="22">
        <f t="shared" ref="BP126:BP128" si="1021">BD126</f>
        <v>168889.57142857142</v>
      </c>
      <c r="BQ126" s="22">
        <f t="shared" ref="BQ126:BQ128" si="1022">BE126</f>
        <v>168889.57142857142</v>
      </c>
      <c r="BR126" s="22">
        <f t="shared" ref="BR126:BR128" si="1023">BF126</f>
        <v>168889.57142857142</v>
      </c>
      <c r="BS126" s="22">
        <f t="shared" ref="BS126:BS128" si="1024">BG126</f>
        <v>168889.57142857142</v>
      </c>
      <c r="BT126" s="22">
        <f t="shared" ref="BT126:BT128" si="1025">BH126</f>
        <v>0</v>
      </c>
      <c r="BU126" s="22">
        <f t="shared" ref="BU126:BU128" si="1026">BI126</f>
        <v>0</v>
      </c>
      <c r="BV126" s="22">
        <f t="shared" ref="BV126:BV128" si="1027">BJ126</f>
        <v>0</v>
      </c>
      <c r="BW126" s="22">
        <f t="shared" ref="BW126:BW128" si="1028">BK126</f>
        <v>0</v>
      </c>
      <c r="BX126" s="22">
        <f t="shared" ref="BX126:BX128" si="1029">BL126</f>
        <v>0</v>
      </c>
      <c r="BY126" s="22">
        <f t="shared" ref="BY126:BY128" si="1030">BM126</f>
        <v>168889.57142857142</v>
      </c>
      <c r="BZ126" s="22">
        <f t="shared" ref="BZ126:BZ128" si="1031">BN126</f>
        <v>168889.57142857142</v>
      </c>
      <c r="CA126" s="22">
        <f t="shared" ref="CA126:CA128" si="1032">BO126</f>
        <v>168889.57142857142</v>
      </c>
      <c r="CB126" s="22">
        <f t="shared" ref="CB126:CB128" si="1033">BP126</f>
        <v>168889.57142857142</v>
      </c>
      <c r="CC126" s="22">
        <f t="shared" ref="CC126:CC128" si="1034">BQ126</f>
        <v>168889.57142857142</v>
      </c>
      <c r="CD126" s="22">
        <f t="shared" ref="CD126:CD128" si="1035">BR126</f>
        <v>168889.57142857142</v>
      </c>
      <c r="CE126" s="29">
        <f t="shared" ref="CE126:CE128" si="1036">BS126</f>
        <v>168889.57142857142</v>
      </c>
      <c r="CF126" s="22">
        <f t="shared" ref="CF126:CF128" si="1037">BT126</f>
        <v>0</v>
      </c>
      <c r="CG126" s="22">
        <f t="shared" ref="CG126:CG128" si="1038">BU126</f>
        <v>0</v>
      </c>
      <c r="CH126" s="22">
        <f t="shared" ref="CH126:CH128" si="1039">BV126</f>
        <v>0</v>
      </c>
      <c r="CI126" s="22">
        <f t="shared" ref="CI126:CI128" si="1040">BW126</f>
        <v>0</v>
      </c>
      <c r="CJ126" s="22">
        <f t="shared" ref="CJ126:CJ128" si="1041">BX126</f>
        <v>0</v>
      </c>
      <c r="CK126" s="22">
        <f t="shared" ref="CK126:CK128" si="1042">BY126</f>
        <v>168889.57142857142</v>
      </c>
      <c r="CL126" s="22">
        <f t="shared" ref="CL126:CL128" si="1043">BZ126</f>
        <v>168889.57142857142</v>
      </c>
      <c r="CM126" s="22">
        <f t="shared" ref="CM126:CM128" si="1044">CA126</f>
        <v>168889.57142857142</v>
      </c>
      <c r="CN126" s="22">
        <f t="shared" ref="CN126:CN128" si="1045">CB126</f>
        <v>168889.57142857142</v>
      </c>
    </row>
    <row r="127" spans="1:92">
      <c r="B127" s="106" t="s">
        <v>374</v>
      </c>
      <c r="C127" s="29"/>
      <c r="D127" s="107"/>
      <c r="E127"/>
      <c r="F127" s="270"/>
      <c r="G127" s="359"/>
      <c r="H127" s="364">
        <v>0</v>
      </c>
      <c r="I127" s="22">
        <v>300000</v>
      </c>
      <c r="J127" s="22">
        <v>300000</v>
      </c>
      <c r="K127" s="22">
        <v>300000</v>
      </c>
      <c r="L127" s="283">
        <v>0</v>
      </c>
      <c r="M127" s="283">
        <v>0</v>
      </c>
      <c r="N127" s="283">
        <v>0</v>
      </c>
      <c r="O127" s="283">
        <v>0</v>
      </c>
      <c r="P127" s="22">
        <v>0</v>
      </c>
      <c r="Q127" s="22">
        <f>SUM(L122:P122)/7</f>
        <v>444432.62857142865</v>
      </c>
      <c r="R127" s="22">
        <f>Q127</f>
        <v>444432.62857142865</v>
      </c>
      <c r="S127" s="22">
        <f t="shared" ref="S127:W127" si="1046">R127</f>
        <v>444432.62857142865</v>
      </c>
      <c r="T127" s="22">
        <f t="shared" si="1046"/>
        <v>444432.62857142865</v>
      </c>
      <c r="U127" s="22">
        <f t="shared" si="1046"/>
        <v>444432.62857142865</v>
      </c>
      <c r="V127" s="22">
        <f t="shared" si="1046"/>
        <v>444432.62857142865</v>
      </c>
      <c r="W127" s="22">
        <f t="shared" si="1046"/>
        <v>444432.62857142865</v>
      </c>
      <c r="X127" s="22">
        <f t="shared" si="980"/>
        <v>0</v>
      </c>
      <c r="Y127" s="22">
        <f t="shared" si="980"/>
        <v>0</v>
      </c>
      <c r="Z127" s="22">
        <f t="shared" si="980"/>
        <v>0</v>
      </c>
      <c r="AA127" s="22">
        <f t="shared" si="980"/>
        <v>0</v>
      </c>
      <c r="AB127" s="22">
        <f t="shared" si="981"/>
        <v>0</v>
      </c>
      <c r="AC127" s="22">
        <f t="shared" si="982"/>
        <v>444432.62857142865</v>
      </c>
      <c r="AD127" s="22">
        <f t="shared" si="983"/>
        <v>444432.62857142865</v>
      </c>
      <c r="AE127" s="22">
        <f t="shared" si="984"/>
        <v>444432.62857142865</v>
      </c>
      <c r="AF127" s="22">
        <f t="shared" si="985"/>
        <v>444432.62857142865</v>
      </c>
      <c r="AG127" s="22">
        <f t="shared" si="986"/>
        <v>444432.62857142865</v>
      </c>
      <c r="AH127" s="22">
        <f t="shared" si="987"/>
        <v>444432.62857142865</v>
      </c>
      <c r="AI127" s="22">
        <f t="shared" si="988"/>
        <v>444432.62857142865</v>
      </c>
      <c r="AJ127" s="22">
        <f t="shared" si="989"/>
        <v>0</v>
      </c>
      <c r="AK127" s="22">
        <f t="shared" si="990"/>
        <v>0</v>
      </c>
      <c r="AL127" s="22">
        <f t="shared" si="991"/>
        <v>0</v>
      </c>
      <c r="AM127" s="22">
        <f t="shared" si="992"/>
        <v>0</v>
      </c>
      <c r="AN127" s="22">
        <f t="shared" si="993"/>
        <v>0</v>
      </c>
      <c r="AO127" s="22">
        <f t="shared" si="994"/>
        <v>444432.62857142865</v>
      </c>
      <c r="AP127" s="22">
        <f t="shared" si="995"/>
        <v>444432.62857142865</v>
      </c>
      <c r="AQ127" s="22">
        <f t="shared" si="996"/>
        <v>444432.62857142865</v>
      </c>
      <c r="AR127" s="22">
        <f t="shared" si="997"/>
        <v>444432.62857142865</v>
      </c>
      <c r="AS127" s="22">
        <f t="shared" si="998"/>
        <v>444432.62857142865</v>
      </c>
      <c r="AT127" s="22">
        <f t="shared" si="999"/>
        <v>444432.62857142865</v>
      </c>
      <c r="AU127" s="22">
        <f t="shared" si="1000"/>
        <v>444432.62857142865</v>
      </c>
      <c r="AV127" s="22">
        <f t="shared" si="1001"/>
        <v>0</v>
      </c>
      <c r="AW127" s="22">
        <f t="shared" si="1002"/>
        <v>0</v>
      </c>
      <c r="AX127" s="22">
        <f t="shared" si="1003"/>
        <v>0</v>
      </c>
      <c r="AY127" s="22">
        <f t="shared" si="1004"/>
        <v>0</v>
      </c>
      <c r="AZ127" s="22">
        <f t="shared" si="1005"/>
        <v>0</v>
      </c>
      <c r="BA127" s="22">
        <f t="shared" si="1006"/>
        <v>444432.62857142865</v>
      </c>
      <c r="BB127" s="22">
        <f t="shared" si="1007"/>
        <v>444432.62857142865</v>
      </c>
      <c r="BC127" s="22">
        <f t="shared" si="1008"/>
        <v>444432.62857142865</v>
      </c>
      <c r="BD127" s="22">
        <f t="shared" si="1009"/>
        <v>444432.62857142865</v>
      </c>
      <c r="BE127" s="22">
        <f t="shared" si="1010"/>
        <v>444432.62857142865</v>
      </c>
      <c r="BF127" s="22">
        <f t="shared" si="1011"/>
        <v>444432.62857142865</v>
      </c>
      <c r="BG127" s="22">
        <f t="shared" si="1012"/>
        <v>444432.62857142865</v>
      </c>
      <c r="BH127" s="22">
        <f t="shared" si="1013"/>
        <v>0</v>
      </c>
      <c r="BI127" s="22">
        <f t="shared" si="1014"/>
        <v>0</v>
      </c>
      <c r="BJ127" s="22">
        <f t="shared" si="1015"/>
        <v>0</v>
      </c>
      <c r="BK127" s="22">
        <f t="shared" si="1016"/>
        <v>0</v>
      </c>
      <c r="BL127" s="22">
        <f t="shared" si="1017"/>
        <v>0</v>
      </c>
      <c r="BM127" s="22">
        <f t="shared" si="1018"/>
        <v>444432.62857142865</v>
      </c>
      <c r="BN127" s="22">
        <f t="shared" si="1019"/>
        <v>444432.62857142865</v>
      </c>
      <c r="BO127" s="22">
        <f t="shared" si="1020"/>
        <v>444432.62857142865</v>
      </c>
      <c r="BP127" s="22">
        <f t="shared" si="1021"/>
        <v>444432.62857142865</v>
      </c>
      <c r="BQ127" s="22">
        <f t="shared" si="1022"/>
        <v>444432.62857142865</v>
      </c>
      <c r="BR127" s="22">
        <f t="shared" si="1023"/>
        <v>444432.62857142865</v>
      </c>
      <c r="BS127" s="22">
        <f t="shared" si="1024"/>
        <v>444432.62857142865</v>
      </c>
      <c r="BT127" s="22">
        <f t="shared" si="1025"/>
        <v>0</v>
      </c>
      <c r="BU127" s="22">
        <f t="shared" si="1026"/>
        <v>0</v>
      </c>
      <c r="BV127" s="22">
        <f t="shared" si="1027"/>
        <v>0</v>
      </c>
      <c r="BW127" s="22">
        <f t="shared" si="1028"/>
        <v>0</v>
      </c>
      <c r="BX127" s="22">
        <f t="shared" si="1029"/>
        <v>0</v>
      </c>
      <c r="BY127" s="22">
        <f t="shared" si="1030"/>
        <v>444432.62857142865</v>
      </c>
      <c r="BZ127" s="22">
        <f t="shared" si="1031"/>
        <v>444432.62857142865</v>
      </c>
      <c r="CA127" s="22">
        <f t="shared" si="1032"/>
        <v>444432.62857142865</v>
      </c>
      <c r="CB127" s="22">
        <f t="shared" si="1033"/>
        <v>444432.62857142865</v>
      </c>
      <c r="CC127" s="22">
        <f t="shared" si="1034"/>
        <v>444432.62857142865</v>
      </c>
      <c r="CD127" s="22">
        <f t="shared" si="1035"/>
        <v>444432.62857142865</v>
      </c>
      <c r="CE127" s="29">
        <f t="shared" si="1036"/>
        <v>444432.62857142865</v>
      </c>
      <c r="CF127" s="22">
        <f t="shared" si="1037"/>
        <v>0</v>
      </c>
      <c r="CG127" s="22">
        <f t="shared" si="1038"/>
        <v>0</v>
      </c>
      <c r="CH127" s="22">
        <f t="shared" si="1039"/>
        <v>0</v>
      </c>
      <c r="CI127" s="22">
        <f t="shared" si="1040"/>
        <v>0</v>
      </c>
      <c r="CJ127" s="22">
        <f t="shared" si="1041"/>
        <v>0</v>
      </c>
      <c r="CK127" s="22">
        <f t="shared" si="1042"/>
        <v>444432.62857142865</v>
      </c>
      <c r="CL127" s="22">
        <f t="shared" si="1043"/>
        <v>444432.62857142865</v>
      </c>
      <c r="CM127" s="22">
        <f t="shared" si="1044"/>
        <v>444432.62857142865</v>
      </c>
      <c r="CN127" s="22">
        <f t="shared" si="1045"/>
        <v>444432.62857142865</v>
      </c>
    </row>
    <row r="128" spans="1:92">
      <c r="B128" s="106" t="s">
        <v>375</v>
      </c>
      <c r="C128"/>
      <c r="D128"/>
      <c r="E128"/>
      <c r="F128" s="270"/>
      <c r="G128" s="359"/>
      <c r="H128" s="364">
        <v>0</v>
      </c>
      <c r="I128" s="22">
        <v>237453</v>
      </c>
      <c r="J128" s="22">
        <v>237453</v>
      </c>
      <c r="K128" s="22">
        <v>237453</v>
      </c>
      <c r="L128" s="283">
        <v>0</v>
      </c>
      <c r="M128" s="283">
        <v>0</v>
      </c>
      <c r="N128" s="283">
        <v>0</v>
      </c>
      <c r="O128" s="283">
        <v>0</v>
      </c>
      <c r="P128" s="22">
        <v>0</v>
      </c>
      <c r="Q128" s="22">
        <f t="shared" ref="Q128" si="1047">SUM(L123:P123)/7</f>
        <v>646850.71428571432</v>
      </c>
      <c r="R128" s="22">
        <f>Q128</f>
        <v>646850.71428571432</v>
      </c>
      <c r="S128" s="22">
        <f t="shared" ref="S128:W128" si="1048">R128</f>
        <v>646850.71428571432</v>
      </c>
      <c r="T128" s="22">
        <f t="shared" si="1048"/>
        <v>646850.71428571432</v>
      </c>
      <c r="U128" s="22">
        <f t="shared" si="1048"/>
        <v>646850.71428571432</v>
      </c>
      <c r="V128" s="22">
        <f t="shared" si="1048"/>
        <v>646850.71428571432</v>
      </c>
      <c r="W128" s="22">
        <f t="shared" si="1048"/>
        <v>646850.71428571432</v>
      </c>
      <c r="X128" s="22">
        <f t="shared" si="980"/>
        <v>0</v>
      </c>
      <c r="Y128" s="22">
        <f t="shared" si="980"/>
        <v>0</v>
      </c>
      <c r="Z128" s="22">
        <f t="shared" si="980"/>
        <v>0</v>
      </c>
      <c r="AA128" s="22">
        <f t="shared" si="980"/>
        <v>0</v>
      </c>
      <c r="AB128" s="22">
        <f t="shared" si="981"/>
        <v>0</v>
      </c>
      <c r="AC128" s="22">
        <f t="shared" si="982"/>
        <v>646850.71428571432</v>
      </c>
      <c r="AD128" s="22">
        <f t="shared" si="983"/>
        <v>646850.71428571432</v>
      </c>
      <c r="AE128" s="22">
        <f t="shared" si="984"/>
        <v>646850.71428571432</v>
      </c>
      <c r="AF128" s="22">
        <f t="shared" si="985"/>
        <v>646850.71428571432</v>
      </c>
      <c r="AG128" s="22">
        <f t="shared" si="986"/>
        <v>646850.71428571432</v>
      </c>
      <c r="AH128" s="22">
        <f t="shared" si="987"/>
        <v>646850.71428571432</v>
      </c>
      <c r="AI128" s="22">
        <f t="shared" si="988"/>
        <v>646850.71428571432</v>
      </c>
      <c r="AJ128" s="22">
        <f t="shared" si="989"/>
        <v>0</v>
      </c>
      <c r="AK128" s="22">
        <f t="shared" si="990"/>
        <v>0</v>
      </c>
      <c r="AL128" s="22">
        <f t="shared" si="991"/>
        <v>0</v>
      </c>
      <c r="AM128" s="22">
        <f t="shared" si="992"/>
        <v>0</v>
      </c>
      <c r="AN128" s="22">
        <f t="shared" si="993"/>
        <v>0</v>
      </c>
      <c r="AO128" s="22">
        <f t="shared" si="994"/>
        <v>646850.71428571432</v>
      </c>
      <c r="AP128" s="22">
        <f t="shared" si="995"/>
        <v>646850.71428571432</v>
      </c>
      <c r="AQ128" s="22">
        <f t="shared" si="996"/>
        <v>646850.71428571432</v>
      </c>
      <c r="AR128" s="22">
        <f t="shared" si="997"/>
        <v>646850.71428571432</v>
      </c>
      <c r="AS128" s="22">
        <f t="shared" si="998"/>
        <v>646850.71428571432</v>
      </c>
      <c r="AT128" s="22">
        <f t="shared" si="999"/>
        <v>646850.71428571432</v>
      </c>
      <c r="AU128" s="22">
        <f t="shared" si="1000"/>
        <v>646850.71428571432</v>
      </c>
      <c r="AV128" s="22">
        <f t="shared" si="1001"/>
        <v>0</v>
      </c>
      <c r="AW128" s="22">
        <f t="shared" si="1002"/>
        <v>0</v>
      </c>
      <c r="AX128" s="22">
        <f t="shared" si="1003"/>
        <v>0</v>
      </c>
      <c r="AY128" s="22">
        <f t="shared" si="1004"/>
        <v>0</v>
      </c>
      <c r="AZ128" s="22">
        <f t="shared" si="1005"/>
        <v>0</v>
      </c>
      <c r="BA128" s="22">
        <f t="shared" si="1006"/>
        <v>646850.71428571432</v>
      </c>
      <c r="BB128" s="22">
        <f t="shared" si="1007"/>
        <v>646850.71428571432</v>
      </c>
      <c r="BC128" s="22">
        <f t="shared" si="1008"/>
        <v>646850.71428571432</v>
      </c>
      <c r="BD128" s="22">
        <f t="shared" si="1009"/>
        <v>646850.71428571432</v>
      </c>
      <c r="BE128" s="22">
        <f t="shared" si="1010"/>
        <v>646850.71428571432</v>
      </c>
      <c r="BF128" s="22">
        <f t="shared" si="1011"/>
        <v>646850.71428571432</v>
      </c>
      <c r="BG128" s="22">
        <f t="shared" si="1012"/>
        <v>646850.71428571432</v>
      </c>
      <c r="BH128" s="22">
        <f t="shared" si="1013"/>
        <v>0</v>
      </c>
      <c r="BI128" s="22">
        <f t="shared" si="1014"/>
        <v>0</v>
      </c>
      <c r="BJ128" s="22">
        <f t="shared" si="1015"/>
        <v>0</v>
      </c>
      <c r="BK128" s="22">
        <f t="shared" si="1016"/>
        <v>0</v>
      </c>
      <c r="BL128" s="22">
        <f t="shared" si="1017"/>
        <v>0</v>
      </c>
      <c r="BM128" s="22">
        <f t="shared" si="1018"/>
        <v>646850.71428571432</v>
      </c>
      <c r="BN128" s="22">
        <f t="shared" si="1019"/>
        <v>646850.71428571432</v>
      </c>
      <c r="BO128" s="22">
        <f t="shared" si="1020"/>
        <v>646850.71428571432</v>
      </c>
      <c r="BP128" s="22">
        <f t="shared" si="1021"/>
        <v>646850.71428571432</v>
      </c>
      <c r="BQ128" s="22">
        <f t="shared" si="1022"/>
        <v>646850.71428571432</v>
      </c>
      <c r="BR128" s="22">
        <f t="shared" si="1023"/>
        <v>646850.71428571432</v>
      </c>
      <c r="BS128" s="22">
        <f t="shared" si="1024"/>
        <v>646850.71428571432</v>
      </c>
      <c r="BT128" s="22">
        <f t="shared" si="1025"/>
        <v>0</v>
      </c>
      <c r="BU128" s="22">
        <f t="shared" si="1026"/>
        <v>0</v>
      </c>
      <c r="BV128" s="22">
        <f t="shared" si="1027"/>
        <v>0</v>
      </c>
      <c r="BW128" s="22">
        <f t="shared" si="1028"/>
        <v>0</v>
      </c>
      <c r="BX128" s="22">
        <f t="shared" si="1029"/>
        <v>0</v>
      </c>
      <c r="BY128" s="22">
        <f t="shared" si="1030"/>
        <v>646850.71428571432</v>
      </c>
      <c r="BZ128" s="22">
        <f t="shared" si="1031"/>
        <v>646850.71428571432</v>
      </c>
      <c r="CA128" s="22">
        <f t="shared" si="1032"/>
        <v>646850.71428571432</v>
      </c>
      <c r="CB128" s="22">
        <f t="shared" si="1033"/>
        <v>646850.71428571432</v>
      </c>
      <c r="CC128" s="22">
        <f t="shared" si="1034"/>
        <v>646850.71428571432</v>
      </c>
      <c r="CD128" s="22">
        <f t="shared" si="1035"/>
        <v>646850.71428571432</v>
      </c>
      <c r="CE128" s="29">
        <f t="shared" si="1036"/>
        <v>646850.71428571432</v>
      </c>
      <c r="CF128" s="22">
        <f t="shared" si="1037"/>
        <v>0</v>
      </c>
      <c r="CG128" s="22">
        <f t="shared" si="1038"/>
        <v>0</v>
      </c>
      <c r="CH128" s="22">
        <f t="shared" si="1039"/>
        <v>0</v>
      </c>
      <c r="CI128" s="22">
        <f t="shared" si="1040"/>
        <v>0</v>
      </c>
      <c r="CJ128" s="22">
        <f t="shared" si="1041"/>
        <v>0</v>
      </c>
      <c r="CK128" s="22">
        <f t="shared" si="1042"/>
        <v>646850.71428571432</v>
      </c>
      <c r="CL128" s="22">
        <f t="shared" si="1043"/>
        <v>646850.71428571432</v>
      </c>
      <c r="CM128" s="22">
        <f t="shared" si="1044"/>
        <v>646850.71428571432</v>
      </c>
      <c r="CN128" s="22">
        <f t="shared" si="1045"/>
        <v>646850.71428571432</v>
      </c>
    </row>
    <row r="129" spans="1:92">
      <c r="B129" s="106" t="s">
        <v>376</v>
      </c>
      <c r="C129"/>
      <c r="D129"/>
      <c r="E129"/>
      <c r="F129"/>
      <c r="G129"/>
      <c r="H129" s="572">
        <f>SUM(H126:H128)</f>
        <v>0</v>
      </c>
      <c r="I129" s="573">
        <f t="shared" ref="I129:K129" si="1049">SUM(I126:I128)</f>
        <v>602990</v>
      </c>
      <c r="J129" s="573">
        <f t="shared" si="1049"/>
        <v>602990</v>
      </c>
      <c r="K129" s="573">
        <f t="shared" si="1049"/>
        <v>602990</v>
      </c>
      <c r="L129" s="573">
        <f t="shared" ref="L129" si="1050">SUM(L126:L128)</f>
        <v>0</v>
      </c>
      <c r="M129" s="573">
        <f t="shared" ref="M129" si="1051">SUM(M126:M128)</f>
        <v>0</v>
      </c>
      <c r="N129" s="573">
        <f t="shared" ref="N129" si="1052">SUM(N126:N128)</f>
        <v>0</v>
      </c>
      <c r="O129" s="573">
        <f t="shared" ref="O129:T129" si="1053">SUM(O126:O128)</f>
        <v>0</v>
      </c>
      <c r="P129" s="573">
        <f t="shared" si="1053"/>
        <v>0</v>
      </c>
      <c r="Q129" s="573">
        <f t="shared" si="1053"/>
        <v>1260172.9142857143</v>
      </c>
      <c r="R129" s="573">
        <f t="shared" si="1053"/>
        <v>1260172.9142857143</v>
      </c>
      <c r="S129" s="573">
        <f t="shared" si="1053"/>
        <v>1260172.9142857143</v>
      </c>
      <c r="T129" s="573">
        <f t="shared" si="1053"/>
        <v>1260172.9142857143</v>
      </c>
      <c r="U129" s="573">
        <f t="shared" ref="U129:AA129" si="1054">SUM(U126:U128)</f>
        <v>1260172.9142857143</v>
      </c>
      <c r="V129" s="573">
        <f t="shared" si="1054"/>
        <v>1260172.9142857143</v>
      </c>
      <c r="W129" s="573">
        <f t="shared" si="1054"/>
        <v>1260172.9142857143</v>
      </c>
      <c r="X129" s="573">
        <f t="shared" si="1054"/>
        <v>0</v>
      </c>
      <c r="Y129" s="573">
        <f t="shared" si="1054"/>
        <v>0</v>
      </c>
      <c r="Z129" s="573">
        <f t="shared" si="1054"/>
        <v>0</v>
      </c>
      <c r="AA129" s="573">
        <f t="shared" si="1054"/>
        <v>0</v>
      </c>
      <c r="AB129" s="573">
        <f t="shared" ref="AB129:CM129" si="1055">SUM(AB126:AB128)</f>
        <v>0</v>
      </c>
      <c r="AC129" s="573">
        <f t="shared" si="1055"/>
        <v>1260172.9142857143</v>
      </c>
      <c r="AD129" s="573">
        <f t="shared" si="1055"/>
        <v>1260172.9142857143</v>
      </c>
      <c r="AE129" s="573">
        <f t="shared" si="1055"/>
        <v>1260172.9142857143</v>
      </c>
      <c r="AF129" s="573">
        <f t="shared" si="1055"/>
        <v>1260172.9142857143</v>
      </c>
      <c r="AG129" s="573">
        <f t="shared" si="1055"/>
        <v>1260172.9142857143</v>
      </c>
      <c r="AH129" s="573">
        <f t="shared" si="1055"/>
        <v>1260172.9142857143</v>
      </c>
      <c r="AI129" s="573">
        <f t="shared" si="1055"/>
        <v>1260172.9142857143</v>
      </c>
      <c r="AJ129" s="573">
        <f t="shared" si="1055"/>
        <v>0</v>
      </c>
      <c r="AK129" s="573">
        <f t="shared" si="1055"/>
        <v>0</v>
      </c>
      <c r="AL129" s="573">
        <f t="shared" si="1055"/>
        <v>0</v>
      </c>
      <c r="AM129" s="573">
        <f t="shared" si="1055"/>
        <v>0</v>
      </c>
      <c r="AN129" s="573">
        <f t="shared" si="1055"/>
        <v>0</v>
      </c>
      <c r="AO129" s="573">
        <f t="shared" si="1055"/>
        <v>1260172.9142857143</v>
      </c>
      <c r="AP129" s="573">
        <f t="shared" si="1055"/>
        <v>1260172.9142857143</v>
      </c>
      <c r="AQ129" s="573">
        <f t="shared" si="1055"/>
        <v>1260172.9142857143</v>
      </c>
      <c r="AR129" s="573">
        <f t="shared" si="1055"/>
        <v>1260172.9142857143</v>
      </c>
      <c r="AS129" s="573">
        <f t="shared" si="1055"/>
        <v>1260172.9142857143</v>
      </c>
      <c r="AT129" s="573">
        <f t="shared" si="1055"/>
        <v>1260172.9142857143</v>
      </c>
      <c r="AU129" s="573">
        <f t="shared" si="1055"/>
        <v>1260172.9142857143</v>
      </c>
      <c r="AV129" s="573">
        <f t="shared" si="1055"/>
        <v>0</v>
      </c>
      <c r="AW129" s="573">
        <f t="shared" si="1055"/>
        <v>0</v>
      </c>
      <c r="AX129" s="573">
        <f t="shared" si="1055"/>
        <v>0</v>
      </c>
      <c r="AY129" s="573">
        <f t="shared" si="1055"/>
        <v>0</v>
      </c>
      <c r="AZ129" s="573">
        <f t="shared" si="1055"/>
        <v>0</v>
      </c>
      <c r="BA129" s="573">
        <f t="shared" si="1055"/>
        <v>1260172.9142857143</v>
      </c>
      <c r="BB129" s="573">
        <f t="shared" si="1055"/>
        <v>1260172.9142857143</v>
      </c>
      <c r="BC129" s="573">
        <f t="shared" si="1055"/>
        <v>1260172.9142857143</v>
      </c>
      <c r="BD129" s="573">
        <f t="shared" si="1055"/>
        <v>1260172.9142857143</v>
      </c>
      <c r="BE129" s="573">
        <f t="shared" si="1055"/>
        <v>1260172.9142857143</v>
      </c>
      <c r="BF129" s="573">
        <f t="shared" si="1055"/>
        <v>1260172.9142857143</v>
      </c>
      <c r="BG129" s="573">
        <f t="shared" si="1055"/>
        <v>1260172.9142857143</v>
      </c>
      <c r="BH129" s="573">
        <f t="shared" si="1055"/>
        <v>0</v>
      </c>
      <c r="BI129" s="573">
        <f t="shared" si="1055"/>
        <v>0</v>
      </c>
      <c r="BJ129" s="573">
        <f t="shared" si="1055"/>
        <v>0</v>
      </c>
      <c r="BK129" s="573">
        <f t="shared" si="1055"/>
        <v>0</v>
      </c>
      <c r="BL129" s="573">
        <f t="shared" si="1055"/>
        <v>0</v>
      </c>
      <c r="BM129" s="573">
        <f t="shared" si="1055"/>
        <v>1260172.9142857143</v>
      </c>
      <c r="BN129" s="573">
        <f t="shared" si="1055"/>
        <v>1260172.9142857143</v>
      </c>
      <c r="BO129" s="573">
        <f t="shared" si="1055"/>
        <v>1260172.9142857143</v>
      </c>
      <c r="BP129" s="573">
        <f t="shared" si="1055"/>
        <v>1260172.9142857143</v>
      </c>
      <c r="BQ129" s="573">
        <f t="shared" si="1055"/>
        <v>1260172.9142857143</v>
      </c>
      <c r="BR129" s="573">
        <f t="shared" si="1055"/>
        <v>1260172.9142857143</v>
      </c>
      <c r="BS129" s="573">
        <f t="shared" si="1055"/>
        <v>1260172.9142857143</v>
      </c>
      <c r="BT129" s="573">
        <f t="shared" si="1055"/>
        <v>0</v>
      </c>
      <c r="BU129" s="573">
        <f t="shared" si="1055"/>
        <v>0</v>
      </c>
      <c r="BV129" s="573">
        <f t="shared" si="1055"/>
        <v>0</v>
      </c>
      <c r="BW129" s="573">
        <f t="shared" si="1055"/>
        <v>0</v>
      </c>
      <c r="BX129" s="573">
        <f t="shared" si="1055"/>
        <v>0</v>
      </c>
      <c r="BY129" s="573">
        <f t="shared" si="1055"/>
        <v>1260172.9142857143</v>
      </c>
      <c r="BZ129" s="573">
        <f t="shared" si="1055"/>
        <v>1260172.9142857143</v>
      </c>
      <c r="CA129" s="573">
        <f t="shared" si="1055"/>
        <v>1260172.9142857143</v>
      </c>
      <c r="CB129" s="573">
        <f t="shared" si="1055"/>
        <v>1260172.9142857143</v>
      </c>
      <c r="CC129" s="573">
        <f t="shared" si="1055"/>
        <v>1260172.9142857143</v>
      </c>
      <c r="CD129" s="573">
        <f t="shared" si="1055"/>
        <v>1260172.9142857143</v>
      </c>
      <c r="CE129" s="308">
        <f t="shared" si="1055"/>
        <v>1260172.9142857143</v>
      </c>
      <c r="CF129" s="573">
        <f t="shared" si="1055"/>
        <v>0</v>
      </c>
      <c r="CG129" s="573">
        <f t="shared" si="1055"/>
        <v>0</v>
      </c>
      <c r="CH129" s="573">
        <f t="shared" si="1055"/>
        <v>0</v>
      </c>
      <c r="CI129" s="573">
        <f t="shared" si="1055"/>
        <v>0</v>
      </c>
      <c r="CJ129" s="573">
        <f t="shared" si="1055"/>
        <v>0</v>
      </c>
      <c r="CK129" s="573">
        <f t="shared" si="1055"/>
        <v>1260172.9142857143</v>
      </c>
      <c r="CL129" s="573">
        <f t="shared" si="1055"/>
        <v>1260172.9142857143</v>
      </c>
      <c r="CM129" s="573">
        <f t="shared" si="1055"/>
        <v>1260172.9142857143</v>
      </c>
      <c r="CN129" s="573">
        <f t="shared" ref="CN129" si="1056">SUM(CN126:CN128)</f>
        <v>1260172.9142857143</v>
      </c>
    </row>
    <row r="130" spans="1:92">
      <c r="H130" s="364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9"/>
      <c r="CF130" s="22"/>
      <c r="CG130" s="22"/>
      <c r="CH130" s="22"/>
      <c r="CI130" s="22"/>
      <c r="CJ130" s="22"/>
      <c r="CK130" s="22"/>
      <c r="CL130" s="22"/>
      <c r="CM130" s="22"/>
      <c r="CN130" s="22"/>
    </row>
    <row r="131" spans="1:92">
      <c r="A131" s="106" t="s">
        <v>448</v>
      </c>
      <c r="H131" s="364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9"/>
      <c r="CF131" s="22"/>
      <c r="CG131" s="22"/>
      <c r="CH131" s="22"/>
      <c r="CI131" s="22"/>
      <c r="CJ131" s="22"/>
      <c r="CK131" s="22"/>
      <c r="CL131" s="22"/>
      <c r="CM131" s="22"/>
      <c r="CN131" s="22"/>
    </row>
    <row r="132" spans="1:92">
      <c r="B132" s="106" t="s">
        <v>369</v>
      </c>
      <c r="C132" s="29">
        <f t="shared" ref="C132:D132" si="1057">+C121*$A$121</f>
        <v>0</v>
      </c>
      <c r="D132" s="29">
        <f t="shared" si="1057"/>
        <v>0</v>
      </c>
      <c r="F132"/>
      <c r="G132"/>
      <c r="H132" s="574">
        <f t="shared" ref="H132:O132" si="1058">+H121*$A$121</f>
        <v>0</v>
      </c>
      <c r="I132" s="29">
        <f t="shared" si="1058"/>
        <v>0</v>
      </c>
      <c r="J132" s="29">
        <f t="shared" si="1058"/>
        <v>0</v>
      </c>
      <c r="K132" s="29">
        <f t="shared" si="1058"/>
        <v>0</v>
      </c>
      <c r="L132" s="29">
        <f t="shared" si="1058"/>
        <v>164130</v>
      </c>
      <c r="M132" s="29">
        <f t="shared" si="1058"/>
        <v>254510</v>
      </c>
      <c r="N132" s="29">
        <f t="shared" si="1058"/>
        <v>303800</v>
      </c>
      <c r="O132" s="29">
        <f t="shared" si="1058"/>
        <v>250444</v>
      </c>
      <c r="P132" s="29">
        <f t="shared" ref="P132:T132" si="1059">+P121*$A$121</f>
        <v>209343</v>
      </c>
      <c r="Q132" s="29">
        <f t="shared" si="1059"/>
        <v>0</v>
      </c>
      <c r="R132" s="29">
        <f t="shared" si="1059"/>
        <v>0</v>
      </c>
      <c r="S132" s="29">
        <f t="shared" si="1059"/>
        <v>0</v>
      </c>
      <c r="T132" s="29">
        <f t="shared" si="1059"/>
        <v>0</v>
      </c>
      <c r="U132" s="29">
        <f t="shared" ref="U132:CF132" si="1060">+U121*$A$121</f>
        <v>0</v>
      </c>
      <c r="V132" s="29">
        <f t="shared" si="1060"/>
        <v>0</v>
      </c>
      <c r="W132" s="29">
        <f t="shared" si="1060"/>
        <v>0</v>
      </c>
      <c r="X132" s="29">
        <f t="shared" si="1060"/>
        <v>164130</v>
      </c>
      <c r="Y132" s="29">
        <f t="shared" si="1060"/>
        <v>254510</v>
      </c>
      <c r="Z132" s="29">
        <f t="shared" si="1060"/>
        <v>303800</v>
      </c>
      <c r="AA132" s="29">
        <f t="shared" si="1060"/>
        <v>250444</v>
      </c>
      <c r="AB132" s="29">
        <f t="shared" si="1060"/>
        <v>209343</v>
      </c>
      <c r="AC132" s="29">
        <f t="shared" si="1060"/>
        <v>0</v>
      </c>
      <c r="AD132" s="29">
        <f t="shared" si="1060"/>
        <v>0</v>
      </c>
      <c r="AE132" s="29">
        <f t="shared" si="1060"/>
        <v>0</v>
      </c>
      <c r="AF132" s="29">
        <f t="shared" si="1060"/>
        <v>0</v>
      </c>
      <c r="AG132" s="29">
        <f t="shared" si="1060"/>
        <v>0</v>
      </c>
      <c r="AH132" s="29">
        <f t="shared" si="1060"/>
        <v>0</v>
      </c>
      <c r="AI132" s="29">
        <f t="shared" si="1060"/>
        <v>0</v>
      </c>
      <c r="AJ132" s="29">
        <f t="shared" si="1060"/>
        <v>164130</v>
      </c>
      <c r="AK132" s="29">
        <f t="shared" si="1060"/>
        <v>254510</v>
      </c>
      <c r="AL132" s="29">
        <f t="shared" si="1060"/>
        <v>303800</v>
      </c>
      <c r="AM132" s="29">
        <f t="shared" si="1060"/>
        <v>250444</v>
      </c>
      <c r="AN132" s="29">
        <f t="shared" si="1060"/>
        <v>209343</v>
      </c>
      <c r="AO132" s="29">
        <f t="shared" si="1060"/>
        <v>0</v>
      </c>
      <c r="AP132" s="29">
        <f t="shared" si="1060"/>
        <v>0</v>
      </c>
      <c r="AQ132" s="29">
        <f t="shared" si="1060"/>
        <v>0</v>
      </c>
      <c r="AR132" s="29">
        <f t="shared" si="1060"/>
        <v>0</v>
      </c>
      <c r="AS132" s="29">
        <f t="shared" si="1060"/>
        <v>0</v>
      </c>
      <c r="AT132" s="29">
        <f t="shared" si="1060"/>
        <v>0</v>
      </c>
      <c r="AU132" s="29">
        <f t="shared" si="1060"/>
        <v>0</v>
      </c>
      <c r="AV132" s="29">
        <f t="shared" si="1060"/>
        <v>164130</v>
      </c>
      <c r="AW132" s="29">
        <f t="shared" si="1060"/>
        <v>254510</v>
      </c>
      <c r="AX132" s="29">
        <f t="shared" si="1060"/>
        <v>303800</v>
      </c>
      <c r="AY132" s="29">
        <f t="shared" si="1060"/>
        <v>250444</v>
      </c>
      <c r="AZ132" s="29">
        <f t="shared" si="1060"/>
        <v>209343</v>
      </c>
      <c r="BA132" s="29">
        <f t="shared" si="1060"/>
        <v>0</v>
      </c>
      <c r="BB132" s="29">
        <f t="shared" si="1060"/>
        <v>0</v>
      </c>
      <c r="BC132" s="29">
        <f t="shared" si="1060"/>
        <v>0</v>
      </c>
      <c r="BD132" s="29">
        <f t="shared" si="1060"/>
        <v>0</v>
      </c>
      <c r="BE132" s="29">
        <f t="shared" si="1060"/>
        <v>0</v>
      </c>
      <c r="BF132" s="29">
        <f t="shared" si="1060"/>
        <v>0</v>
      </c>
      <c r="BG132" s="29">
        <f t="shared" si="1060"/>
        <v>0</v>
      </c>
      <c r="BH132" s="29">
        <f t="shared" si="1060"/>
        <v>164130</v>
      </c>
      <c r="BI132" s="29">
        <f t="shared" si="1060"/>
        <v>254510</v>
      </c>
      <c r="BJ132" s="29">
        <f t="shared" si="1060"/>
        <v>303800</v>
      </c>
      <c r="BK132" s="29">
        <f t="shared" si="1060"/>
        <v>250444</v>
      </c>
      <c r="BL132" s="29">
        <f t="shared" si="1060"/>
        <v>209343</v>
      </c>
      <c r="BM132" s="29">
        <f t="shared" si="1060"/>
        <v>0</v>
      </c>
      <c r="BN132" s="29">
        <f t="shared" si="1060"/>
        <v>0</v>
      </c>
      <c r="BO132" s="29">
        <f t="shared" si="1060"/>
        <v>0</v>
      </c>
      <c r="BP132" s="29">
        <f t="shared" si="1060"/>
        <v>0</v>
      </c>
      <c r="BQ132" s="29">
        <f t="shared" si="1060"/>
        <v>0</v>
      </c>
      <c r="BR132" s="29">
        <f t="shared" si="1060"/>
        <v>0</v>
      </c>
      <c r="BS132" s="29">
        <f t="shared" si="1060"/>
        <v>0</v>
      </c>
      <c r="BT132" s="29">
        <f t="shared" si="1060"/>
        <v>164130</v>
      </c>
      <c r="BU132" s="29">
        <f t="shared" si="1060"/>
        <v>254510</v>
      </c>
      <c r="BV132" s="29">
        <f t="shared" si="1060"/>
        <v>303800</v>
      </c>
      <c r="BW132" s="29">
        <f t="shared" si="1060"/>
        <v>250444</v>
      </c>
      <c r="BX132" s="29">
        <f t="shared" si="1060"/>
        <v>209343</v>
      </c>
      <c r="BY132" s="29">
        <f t="shared" si="1060"/>
        <v>0</v>
      </c>
      <c r="BZ132" s="29">
        <f t="shared" si="1060"/>
        <v>0</v>
      </c>
      <c r="CA132" s="29">
        <f t="shared" si="1060"/>
        <v>0</v>
      </c>
      <c r="CB132" s="29">
        <f t="shared" si="1060"/>
        <v>0</v>
      </c>
      <c r="CC132" s="29">
        <f t="shared" si="1060"/>
        <v>0</v>
      </c>
      <c r="CD132" s="29">
        <f t="shared" si="1060"/>
        <v>0</v>
      </c>
      <c r="CE132" s="29">
        <f t="shared" si="1060"/>
        <v>0</v>
      </c>
      <c r="CF132" s="29">
        <f t="shared" si="1060"/>
        <v>164130</v>
      </c>
      <c r="CG132" s="29">
        <f t="shared" ref="CG132:CN132" si="1061">+CG121*$A$121</f>
        <v>254510</v>
      </c>
      <c r="CH132" s="29">
        <f t="shared" si="1061"/>
        <v>303800</v>
      </c>
      <c r="CI132" s="29">
        <f t="shared" si="1061"/>
        <v>250444</v>
      </c>
      <c r="CJ132" s="29">
        <f t="shared" si="1061"/>
        <v>209343</v>
      </c>
      <c r="CK132" s="29">
        <f t="shared" si="1061"/>
        <v>0</v>
      </c>
      <c r="CL132" s="29">
        <f t="shared" si="1061"/>
        <v>0</v>
      </c>
      <c r="CM132" s="29">
        <f t="shared" si="1061"/>
        <v>0</v>
      </c>
      <c r="CN132" s="29">
        <f t="shared" si="1061"/>
        <v>0</v>
      </c>
    </row>
    <row r="133" spans="1:92">
      <c r="B133" s="106" t="s">
        <v>370</v>
      </c>
      <c r="C133" s="29">
        <f t="shared" ref="C133:D133" si="1062">+C122*$A$121</f>
        <v>0</v>
      </c>
      <c r="D133" s="29">
        <f t="shared" si="1062"/>
        <v>0</v>
      </c>
      <c r="F133"/>
      <c r="G133"/>
      <c r="H133" s="574">
        <f t="shared" ref="H133:O133" si="1063">+H122*$A$121</f>
        <v>0</v>
      </c>
      <c r="I133" s="29">
        <f t="shared" si="1063"/>
        <v>0</v>
      </c>
      <c r="J133" s="29">
        <f t="shared" si="1063"/>
        <v>0</v>
      </c>
      <c r="K133" s="29">
        <f t="shared" si="1063"/>
        <v>0</v>
      </c>
      <c r="L133" s="29">
        <f t="shared" si="1063"/>
        <v>337176</v>
      </c>
      <c r="M133" s="29">
        <f t="shared" si="1063"/>
        <v>599205.20000000007</v>
      </c>
      <c r="N133" s="29">
        <f t="shared" si="1063"/>
        <v>685410</v>
      </c>
      <c r="O133" s="29">
        <f t="shared" si="1063"/>
        <v>837704</v>
      </c>
      <c r="P133" s="29">
        <f t="shared" ref="P133:T133" si="1064">+P122*$A$121</f>
        <v>651533.20000000007</v>
      </c>
      <c r="Q133" s="29">
        <f t="shared" si="1064"/>
        <v>0</v>
      </c>
      <c r="R133" s="29">
        <f t="shared" si="1064"/>
        <v>0</v>
      </c>
      <c r="S133" s="29">
        <f t="shared" si="1064"/>
        <v>0</v>
      </c>
      <c r="T133" s="29">
        <f t="shared" si="1064"/>
        <v>0</v>
      </c>
      <c r="U133" s="29">
        <f t="shared" ref="U133:CF133" si="1065">+U122*$A$121</f>
        <v>0</v>
      </c>
      <c r="V133" s="29">
        <f t="shared" si="1065"/>
        <v>0</v>
      </c>
      <c r="W133" s="29">
        <f t="shared" si="1065"/>
        <v>0</v>
      </c>
      <c r="X133" s="29">
        <f t="shared" si="1065"/>
        <v>337176</v>
      </c>
      <c r="Y133" s="29">
        <f t="shared" si="1065"/>
        <v>599205.20000000007</v>
      </c>
      <c r="Z133" s="29">
        <f t="shared" si="1065"/>
        <v>685410</v>
      </c>
      <c r="AA133" s="29">
        <f t="shared" si="1065"/>
        <v>837704</v>
      </c>
      <c r="AB133" s="29">
        <f t="shared" si="1065"/>
        <v>651533.20000000007</v>
      </c>
      <c r="AC133" s="29">
        <f t="shared" si="1065"/>
        <v>0</v>
      </c>
      <c r="AD133" s="29">
        <f t="shared" si="1065"/>
        <v>0</v>
      </c>
      <c r="AE133" s="29">
        <f t="shared" si="1065"/>
        <v>0</v>
      </c>
      <c r="AF133" s="29">
        <f t="shared" si="1065"/>
        <v>0</v>
      </c>
      <c r="AG133" s="29">
        <f t="shared" si="1065"/>
        <v>0</v>
      </c>
      <c r="AH133" s="29">
        <f t="shared" si="1065"/>
        <v>0</v>
      </c>
      <c r="AI133" s="29">
        <f t="shared" si="1065"/>
        <v>0</v>
      </c>
      <c r="AJ133" s="29">
        <f t="shared" si="1065"/>
        <v>337176</v>
      </c>
      <c r="AK133" s="29">
        <f t="shared" si="1065"/>
        <v>599205.20000000007</v>
      </c>
      <c r="AL133" s="29">
        <f t="shared" si="1065"/>
        <v>685410</v>
      </c>
      <c r="AM133" s="29">
        <f t="shared" si="1065"/>
        <v>837704</v>
      </c>
      <c r="AN133" s="29">
        <f t="shared" si="1065"/>
        <v>651533.20000000007</v>
      </c>
      <c r="AO133" s="29">
        <f t="shared" si="1065"/>
        <v>0</v>
      </c>
      <c r="AP133" s="29">
        <f t="shared" si="1065"/>
        <v>0</v>
      </c>
      <c r="AQ133" s="29">
        <f t="shared" si="1065"/>
        <v>0</v>
      </c>
      <c r="AR133" s="29">
        <f t="shared" si="1065"/>
        <v>0</v>
      </c>
      <c r="AS133" s="29">
        <f t="shared" si="1065"/>
        <v>0</v>
      </c>
      <c r="AT133" s="29">
        <f t="shared" si="1065"/>
        <v>0</v>
      </c>
      <c r="AU133" s="29">
        <f t="shared" si="1065"/>
        <v>0</v>
      </c>
      <c r="AV133" s="29">
        <f t="shared" si="1065"/>
        <v>337176</v>
      </c>
      <c r="AW133" s="29">
        <f t="shared" si="1065"/>
        <v>599205.20000000007</v>
      </c>
      <c r="AX133" s="29">
        <f t="shared" si="1065"/>
        <v>685410</v>
      </c>
      <c r="AY133" s="29">
        <f t="shared" si="1065"/>
        <v>837704</v>
      </c>
      <c r="AZ133" s="29">
        <f t="shared" si="1065"/>
        <v>651533.20000000007</v>
      </c>
      <c r="BA133" s="29">
        <f t="shared" si="1065"/>
        <v>0</v>
      </c>
      <c r="BB133" s="29">
        <f t="shared" si="1065"/>
        <v>0</v>
      </c>
      <c r="BC133" s="29">
        <f t="shared" si="1065"/>
        <v>0</v>
      </c>
      <c r="BD133" s="29">
        <f t="shared" si="1065"/>
        <v>0</v>
      </c>
      <c r="BE133" s="29">
        <f t="shared" si="1065"/>
        <v>0</v>
      </c>
      <c r="BF133" s="29">
        <f t="shared" si="1065"/>
        <v>0</v>
      </c>
      <c r="BG133" s="29">
        <f t="shared" si="1065"/>
        <v>0</v>
      </c>
      <c r="BH133" s="29">
        <f t="shared" si="1065"/>
        <v>337176</v>
      </c>
      <c r="BI133" s="29">
        <f t="shared" si="1065"/>
        <v>599205.20000000007</v>
      </c>
      <c r="BJ133" s="29">
        <f t="shared" si="1065"/>
        <v>685410</v>
      </c>
      <c r="BK133" s="29">
        <f t="shared" si="1065"/>
        <v>837704</v>
      </c>
      <c r="BL133" s="29">
        <f t="shared" si="1065"/>
        <v>651533.20000000007</v>
      </c>
      <c r="BM133" s="29">
        <f t="shared" si="1065"/>
        <v>0</v>
      </c>
      <c r="BN133" s="29">
        <f t="shared" si="1065"/>
        <v>0</v>
      </c>
      <c r="BO133" s="29">
        <f t="shared" si="1065"/>
        <v>0</v>
      </c>
      <c r="BP133" s="29">
        <f t="shared" si="1065"/>
        <v>0</v>
      </c>
      <c r="BQ133" s="29">
        <f t="shared" si="1065"/>
        <v>0</v>
      </c>
      <c r="BR133" s="29">
        <f t="shared" si="1065"/>
        <v>0</v>
      </c>
      <c r="BS133" s="29">
        <f t="shared" si="1065"/>
        <v>0</v>
      </c>
      <c r="BT133" s="29">
        <f t="shared" si="1065"/>
        <v>337176</v>
      </c>
      <c r="BU133" s="29">
        <f t="shared" si="1065"/>
        <v>599205.20000000007</v>
      </c>
      <c r="BV133" s="29">
        <f t="shared" si="1065"/>
        <v>685410</v>
      </c>
      <c r="BW133" s="29">
        <f t="shared" si="1065"/>
        <v>837704</v>
      </c>
      <c r="BX133" s="29">
        <f t="shared" si="1065"/>
        <v>651533.20000000007</v>
      </c>
      <c r="BY133" s="29">
        <f t="shared" si="1065"/>
        <v>0</v>
      </c>
      <c r="BZ133" s="29">
        <f t="shared" si="1065"/>
        <v>0</v>
      </c>
      <c r="CA133" s="29">
        <f t="shared" si="1065"/>
        <v>0</v>
      </c>
      <c r="CB133" s="29">
        <f t="shared" si="1065"/>
        <v>0</v>
      </c>
      <c r="CC133" s="29">
        <f t="shared" si="1065"/>
        <v>0</v>
      </c>
      <c r="CD133" s="29">
        <f t="shared" si="1065"/>
        <v>0</v>
      </c>
      <c r="CE133" s="29">
        <f t="shared" si="1065"/>
        <v>0</v>
      </c>
      <c r="CF133" s="29">
        <f t="shared" si="1065"/>
        <v>337176</v>
      </c>
      <c r="CG133" s="29">
        <f t="shared" ref="CG133:CN133" si="1066">+CG122*$A$121</f>
        <v>599205.20000000007</v>
      </c>
      <c r="CH133" s="29">
        <f t="shared" si="1066"/>
        <v>685410</v>
      </c>
      <c r="CI133" s="29">
        <f t="shared" si="1066"/>
        <v>837704</v>
      </c>
      <c r="CJ133" s="29">
        <f t="shared" si="1066"/>
        <v>651533.20000000007</v>
      </c>
      <c r="CK133" s="29">
        <f t="shared" si="1066"/>
        <v>0</v>
      </c>
      <c r="CL133" s="29">
        <f t="shared" si="1066"/>
        <v>0</v>
      </c>
      <c r="CM133" s="29">
        <f t="shared" si="1066"/>
        <v>0</v>
      </c>
      <c r="CN133" s="29">
        <f t="shared" si="1066"/>
        <v>0</v>
      </c>
    </row>
    <row r="134" spans="1:92">
      <c r="B134" s="106" t="s">
        <v>371</v>
      </c>
      <c r="C134" s="317">
        <f t="shared" ref="C134:D134" si="1067">+C123*$A$121</f>
        <v>0</v>
      </c>
      <c r="D134" s="317">
        <f t="shared" si="1067"/>
        <v>0</v>
      </c>
      <c r="F134"/>
      <c r="G134"/>
      <c r="H134" s="575">
        <f t="shared" ref="H134:O134" si="1068">+H123*$A$121</f>
        <v>0</v>
      </c>
      <c r="I134" s="317">
        <f t="shared" si="1068"/>
        <v>0</v>
      </c>
      <c r="J134" s="317">
        <f t="shared" si="1068"/>
        <v>0</v>
      </c>
      <c r="K134" s="317">
        <f t="shared" si="1068"/>
        <v>0</v>
      </c>
      <c r="L134" s="317">
        <f t="shared" si="1068"/>
        <v>458820</v>
      </c>
      <c r="M134" s="317">
        <f t="shared" si="1068"/>
        <v>729771</v>
      </c>
      <c r="N134" s="317">
        <f t="shared" si="1068"/>
        <v>791678</v>
      </c>
      <c r="O134" s="317">
        <f t="shared" si="1068"/>
        <v>1303036</v>
      </c>
      <c r="P134" s="317">
        <f t="shared" ref="P134:T134" si="1069">+P123*$A$121</f>
        <v>1244650</v>
      </c>
      <c r="Q134" s="317">
        <f t="shared" si="1069"/>
        <v>0</v>
      </c>
      <c r="R134" s="317">
        <f t="shared" si="1069"/>
        <v>0</v>
      </c>
      <c r="S134" s="317">
        <f t="shared" si="1069"/>
        <v>0</v>
      </c>
      <c r="T134" s="317">
        <f t="shared" si="1069"/>
        <v>0</v>
      </c>
      <c r="U134" s="317">
        <f t="shared" ref="U134:CF134" si="1070">+U123*$A$121</f>
        <v>0</v>
      </c>
      <c r="V134" s="317">
        <f t="shared" si="1070"/>
        <v>0</v>
      </c>
      <c r="W134" s="317">
        <f t="shared" si="1070"/>
        <v>0</v>
      </c>
      <c r="X134" s="317">
        <f t="shared" si="1070"/>
        <v>458820</v>
      </c>
      <c r="Y134" s="317">
        <f t="shared" si="1070"/>
        <v>729771</v>
      </c>
      <c r="Z134" s="317">
        <f t="shared" si="1070"/>
        <v>791678</v>
      </c>
      <c r="AA134" s="317">
        <f t="shared" si="1070"/>
        <v>1303036</v>
      </c>
      <c r="AB134" s="317">
        <f t="shared" si="1070"/>
        <v>1244650</v>
      </c>
      <c r="AC134" s="317">
        <f t="shared" si="1070"/>
        <v>0</v>
      </c>
      <c r="AD134" s="317">
        <f t="shared" si="1070"/>
        <v>0</v>
      </c>
      <c r="AE134" s="317">
        <f t="shared" si="1070"/>
        <v>0</v>
      </c>
      <c r="AF134" s="317">
        <f t="shared" si="1070"/>
        <v>0</v>
      </c>
      <c r="AG134" s="317">
        <f t="shared" si="1070"/>
        <v>0</v>
      </c>
      <c r="AH134" s="317">
        <f t="shared" si="1070"/>
        <v>0</v>
      </c>
      <c r="AI134" s="317">
        <f t="shared" si="1070"/>
        <v>0</v>
      </c>
      <c r="AJ134" s="317">
        <f t="shared" si="1070"/>
        <v>458820</v>
      </c>
      <c r="AK134" s="317">
        <f t="shared" si="1070"/>
        <v>729771</v>
      </c>
      <c r="AL134" s="317">
        <f t="shared" si="1070"/>
        <v>791678</v>
      </c>
      <c r="AM134" s="317">
        <f t="shared" si="1070"/>
        <v>1303036</v>
      </c>
      <c r="AN134" s="317">
        <f t="shared" si="1070"/>
        <v>1244650</v>
      </c>
      <c r="AO134" s="317">
        <f t="shared" si="1070"/>
        <v>0</v>
      </c>
      <c r="AP134" s="317">
        <f t="shared" si="1070"/>
        <v>0</v>
      </c>
      <c r="AQ134" s="317">
        <f t="shared" si="1070"/>
        <v>0</v>
      </c>
      <c r="AR134" s="317">
        <f t="shared" si="1070"/>
        <v>0</v>
      </c>
      <c r="AS134" s="317">
        <f t="shared" si="1070"/>
        <v>0</v>
      </c>
      <c r="AT134" s="317">
        <f t="shared" si="1070"/>
        <v>0</v>
      </c>
      <c r="AU134" s="317">
        <f t="shared" si="1070"/>
        <v>0</v>
      </c>
      <c r="AV134" s="317">
        <f t="shared" si="1070"/>
        <v>458820</v>
      </c>
      <c r="AW134" s="317">
        <f t="shared" si="1070"/>
        <v>729771</v>
      </c>
      <c r="AX134" s="317">
        <f t="shared" si="1070"/>
        <v>791678</v>
      </c>
      <c r="AY134" s="317">
        <f t="shared" si="1070"/>
        <v>1303036</v>
      </c>
      <c r="AZ134" s="317">
        <f t="shared" si="1070"/>
        <v>1244650</v>
      </c>
      <c r="BA134" s="317">
        <f t="shared" si="1070"/>
        <v>0</v>
      </c>
      <c r="BB134" s="317">
        <f t="shared" si="1070"/>
        <v>0</v>
      </c>
      <c r="BC134" s="317">
        <f t="shared" si="1070"/>
        <v>0</v>
      </c>
      <c r="BD134" s="317">
        <f t="shared" si="1070"/>
        <v>0</v>
      </c>
      <c r="BE134" s="317">
        <f t="shared" si="1070"/>
        <v>0</v>
      </c>
      <c r="BF134" s="317">
        <f t="shared" si="1070"/>
        <v>0</v>
      </c>
      <c r="BG134" s="317">
        <f t="shared" si="1070"/>
        <v>0</v>
      </c>
      <c r="BH134" s="317">
        <f t="shared" si="1070"/>
        <v>458820</v>
      </c>
      <c r="BI134" s="317">
        <f t="shared" si="1070"/>
        <v>729771</v>
      </c>
      <c r="BJ134" s="317">
        <f t="shared" si="1070"/>
        <v>791678</v>
      </c>
      <c r="BK134" s="317">
        <f t="shared" si="1070"/>
        <v>1303036</v>
      </c>
      <c r="BL134" s="317">
        <f t="shared" si="1070"/>
        <v>1244650</v>
      </c>
      <c r="BM134" s="317">
        <f t="shared" si="1070"/>
        <v>0</v>
      </c>
      <c r="BN134" s="317">
        <f t="shared" si="1070"/>
        <v>0</v>
      </c>
      <c r="BO134" s="317">
        <f t="shared" si="1070"/>
        <v>0</v>
      </c>
      <c r="BP134" s="317">
        <f t="shared" si="1070"/>
        <v>0</v>
      </c>
      <c r="BQ134" s="317">
        <f t="shared" si="1070"/>
        <v>0</v>
      </c>
      <c r="BR134" s="317">
        <f t="shared" si="1070"/>
        <v>0</v>
      </c>
      <c r="BS134" s="317">
        <f t="shared" si="1070"/>
        <v>0</v>
      </c>
      <c r="BT134" s="317">
        <f t="shared" si="1070"/>
        <v>458820</v>
      </c>
      <c r="BU134" s="317">
        <f t="shared" si="1070"/>
        <v>729771</v>
      </c>
      <c r="BV134" s="317">
        <f t="shared" si="1070"/>
        <v>791678</v>
      </c>
      <c r="BW134" s="317">
        <f t="shared" si="1070"/>
        <v>1303036</v>
      </c>
      <c r="BX134" s="317">
        <f t="shared" si="1070"/>
        <v>1244650</v>
      </c>
      <c r="BY134" s="317">
        <f t="shared" si="1070"/>
        <v>0</v>
      </c>
      <c r="BZ134" s="317">
        <f t="shared" si="1070"/>
        <v>0</v>
      </c>
      <c r="CA134" s="317">
        <f t="shared" si="1070"/>
        <v>0</v>
      </c>
      <c r="CB134" s="317">
        <f t="shared" si="1070"/>
        <v>0</v>
      </c>
      <c r="CC134" s="317">
        <f t="shared" si="1070"/>
        <v>0</v>
      </c>
      <c r="CD134" s="317">
        <f t="shared" si="1070"/>
        <v>0</v>
      </c>
      <c r="CE134" s="317">
        <f t="shared" si="1070"/>
        <v>0</v>
      </c>
      <c r="CF134" s="317">
        <f t="shared" si="1070"/>
        <v>458820</v>
      </c>
      <c r="CG134" s="317">
        <f t="shared" ref="CG134:CN134" si="1071">+CG123*$A$121</f>
        <v>729771</v>
      </c>
      <c r="CH134" s="317">
        <f t="shared" si="1071"/>
        <v>791678</v>
      </c>
      <c r="CI134" s="317">
        <f t="shared" si="1071"/>
        <v>1303036</v>
      </c>
      <c r="CJ134" s="317">
        <f t="shared" si="1071"/>
        <v>1244650</v>
      </c>
      <c r="CK134" s="317">
        <f t="shared" si="1071"/>
        <v>0</v>
      </c>
      <c r="CL134" s="317">
        <f t="shared" si="1071"/>
        <v>0</v>
      </c>
      <c r="CM134" s="317">
        <f t="shared" si="1071"/>
        <v>0</v>
      </c>
      <c r="CN134" s="317">
        <f t="shared" si="1071"/>
        <v>0</v>
      </c>
    </row>
    <row r="135" spans="1:92">
      <c r="B135" s="106" t="s">
        <v>372</v>
      </c>
      <c r="C135" s="107">
        <f t="shared" ref="C135:D135" si="1072">SUM(C132+C133+C134)</f>
        <v>0</v>
      </c>
      <c r="D135" s="107">
        <f t="shared" si="1072"/>
        <v>0</v>
      </c>
      <c r="F135"/>
      <c r="G135"/>
      <c r="H135" s="364">
        <f t="shared" ref="H135:O135" si="1073">SUM(H132+H133+H134)</f>
        <v>0</v>
      </c>
      <c r="I135" s="22">
        <f t="shared" si="1073"/>
        <v>0</v>
      </c>
      <c r="J135" s="22">
        <f t="shared" si="1073"/>
        <v>0</v>
      </c>
      <c r="K135" s="22">
        <f t="shared" si="1073"/>
        <v>0</v>
      </c>
      <c r="L135" s="22">
        <f t="shared" si="1073"/>
        <v>960126</v>
      </c>
      <c r="M135" s="22">
        <f t="shared" si="1073"/>
        <v>1583486.2000000002</v>
      </c>
      <c r="N135" s="22">
        <f t="shared" si="1073"/>
        <v>1780888</v>
      </c>
      <c r="O135" s="22">
        <f t="shared" si="1073"/>
        <v>2391184</v>
      </c>
      <c r="P135" s="22">
        <f t="shared" ref="P135:T135" si="1074">SUM(P132+P133+P134)</f>
        <v>2105526.2000000002</v>
      </c>
      <c r="Q135" s="22">
        <f t="shared" si="1074"/>
        <v>0</v>
      </c>
      <c r="R135" s="22">
        <f t="shared" si="1074"/>
        <v>0</v>
      </c>
      <c r="S135" s="22">
        <f t="shared" si="1074"/>
        <v>0</v>
      </c>
      <c r="T135" s="22">
        <f t="shared" si="1074"/>
        <v>0</v>
      </c>
      <c r="U135" s="22">
        <f t="shared" ref="U135:CF135" si="1075">SUM(U132+U133+U134)</f>
        <v>0</v>
      </c>
      <c r="V135" s="22">
        <f t="shared" si="1075"/>
        <v>0</v>
      </c>
      <c r="W135" s="22">
        <f t="shared" si="1075"/>
        <v>0</v>
      </c>
      <c r="X135" s="22">
        <f t="shared" si="1075"/>
        <v>960126</v>
      </c>
      <c r="Y135" s="22">
        <f t="shared" si="1075"/>
        <v>1583486.2000000002</v>
      </c>
      <c r="Z135" s="22">
        <f t="shared" si="1075"/>
        <v>1780888</v>
      </c>
      <c r="AA135" s="22">
        <f t="shared" si="1075"/>
        <v>2391184</v>
      </c>
      <c r="AB135" s="22">
        <f t="shared" si="1075"/>
        <v>2105526.2000000002</v>
      </c>
      <c r="AC135" s="22">
        <f t="shared" si="1075"/>
        <v>0</v>
      </c>
      <c r="AD135" s="22">
        <f t="shared" si="1075"/>
        <v>0</v>
      </c>
      <c r="AE135" s="22">
        <f t="shared" si="1075"/>
        <v>0</v>
      </c>
      <c r="AF135" s="22">
        <f t="shared" si="1075"/>
        <v>0</v>
      </c>
      <c r="AG135" s="22">
        <f t="shared" si="1075"/>
        <v>0</v>
      </c>
      <c r="AH135" s="22">
        <f t="shared" si="1075"/>
        <v>0</v>
      </c>
      <c r="AI135" s="22">
        <f t="shared" si="1075"/>
        <v>0</v>
      </c>
      <c r="AJ135" s="22">
        <f t="shared" si="1075"/>
        <v>960126</v>
      </c>
      <c r="AK135" s="22">
        <f t="shared" si="1075"/>
        <v>1583486.2000000002</v>
      </c>
      <c r="AL135" s="22">
        <f t="shared" si="1075"/>
        <v>1780888</v>
      </c>
      <c r="AM135" s="22">
        <f t="shared" si="1075"/>
        <v>2391184</v>
      </c>
      <c r="AN135" s="22">
        <f t="shared" si="1075"/>
        <v>2105526.2000000002</v>
      </c>
      <c r="AO135" s="22">
        <f t="shared" si="1075"/>
        <v>0</v>
      </c>
      <c r="AP135" s="22">
        <f t="shared" si="1075"/>
        <v>0</v>
      </c>
      <c r="AQ135" s="22">
        <f t="shared" si="1075"/>
        <v>0</v>
      </c>
      <c r="AR135" s="22">
        <f t="shared" si="1075"/>
        <v>0</v>
      </c>
      <c r="AS135" s="22">
        <f t="shared" si="1075"/>
        <v>0</v>
      </c>
      <c r="AT135" s="22">
        <f t="shared" si="1075"/>
        <v>0</v>
      </c>
      <c r="AU135" s="22">
        <f t="shared" si="1075"/>
        <v>0</v>
      </c>
      <c r="AV135" s="22">
        <f t="shared" si="1075"/>
        <v>960126</v>
      </c>
      <c r="AW135" s="22">
        <f t="shared" si="1075"/>
        <v>1583486.2000000002</v>
      </c>
      <c r="AX135" s="22">
        <f t="shared" si="1075"/>
        <v>1780888</v>
      </c>
      <c r="AY135" s="22">
        <f t="shared" si="1075"/>
        <v>2391184</v>
      </c>
      <c r="AZ135" s="22">
        <f t="shared" si="1075"/>
        <v>2105526.2000000002</v>
      </c>
      <c r="BA135" s="22">
        <f t="shared" si="1075"/>
        <v>0</v>
      </c>
      <c r="BB135" s="22">
        <f t="shared" si="1075"/>
        <v>0</v>
      </c>
      <c r="BC135" s="22">
        <f t="shared" si="1075"/>
        <v>0</v>
      </c>
      <c r="BD135" s="22">
        <f t="shared" si="1075"/>
        <v>0</v>
      </c>
      <c r="BE135" s="22">
        <f t="shared" si="1075"/>
        <v>0</v>
      </c>
      <c r="BF135" s="22">
        <f t="shared" si="1075"/>
        <v>0</v>
      </c>
      <c r="BG135" s="22">
        <f t="shared" si="1075"/>
        <v>0</v>
      </c>
      <c r="BH135" s="22">
        <f t="shared" si="1075"/>
        <v>960126</v>
      </c>
      <c r="BI135" s="22">
        <f t="shared" si="1075"/>
        <v>1583486.2000000002</v>
      </c>
      <c r="BJ135" s="22">
        <f t="shared" si="1075"/>
        <v>1780888</v>
      </c>
      <c r="BK135" s="22">
        <f t="shared" si="1075"/>
        <v>2391184</v>
      </c>
      <c r="BL135" s="22">
        <f t="shared" si="1075"/>
        <v>2105526.2000000002</v>
      </c>
      <c r="BM135" s="22">
        <f t="shared" si="1075"/>
        <v>0</v>
      </c>
      <c r="BN135" s="22">
        <f t="shared" si="1075"/>
        <v>0</v>
      </c>
      <c r="BO135" s="22">
        <f t="shared" si="1075"/>
        <v>0</v>
      </c>
      <c r="BP135" s="22">
        <f t="shared" si="1075"/>
        <v>0</v>
      </c>
      <c r="BQ135" s="22">
        <f t="shared" si="1075"/>
        <v>0</v>
      </c>
      <c r="BR135" s="22">
        <f t="shared" si="1075"/>
        <v>0</v>
      </c>
      <c r="BS135" s="22">
        <f t="shared" si="1075"/>
        <v>0</v>
      </c>
      <c r="BT135" s="22">
        <f t="shared" si="1075"/>
        <v>960126</v>
      </c>
      <c r="BU135" s="22">
        <f t="shared" si="1075"/>
        <v>1583486.2000000002</v>
      </c>
      <c r="BV135" s="22">
        <f t="shared" si="1075"/>
        <v>1780888</v>
      </c>
      <c r="BW135" s="22">
        <f t="shared" si="1075"/>
        <v>2391184</v>
      </c>
      <c r="BX135" s="22">
        <f t="shared" si="1075"/>
        <v>2105526.2000000002</v>
      </c>
      <c r="BY135" s="22">
        <f t="shared" si="1075"/>
        <v>0</v>
      </c>
      <c r="BZ135" s="22">
        <f t="shared" si="1075"/>
        <v>0</v>
      </c>
      <c r="CA135" s="22">
        <f t="shared" si="1075"/>
        <v>0</v>
      </c>
      <c r="CB135" s="22">
        <f t="shared" si="1075"/>
        <v>0</v>
      </c>
      <c r="CC135" s="22">
        <f t="shared" si="1075"/>
        <v>0</v>
      </c>
      <c r="CD135" s="22">
        <f t="shared" si="1075"/>
        <v>0</v>
      </c>
      <c r="CE135" s="29">
        <f t="shared" si="1075"/>
        <v>0</v>
      </c>
      <c r="CF135" s="22">
        <f t="shared" si="1075"/>
        <v>960126</v>
      </c>
      <c r="CG135" s="22">
        <f t="shared" ref="CG135:CN135" si="1076">SUM(CG132+CG133+CG134)</f>
        <v>1583486.2000000002</v>
      </c>
      <c r="CH135" s="22">
        <f t="shared" si="1076"/>
        <v>1780888</v>
      </c>
      <c r="CI135" s="22">
        <f t="shared" si="1076"/>
        <v>2391184</v>
      </c>
      <c r="CJ135" s="22">
        <f t="shared" si="1076"/>
        <v>2105526.2000000002</v>
      </c>
      <c r="CK135" s="22">
        <f t="shared" si="1076"/>
        <v>0</v>
      </c>
      <c r="CL135" s="22">
        <f t="shared" si="1076"/>
        <v>0</v>
      </c>
      <c r="CM135" s="22">
        <f t="shared" si="1076"/>
        <v>0</v>
      </c>
      <c r="CN135" s="22">
        <f t="shared" si="1076"/>
        <v>0</v>
      </c>
    </row>
    <row r="136" spans="1:92">
      <c r="D136" s="107"/>
      <c r="H136" s="364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9"/>
      <c r="CF136" s="22"/>
      <c r="CG136" s="22"/>
      <c r="CH136" s="22"/>
      <c r="CI136" s="22"/>
      <c r="CJ136" s="22"/>
      <c r="CK136" s="22"/>
      <c r="CL136" s="22"/>
      <c r="CM136" s="22"/>
      <c r="CN136" s="22"/>
    </row>
    <row r="137" spans="1:92">
      <c r="B137" s="106" t="s">
        <v>373</v>
      </c>
      <c r="C137" s="22"/>
      <c r="D137" s="22"/>
      <c r="E137"/>
      <c r="F137"/>
      <c r="G137"/>
      <c r="H137" s="364">
        <f t="shared" ref="H137" si="1077">+H126*$A$121</f>
        <v>0</v>
      </c>
      <c r="I137" s="22">
        <f t="shared" ref="I137:O137" si="1078">+I126*$A$121</f>
        <v>65537</v>
      </c>
      <c r="J137" s="22">
        <f t="shared" si="1078"/>
        <v>65537</v>
      </c>
      <c r="K137" s="22">
        <f t="shared" si="1078"/>
        <v>65537</v>
      </c>
      <c r="L137" s="22">
        <f t="shared" si="1078"/>
        <v>0</v>
      </c>
      <c r="M137" s="22">
        <f t="shared" si="1078"/>
        <v>0</v>
      </c>
      <c r="N137" s="22">
        <f t="shared" si="1078"/>
        <v>0</v>
      </c>
      <c r="O137" s="22">
        <f t="shared" si="1078"/>
        <v>0</v>
      </c>
      <c r="P137" s="22">
        <f t="shared" ref="P137:T137" si="1079">+P126*$A$121</f>
        <v>0</v>
      </c>
      <c r="Q137" s="22">
        <f t="shared" si="1079"/>
        <v>168889.57142857142</v>
      </c>
      <c r="R137" s="22">
        <f t="shared" si="1079"/>
        <v>168889.57142857142</v>
      </c>
      <c r="S137" s="22">
        <f t="shared" si="1079"/>
        <v>168889.57142857142</v>
      </c>
      <c r="T137" s="22">
        <f t="shared" si="1079"/>
        <v>168889.57142857142</v>
      </c>
      <c r="U137" s="22">
        <f t="shared" ref="U137:CF137" si="1080">+U126*$A$121</f>
        <v>168889.57142857142</v>
      </c>
      <c r="V137" s="22">
        <f t="shared" si="1080"/>
        <v>168889.57142857142</v>
      </c>
      <c r="W137" s="22">
        <f t="shared" si="1080"/>
        <v>168889.57142857142</v>
      </c>
      <c r="X137" s="22">
        <f t="shared" si="1080"/>
        <v>0</v>
      </c>
      <c r="Y137" s="22">
        <f t="shared" si="1080"/>
        <v>0</v>
      </c>
      <c r="Z137" s="22">
        <f t="shared" si="1080"/>
        <v>0</v>
      </c>
      <c r="AA137" s="22">
        <f t="shared" si="1080"/>
        <v>0</v>
      </c>
      <c r="AB137" s="22">
        <f t="shared" si="1080"/>
        <v>0</v>
      </c>
      <c r="AC137" s="22">
        <f t="shared" si="1080"/>
        <v>168889.57142857142</v>
      </c>
      <c r="AD137" s="22">
        <f t="shared" si="1080"/>
        <v>168889.57142857142</v>
      </c>
      <c r="AE137" s="22">
        <f t="shared" si="1080"/>
        <v>168889.57142857142</v>
      </c>
      <c r="AF137" s="22">
        <f t="shared" si="1080"/>
        <v>168889.57142857142</v>
      </c>
      <c r="AG137" s="22">
        <f t="shared" si="1080"/>
        <v>168889.57142857142</v>
      </c>
      <c r="AH137" s="22">
        <f t="shared" si="1080"/>
        <v>168889.57142857142</v>
      </c>
      <c r="AI137" s="22">
        <f t="shared" si="1080"/>
        <v>168889.57142857142</v>
      </c>
      <c r="AJ137" s="22">
        <f t="shared" si="1080"/>
        <v>0</v>
      </c>
      <c r="AK137" s="22">
        <f t="shared" si="1080"/>
        <v>0</v>
      </c>
      <c r="AL137" s="22">
        <f t="shared" si="1080"/>
        <v>0</v>
      </c>
      <c r="AM137" s="22">
        <f t="shared" si="1080"/>
        <v>0</v>
      </c>
      <c r="AN137" s="22">
        <f t="shared" si="1080"/>
        <v>0</v>
      </c>
      <c r="AO137" s="22">
        <f t="shared" si="1080"/>
        <v>168889.57142857142</v>
      </c>
      <c r="AP137" s="22">
        <f t="shared" si="1080"/>
        <v>168889.57142857142</v>
      </c>
      <c r="AQ137" s="22">
        <f t="shared" si="1080"/>
        <v>168889.57142857142</v>
      </c>
      <c r="AR137" s="22">
        <f t="shared" si="1080"/>
        <v>168889.57142857142</v>
      </c>
      <c r="AS137" s="22">
        <f t="shared" si="1080"/>
        <v>168889.57142857142</v>
      </c>
      <c r="AT137" s="22">
        <f t="shared" si="1080"/>
        <v>168889.57142857142</v>
      </c>
      <c r="AU137" s="22">
        <f t="shared" si="1080"/>
        <v>168889.57142857142</v>
      </c>
      <c r="AV137" s="22">
        <f t="shared" si="1080"/>
        <v>0</v>
      </c>
      <c r="AW137" s="22">
        <f t="shared" si="1080"/>
        <v>0</v>
      </c>
      <c r="AX137" s="22">
        <f t="shared" si="1080"/>
        <v>0</v>
      </c>
      <c r="AY137" s="22">
        <f t="shared" si="1080"/>
        <v>0</v>
      </c>
      <c r="AZ137" s="22">
        <f t="shared" si="1080"/>
        <v>0</v>
      </c>
      <c r="BA137" s="22">
        <f t="shared" si="1080"/>
        <v>168889.57142857142</v>
      </c>
      <c r="BB137" s="22">
        <f t="shared" si="1080"/>
        <v>168889.57142857142</v>
      </c>
      <c r="BC137" s="22">
        <f t="shared" si="1080"/>
        <v>168889.57142857142</v>
      </c>
      <c r="BD137" s="22">
        <f t="shared" si="1080"/>
        <v>168889.57142857142</v>
      </c>
      <c r="BE137" s="22">
        <f t="shared" si="1080"/>
        <v>168889.57142857142</v>
      </c>
      <c r="BF137" s="22">
        <f t="shared" si="1080"/>
        <v>168889.57142857142</v>
      </c>
      <c r="BG137" s="22">
        <f t="shared" si="1080"/>
        <v>168889.57142857142</v>
      </c>
      <c r="BH137" s="22">
        <f t="shared" si="1080"/>
        <v>0</v>
      </c>
      <c r="BI137" s="22">
        <f t="shared" si="1080"/>
        <v>0</v>
      </c>
      <c r="BJ137" s="22">
        <f t="shared" si="1080"/>
        <v>0</v>
      </c>
      <c r="BK137" s="22">
        <f t="shared" si="1080"/>
        <v>0</v>
      </c>
      <c r="BL137" s="22">
        <f t="shared" si="1080"/>
        <v>0</v>
      </c>
      <c r="BM137" s="22">
        <f t="shared" si="1080"/>
        <v>168889.57142857142</v>
      </c>
      <c r="BN137" s="22">
        <f t="shared" si="1080"/>
        <v>168889.57142857142</v>
      </c>
      <c r="BO137" s="22">
        <f t="shared" si="1080"/>
        <v>168889.57142857142</v>
      </c>
      <c r="BP137" s="22">
        <f t="shared" si="1080"/>
        <v>168889.57142857142</v>
      </c>
      <c r="BQ137" s="22">
        <f t="shared" si="1080"/>
        <v>168889.57142857142</v>
      </c>
      <c r="BR137" s="22">
        <f t="shared" si="1080"/>
        <v>168889.57142857142</v>
      </c>
      <c r="BS137" s="22">
        <f t="shared" si="1080"/>
        <v>168889.57142857142</v>
      </c>
      <c r="BT137" s="22">
        <f t="shared" si="1080"/>
        <v>0</v>
      </c>
      <c r="BU137" s="22">
        <f t="shared" si="1080"/>
        <v>0</v>
      </c>
      <c r="BV137" s="22">
        <f t="shared" si="1080"/>
        <v>0</v>
      </c>
      <c r="BW137" s="22">
        <f t="shared" si="1080"/>
        <v>0</v>
      </c>
      <c r="BX137" s="22">
        <f t="shared" si="1080"/>
        <v>0</v>
      </c>
      <c r="BY137" s="22">
        <f t="shared" si="1080"/>
        <v>168889.57142857142</v>
      </c>
      <c r="BZ137" s="22">
        <f t="shared" si="1080"/>
        <v>168889.57142857142</v>
      </c>
      <c r="CA137" s="22">
        <f t="shared" si="1080"/>
        <v>168889.57142857142</v>
      </c>
      <c r="CB137" s="22">
        <f t="shared" si="1080"/>
        <v>168889.57142857142</v>
      </c>
      <c r="CC137" s="22">
        <f t="shared" si="1080"/>
        <v>168889.57142857142</v>
      </c>
      <c r="CD137" s="22">
        <f t="shared" si="1080"/>
        <v>168889.57142857142</v>
      </c>
      <c r="CE137" s="29">
        <f t="shared" si="1080"/>
        <v>168889.57142857142</v>
      </c>
      <c r="CF137" s="22">
        <f t="shared" si="1080"/>
        <v>0</v>
      </c>
      <c r="CG137" s="22">
        <f t="shared" ref="CG137:CN137" si="1081">+CG126*$A$121</f>
        <v>0</v>
      </c>
      <c r="CH137" s="22">
        <f t="shared" si="1081"/>
        <v>0</v>
      </c>
      <c r="CI137" s="22">
        <f t="shared" si="1081"/>
        <v>0</v>
      </c>
      <c r="CJ137" s="22">
        <f t="shared" si="1081"/>
        <v>0</v>
      </c>
      <c r="CK137" s="22">
        <f t="shared" si="1081"/>
        <v>168889.57142857142</v>
      </c>
      <c r="CL137" s="22">
        <f t="shared" si="1081"/>
        <v>168889.57142857142</v>
      </c>
      <c r="CM137" s="22">
        <f t="shared" si="1081"/>
        <v>168889.57142857142</v>
      </c>
      <c r="CN137" s="22">
        <f t="shared" si="1081"/>
        <v>168889.57142857142</v>
      </c>
    </row>
    <row r="138" spans="1:92">
      <c r="B138" s="106" t="s">
        <v>374</v>
      </c>
      <c r="C138" s="22"/>
      <c r="D138" s="22"/>
      <c r="E138"/>
      <c r="F138"/>
      <c r="G138"/>
      <c r="H138" s="364">
        <f t="shared" ref="H138" si="1082">+H127*$A$121</f>
        <v>0</v>
      </c>
      <c r="I138" s="22">
        <f t="shared" ref="I138:O138" si="1083">+I127*$A$121</f>
        <v>300000</v>
      </c>
      <c r="J138" s="22">
        <f t="shared" si="1083"/>
        <v>300000</v>
      </c>
      <c r="K138" s="22">
        <f t="shared" si="1083"/>
        <v>300000</v>
      </c>
      <c r="L138" s="22">
        <f t="shared" si="1083"/>
        <v>0</v>
      </c>
      <c r="M138" s="22">
        <f t="shared" si="1083"/>
        <v>0</v>
      </c>
      <c r="N138" s="22">
        <f t="shared" si="1083"/>
        <v>0</v>
      </c>
      <c r="O138" s="22">
        <f t="shared" si="1083"/>
        <v>0</v>
      </c>
      <c r="P138" s="22">
        <f t="shared" ref="P138:T138" si="1084">+P127*$A$121</f>
        <v>0</v>
      </c>
      <c r="Q138" s="22">
        <f t="shared" si="1084"/>
        <v>444432.62857142865</v>
      </c>
      <c r="R138" s="22">
        <f t="shared" si="1084"/>
        <v>444432.62857142865</v>
      </c>
      <c r="S138" s="22">
        <f t="shared" si="1084"/>
        <v>444432.62857142865</v>
      </c>
      <c r="T138" s="22">
        <f t="shared" si="1084"/>
        <v>444432.62857142865</v>
      </c>
      <c r="U138" s="22">
        <f t="shared" ref="U138:CF138" si="1085">+U127*$A$121</f>
        <v>444432.62857142865</v>
      </c>
      <c r="V138" s="22">
        <f t="shared" si="1085"/>
        <v>444432.62857142865</v>
      </c>
      <c r="W138" s="22">
        <f t="shared" si="1085"/>
        <v>444432.62857142865</v>
      </c>
      <c r="X138" s="22">
        <f t="shared" si="1085"/>
        <v>0</v>
      </c>
      <c r="Y138" s="22">
        <f t="shared" si="1085"/>
        <v>0</v>
      </c>
      <c r="Z138" s="22">
        <f t="shared" si="1085"/>
        <v>0</v>
      </c>
      <c r="AA138" s="22">
        <f t="shared" si="1085"/>
        <v>0</v>
      </c>
      <c r="AB138" s="22">
        <f t="shared" si="1085"/>
        <v>0</v>
      </c>
      <c r="AC138" s="22">
        <f t="shared" si="1085"/>
        <v>444432.62857142865</v>
      </c>
      <c r="AD138" s="22">
        <f t="shared" si="1085"/>
        <v>444432.62857142865</v>
      </c>
      <c r="AE138" s="22">
        <f t="shared" si="1085"/>
        <v>444432.62857142865</v>
      </c>
      <c r="AF138" s="22">
        <f t="shared" si="1085"/>
        <v>444432.62857142865</v>
      </c>
      <c r="AG138" s="22">
        <f t="shared" si="1085"/>
        <v>444432.62857142865</v>
      </c>
      <c r="AH138" s="22">
        <f t="shared" si="1085"/>
        <v>444432.62857142865</v>
      </c>
      <c r="AI138" s="22">
        <f t="shared" si="1085"/>
        <v>444432.62857142865</v>
      </c>
      <c r="AJ138" s="22">
        <f t="shared" si="1085"/>
        <v>0</v>
      </c>
      <c r="AK138" s="22">
        <f t="shared" si="1085"/>
        <v>0</v>
      </c>
      <c r="AL138" s="22">
        <f t="shared" si="1085"/>
        <v>0</v>
      </c>
      <c r="AM138" s="22">
        <f t="shared" si="1085"/>
        <v>0</v>
      </c>
      <c r="AN138" s="22">
        <f t="shared" si="1085"/>
        <v>0</v>
      </c>
      <c r="AO138" s="22">
        <f t="shared" si="1085"/>
        <v>444432.62857142865</v>
      </c>
      <c r="AP138" s="22">
        <f t="shared" si="1085"/>
        <v>444432.62857142865</v>
      </c>
      <c r="AQ138" s="22">
        <f t="shared" si="1085"/>
        <v>444432.62857142865</v>
      </c>
      <c r="AR138" s="22">
        <f t="shared" si="1085"/>
        <v>444432.62857142865</v>
      </c>
      <c r="AS138" s="22">
        <f t="shared" si="1085"/>
        <v>444432.62857142865</v>
      </c>
      <c r="AT138" s="22">
        <f t="shared" si="1085"/>
        <v>444432.62857142865</v>
      </c>
      <c r="AU138" s="22">
        <f t="shared" si="1085"/>
        <v>444432.62857142865</v>
      </c>
      <c r="AV138" s="22">
        <f t="shared" si="1085"/>
        <v>0</v>
      </c>
      <c r="AW138" s="22">
        <f t="shared" si="1085"/>
        <v>0</v>
      </c>
      <c r="AX138" s="22">
        <f t="shared" si="1085"/>
        <v>0</v>
      </c>
      <c r="AY138" s="22">
        <f t="shared" si="1085"/>
        <v>0</v>
      </c>
      <c r="AZ138" s="22">
        <f t="shared" si="1085"/>
        <v>0</v>
      </c>
      <c r="BA138" s="22">
        <f t="shared" si="1085"/>
        <v>444432.62857142865</v>
      </c>
      <c r="BB138" s="22">
        <f t="shared" si="1085"/>
        <v>444432.62857142865</v>
      </c>
      <c r="BC138" s="22">
        <f t="shared" si="1085"/>
        <v>444432.62857142865</v>
      </c>
      <c r="BD138" s="22">
        <f t="shared" si="1085"/>
        <v>444432.62857142865</v>
      </c>
      <c r="BE138" s="22">
        <f t="shared" si="1085"/>
        <v>444432.62857142865</v>
      </c>
      <c r="BF138" s="22">
        <f t="shared" si="1085"/>
        <v>444432.62857142865</v>
      </c>
      <c r="BG138" s="22">
        <f t="shared" si="1085"/>
        <v>444432.62857142865</v>
      </c>
      <c r="BH138" s="22">
        <f t="shared" si="1085"/>
        <v>0</v>
      </c>
      <c r="BI138" s="22">
        <f t="shared" si="1085"/>
        <v>0</v>
      </c>
      <c r="BJ138" s="22">
        <f t="shared" si="1085"/>
        <v>0</v>
      </c>
      <c r="BK138" s="22">
        <f t="shared" si="1085"/>
        <v>0</v>
      </c>
      <c r="BL138" s="22">
        <f t="shared" si="1085"/>
        <v>0</v>
      </c>
      <c r="BM138" s="22">
        <f t="shared" si="1085"/>
        <v>444432.62857142865</v>
      </c>
      <c r="BN138" s="22">
        <f t="shared" si="1085"/>
        <v>444432.62857142865</v>
      </c>
      <c r="BO138" s="22">
        <f t="shared" si="1085"/>
        <v>444432.62857142865</v>
      </c>
      <c r="BP138" s="22">
        <f t="shared" si="1085"/>
        <v>444432.62857142865</v>
      </c>
      <c r="BQ138" s="22">
        <f t="shared" si="1085"/>
        <v>444432.62857142865</v>
      </c>
      <c r="BR138" s="22">
        <f t="shared" si="1085"/>
        <v>444432.62857142865</v>
      </c>
      <c r="BS138" s="22">
        <f t="shared" si="1085"/>
        <v>444432.62857142865</v>
      </c>
      <c r="BT138" s="22">
        <f t="shared" si="1085"/>
        <v>0</v>
      </c>
      <c r="BU138" s="22">
        <f t="shared" si="1085"/>
        <v>0</v>
      </c>
      <c r="BV138" s="22">
        <f t="shared" si="1085"/>
        <v>0</v>
      </c>
      <c r="BW138" s="22">
        <f t="shared" si="1085"/>
        <v>0</v>
      </c>
      <c r="BX138" s="22">
        <f t="shared" si="1085"/>
        <v>0</v>
      </c>
      <c r="BY138" s="22">
        <f t="shared" si="1085"/>
        <v>444432.62857142865</v>
      </c>
      <c r="BZ138" s="22">
        <f t="shared" si="1085"/>
        <v>444432.62857142865</v>
      </c>
      <c r="CA138" s="22">
        <f t="shared" si="1085"/>
        <v>444432.62857142865</v>
      </c>
      <c r="CB138" s="22">
        <f t="shared" si="1085"/>
        <v>444432.62857142865</v>
      </c>
      <c r="CC138" s="22">
        <f t="shared" si="1085"/>
        <v>444432.62857142865</v>
      </c>
      <c r="CD138" s="22">
        <f t="shared" si="1085"/>
        <v>444432.62857142865</v>
      </c>
      <c r="CE138" s="29">
        <f t="shared" si="1085"/>
        <v>444432.62857142865</v>
      </c>
      <c r="CF138" s="22">
        <f t="shared" si="1085"/>
        <v>0</v>
      </c>
      <c r="CG138" s="22">
        <f t="shared" ref="CG138:CN138" si="1086">+CG127*$A$121</f>
        <v>0</v>
      </c>
      <c r="CH138" s="22">
        <f t="shared" si="1086"/>
        <v>0</v>
      </c>
      <c r="CI138" s="22">
        <f t="shared" si="1086"/>
        <v>0</v>
      </c>
      <c r="CJ138" s="22">
        <f t="shared" si="1086"/>
        <v>0</v>
      </c>
      <c r="CK138" s="22">
        <f t="shared" si="1086"/>
        <v>444432.62857142865</v>
      </c>
      <c r="CL138" s="22">
        <f t="shared" si="1086"/>
        <v>444432.62857142865</v>
      </c>
      <c r="CM138" s="22">
        <f t="shared" si="1086"/>
        <v>444432.62857142865</v>
      </c>
      <c r="CN138" s="22">
        <f t="shared" si="1086"/>
        <v>444432.62857142865</v>
      </c>
    </row>
    <row r="139" spans="1:92">
      <c r="B139" s="106" t="s">
        <v>375</v>
      </c>
      <c r="C139" s="22"/>
      <c r="D139" s="22"/>
      <c r="E139"/>
      <c r="F139"/>
      <c r="G139"/>
      <c r="H139" s="364">
        <f t="shared" ref="H139" si="1087">+H128*$A$121</f>
        <v>0</v>
      </c>
      <c r="I139" s="22">
        <f t="shared" ref="I139:O139" si="1088">+I128*$A$121</f>
        <v>237453</v>
      </c>
      <c r="J139" s="22">
        <f t="shared" si="1088"/>
        <v>237453</v>
      </c>
      <c r="K139" s="22">
        <f t="shared" si="1088"/>
        <v>237453</v>
      </c>
      <c r="L139" s="22">
        <f t="shared" si="1088"/>
        <v>0</v>
      </c>
      <c r="M139" s="22">
        <f t="shared" si="1088"/>
        <v>0</v>
      </c>
      <c r="N139" s="22">
        <f t="shared" si="1088"/>
        <v>0</v>
      </c>
      <c r="O139" s="22">
        <f t="shared" si="1088"/>
        <v>0</v>
      </c>
      <c r="P139" s="22">
        <f t="shared" ref="P139:T139" si="1089">+P128*$A$121</f>
        <v>0</v>
      </c>
      <c r="Q139" s="22">
        <f t="shared" si="1089"/>
        <v>646850.71428571432</v>
      </c>
      <c r="R139" s="22">
        <f t="shared" si="1089"/>
        <v>646850.71428571432</v>
      </c>
      <c r="S139" s="22">
        <f t="shared" si="1089"/>
        <v>646850.71428571432</v>
      </c>
      <c r="T139" s="22">
        <f t="shared" si="1089"/>
        <v>646850.71428571432</v>
      </c>
      <c r="U139" s="22">
        <f t="shared" ref="U139:CF139" si="1090">+U128*$A$121</f>
        <v>646850.71428571432</v>
      </c>
      <c r="V139" s="22">
        <f t="shared" si="1090"/>
        <v>646850.71428571432</v>
      </c>
      <c r="W139" s="22">
        <f t="shared" si="1090"/>
        <v>646850.71428571432</v>
      </c>
      <c r="X139" s="22">
        <f t="shared" si="1090"/>
        <v>0</v>
      </c>
      <c r="Y139" s="22">
        <f t="shared" si="1090"/>
        <v>0</v>
      </c>
      <c r="Z139" s="22">
        <f t="shared" si="1090"/>
        <v>0</v>
      </c>
      <c r="AA139" s="22">
        <f t="shared" si="1090"/>
        <v>0</v>
      </c>
      <c r="AB139" s="22">
        <f t="shared" si="1090"/>
        <v>0</v>
      </c>
      <c r="AC139" s="22">
        <f t="shared" si="1090"/>
        <v>646850.71428571432</v>
      </c>
      <c r="AD139" s="22">
        <f t="shared" si="1090"/>
        <v>646850.71428571432</v>
      </c>
      <c r="AE139" s="22">
        <f t="shared" si="1090"/>
        <v>646850.71428571432</v>
      </c>
      <c r="AF139" s="22">
        <f t="shared" si="1090"/>
        <v>646850.71428571432</v>
      </c>
      <c r="AG139" s="22">
        <f t="shared" si="1090"/>
        <v>646850.71428571432</v>
      </c>
      <c r="AH139" s="22">
        <f t="shared" si="1090"/>
        <v>646850.71428571432</v>
      </c>
      <c r="AI139" s="22">
        <f t="shared" si="1090"/>
        <v>646850.71428571432</v>
      </c>
      <c r="AJ139" s="22">
        <f t="shared" si="1090"/>
        <v>0</v>
      </c>
      <c r="AK139" s="22">
        <f t="shared" si="1090"/>
        <v>0</v>
      </c>
      <c r="AL139" s="22">
        <f t="shared" si="1090"/>
        <v>0</v>
      </c>
      <c r="AM139" s="22">
        <f t="shared" si="1090"/>
        <v>0</v>
      </c>
      <c r="AN139" s="22">
        <f t="shared" si="1090"/>
        <v>0</v>
      </c>
      <c r="AO139" s="22">
        <f t="shared" si="1090"/>
        <v>646850.71428571432</v>
      </c>
      <c r="AP139" s="22">
        <f t="shared" si="1090"/>
        <v>646850.71428571432</v>
      </c>
      <c r="AQ139" s="22">
        <f t="shared" si="1090"/>
        <v>646850.71428571432</v>
      </c>
      <c r="AR139" s="22">
        <f t="shared" si="1090"/>
        <v>646850.71428571432</v>
      </c>
      <c r="AS139" s="22">
        <f t="shared" si="1090"/>
        <v>646850.71428571432</v>
      </c>
      <c r="AT139" s="22">
        <f t="shared" si="1090"/>
        <v>646850.71428571432</v>
      </c>
      <c r="AU139" s="22">
        <f t="shared" si="1090"/>
        <v>646850.71428571432</v>
      </c>
      <c r="AV139" s="22">
        <f t="shared" si="1090"/>
        <v>0</v>
      </c>
      <c r="AW139" s="22">
        <f t="shared" si="1090"/>
        <v>0</v>
      </c>
      <c r="AX139" s="22">
        <f t="shared" si="1090"/>
        <v>0</v>
      </c>
      <c r="AY139" s="22">
        <f t="shared" si="1090"/>
        <v>0</v>
      </c>
      <c r="AZ139" s="22">
        <f t="shared" si="1090"/>
        <v>0</v>
      </c>
      <c r="BA139" s="22">
        <f t="shared" si="1090"/>
        <v>646850.71428571432</v>
      </c>
      <c r="BB139" s="22">
        <f t="shared" si="1090"/>
        <v>646850.71428571432</v>
      </c>
      <c r="BC139" s="22">
        <f t="shared" si="1090"/>
        <v>646850.71428571432</v>
      </c>
      <c r="BD139" s="22">
        <f t="shared" si="1090"/>
        <v>646850.71428571432</v>
      </c>
      <c r="BE139" s="22">
        <f t="shared" si="1090"/>
        <v>646850.71428571432</v>
      </c>
      <c r="BF139" s="22">
        <f t="shared" si="1090"/>
        <v>646850.71428571432</v>
      </c>
      <c r="BG139" s="22">
        <f t="shared" si="1090"/>
        <v>646850.71428571432</v>
      </c>
      <c r="BH139" s="22">
        <f t="shared" si="1090"/>
        <v>0</v>
      </c>
      <c r="BI139" s="22">
        <f t="shared" si="1090"/>
        <v>0</v>
      </c>
      <c r="BJ139" s="22">
        <f t="shared" si="1090"/>
        <v>0</v>
      </c>
      <c r="BK139" s="22">
        <f t="shared" si="1090"/>
        <v>0</v>
      </c>
      <c r="BL139" s="22">
        <f t="shared" si="1090"/>
        <v>0</v>
      </c>
      <c r="BM139" s="22">
        <f t="shared" si="1090"/>
        <v>646850.71428571432</v>
      </c>
      <c r="BN139" s="22">
        <f t="shared" si="1090"/>
        <v>646850.71428571432</v>
      </c>
      <c r="BO139" s="22">
        <f t="shared" si="1090"/>
        <v>646850.71428571432</v>
      </c>
      <c r="BP139" s="22">
        <f t="shared" si="1090"/>
        <v>646850.71428571432</v>
      </c>
      <c r="BQ139" s="22">
        <f t="shared" si="1090"/>
        <v>646850.71428571432</v>
      </c>
      <c r="BR139" s="22">
        <f t="shared" si="1090"/>
        <v>646850.71428571432</v>
      </c>
      <c r="BS139" s="22">
        <f t="shared" si="1090"/>
        <v>646850.71428571432</v>
      </c>
      <c r="BT139" s="22">
        <f t="shared" si="1090"/>
        <v>0</v>
      </c>
      <c r="BU139" s="22">
        <f t="shared" si="1090"/>
        <v>0</v>
      </c>
      <c r="BV139" s="22">
        <f t="shared" si="1090"/>
        <v>0</v>
      </c>
      <c r="BW139" s="22">
        <f t="shared" si="1090"/>
        <v>0</v>
      </c>
      <c r="BX139" s="22">
        <f t="shared" si="1090"/>
        <v>0</v>
      </c>
      <c r="BY139" s="22">
        <f t="shared" si="1090"/>
        <v>646850.71428571432</v>
      </c>
      <c r="BZ139" s="22">
        <f t="shared" si="1090"/>
        <v>646850.71428571432</v>
      </c>
      <c r="CA139" s="22">
        <f t="shared" si="1090"/>
        <v>646850.71428571432</v>
      </c>
      <c r="CB139" s="22">
        <f t="shared" si="1090"/>
        <v>646850.71428571432</v>
      </c>
      <c r="CC139" s="22">
        <f t="shared" si="1090"/>
        <v>646850.71428571432</v>
      </c>
      <c r="CD139" s="22">
        <f t="shared" si="1090"/>
        <v>646850.71428571432</v>
      </c>
      <c r="CE139" s="29">
        <f t="shared" si="1090"/>
        <v>646850.71428571432</v>
      </c>
      <c r="CF139" s="22">
        <f t="shared" si="1090"/>
        <v>0</v>
      </c>
      <c r="CG139" s="22">
        <f t="shared" ref="CG139:CN139" si="1091">+CG128*$A$121</f>
        <v>0</v>
      </c>
      <c r="CH139" s="22">
        <f t="shared" si="1091"/>
        <v>0</v>
      </c>
      <c r="CI139" s="22">
        <f t="shared" si="1091"/>
        <v>0</v>
      </c>
      <c r="CJ139" s="22">
        <f t="shared" si="1091"/>
        <v>0</v>
      </c>
      <c r="CK139" s="22">
        <f t="shared" si="1091"/>
        <v>646850.71428571432</v>
      </c>
      <c r="CL139" s="22">
        <f t="shared" si="1091"/>
        <v>646850.71428571432</v>
      </c>
      <c r="CM139" s="22">
        <f t="shared" si="1091"/>
        <v>646850.71428571432</v>
      </c>
      <c r="CN139" s="22">
        <f t="shared" si="1091"/>
        <v>646850.71428571432</v>
      </c>
    </row>
    <row r="140" spans="1:92">
      <c r="B140" s="106" t="s">
        <v>376</v>
      </c>
      <c r="C140" s="107"/>
      <c r="D140" s="107"/>
      <c r="E140"/>
      <c r="F140"/>
      <c r="G140"/>
      <c r="H140" s="572">
        <f t="shared" ref="H140" si="1092">H137+H138+H139</f>
        <v>0</v>
      </c>
      <c r="I140" s="573">
        <f t="shared" ref="I140:O140" si="1093">I137+I138+I139</f>
        <v>602990</v>
      </c>
      <c r="J140" s="573">
        <f t="shared" si="1093"/>
        <v>602990</v>
      </c>
      <c r="K140" s="573">
        <f t="shared" si="1093"/>
        <v>602990</v>
      </c>
      <c r="L140" s="573">
        <f t="shared" si="1093"/>
        <v>0</v>
      </c>
      <c r="M140" s="573">
        <f t="shared" si="1093"/>
        <v>0</v>
      </c>
      <c r="N140" s="573">
        <f t="shared" si="1093"/>
        <v>0</v>
      </c>
      <c r="O140" s="573">
        <f t="shared" si="1093"/>
        <v>0</v>
      </c>
      <c r="P140" s="573">
        <f t="shared" ref="P140:T140" si="1094">P137+P138+P139</f>
        <v>0</v>
      </c>
      <c r="Q140" s="573">
        <f t="shared" si="1094"/>
        <v>1260172.9142857143</v>
      </c>
      <c r="R140" s="573">
        <f t="shared" si="1094"/>
        <v>1260172.9142857143</v>
      </c>
      <c r="S140" s="573">
        <f t="shared" si="1094"/>
        <v>1260172.9142857143</v>
      </c>
      <c r="T140" s="573">
        <f t="shared" si="1094"/>
        <v>1260172.9142857143</v>
      </c>
      <c r="U140" s="573">
        <f t="shared" ref="U140:CF140" si="1095">U137+U138+U139</f>
        <v>1260172.9142857143</v>
      </c>
      <c r="V140" s="573">
        <f t="shared" si="1095"/>
        <v>1260172.9142857143</v>
      </c>
      <c r="W140" s="573">
        <f t="shared" si="1095"/>
        <v>1260172.9142857143</v>
      </c>
      <c r="X140" s="573">
        <f t="shared" si="1095"/>
        <v>0</v>
      </c>
      <c r="Y140" s="573">
        <f t="shared" si="1095"/>
        <v>0</v>
      </c>
      <c r="Z140" s="573">
        <f t="shared" si="1095"/>
        <v>0</v>
      </c>
      <c r="AA140" s="573">
        <f t="shared" si="1095"/>
        <v>0</v>
      </c>
      <c r="AB140" s="573">
        <f t="shared" si="1095"/>
        <v>0</v>
      </c>
      <c r="AC140" s="573">
        <f t="shared" si="1095"/>
        <v>1260172.9142857143</v>
      </c>
      <c r="AD140" s="573">
        <f t="shared" si="1095"/>
        <v>1260172.9142857143</v>
      </c>
      <c r="AE140" s="573">
        <f t="shared" si="1095"/>
        <v>1260172.9142857143</v>
      </c>
      <c r="AF140" s="573">
        <f t="shared" si="1095"/>
        <v>1260172.9142857143</v>
      </c>
      <c r="AG140" s="573">
        <f t="shared" si="1095"/>
        <v>1260172.9142857143</v>
      </c>
      <c r="AH140" s="573">
        <f t="shared" si="1095"/>
        <v>1260172.9142857143</v>
      </c>
      <c r="AI140" s="573">
        <f t="shared" si="1095"/>
        <v>1260172.9142857143</v>
      </c>
      <c r="AJ140" s="573">
        <f t="shared" si="1095"/>
        <v>0</v>
      </c>
      <c r="AK140" s="573">
        <f t="shared" si="1095"/>
        <v>0</v>
      </c>
      <c r="AL140" s="573">
        <f t="shared" si="1095"/>
        <v>0</v>
      </c>
      <c r="AM140" s="573">
        <f t="shared" si="1095"/>
        <v>0</v>
      </c>
      <c r="AN140" s="573">
        <f t="shared" si="1095"/>
        <v>0</v>
      </c>
      <c r="AO140" s="573">
        <f t="shared" si="1095"/>
        <v>1260172.9142857143</v>
      </c>
      <c r="AP140" s="573">
        <f t="shared" si="1095"/>
        <v>1260172.9142857143</v>
      </c>
      <c r="AQ140" s="573">
        <f t="shared" si="1095"/>
        <v>1260172.9142857143</v>
      </c>
      <c r="AR140" s="573">
        <f t="shared" si="1095"/>
        <v>1260172.9142857143</v>
      </c>
      <c r="AS140" s="573">
        <f t="shared" si="1095"/>
        <v>1260172.9142857143</v>
      </c>
      <c r="AT140" s="573">
        <f t="shared" si="1095"/>
        <v>1260172.9142857143</v>
      </c>
      <c r="AU140" s="573">
        <f t="shared" si="1095"/>
        <v>1260172.9142857143</v>
      </c>
      <c r="AV140" s="573">
        <f t="shared" si="1095"/>
        <v>0</v>
      </c>
      <c r="AW140" s="573">
        <f t="shared" si="1095"/>
        <v>0</v>
      </c>
      <c r="AX140" s="573">
        <f t="shared" si="1095"/>
        <v>0</v>
      </c>
      <c r="AY140" s="573">
        <f t="shared" si="1095"/>
        <v>0</v>
      </c>
      <c r="AZ140" s="573">
        <f t="shared" si="1095"/>
        <v>0</v>
      </c>
      <c r="BA140" s="573">
        <f t="shared" si="1095"/>
        <v>1260172.9142857143</v>
      </c>
      <c r="BB140" s="573">
        <f t="shared" si="1095"/>
        <v>1260172.9142857143</v>
      </c>
      <c r="BC140" s="573">
        <f t="shared" si="1095"/>
        <v>1260172.9142857143</v>
      </c>
      <c r="BD140" s="573">
        <f t="shared" si="1095"/>
        <v>1260172.9142857143</v>
      </c>
      <c r="BE140" s="573">
        <f t="shared" si="1095"/>
        <v>1260172.9142857143</v>
      </c>
      <c r="BF140" s="573">
        <f t="shared" si="1095"/>
        <v>1260172.9142857143</v>
      </c>
      <c r="BG140" s="573">
        <f t="shared" si="1095"/>
        <v>1260172.9142857143</v>
      </c>
      <c r="BH140" s="573">
        <f t="shared" si="1095"/>
        <v>0</v>
      </c>
      <c r="BI140" s="573">
        <f t="shared" si="1095"/>
        <v>0</v>
      </c>
      <c r="BJ140" s="573">
        <f t="shared" si="1095"/>
        <v>0</v>
      </c>
      <c r="BK140" s="573">
        <f t="shared" si="1095"/>
        <v>0</v>
      </c>
      <c r="BL140" s="573">
        <f t="shared" si="1095"/>
        <v>0</v>
      </c>
      <c r="BM140" s="573">
        <f t="shared" si="1095"/>
        <v>1260172.9142857143</v>
      </c>
      <c r="BN140" s="573">
        <f t="shared" si="1095"/>
        <v>1260172.9142857143</v>
      </c>
      <c r="BO140" s="573">
        <f t="shared" si="1095"/>
        <v>1260172.9142857143</v>
      </c>
      <c r="BP140" s="573">
        <f t="shared" si="1095"/>
        <v>1260172.9142857143</v>
      </c>
      <c r="BQ140" s="573">
        <f t="shared" si="1095"/>
        <v>1260172.9142857143</v>
      </c>
      <c r="BR140" s="573">
        <f t="shared" si="1095"/>
        <v>1260172.9142857143</v>
      </c>
      <c r="BS140" s="573">
        <f t="shared" si="1095"/>
        <v>1260172.9142857143</v>
      </c>
      <c r="BT140" s="573">
        <f t="shared" si="1095"/>
        <v>0</v>
      </c>
      <c r="BU140" s="573">
        <f t="shared" si="1095"/>
        <v>0</v>
      </c>
      <c r="BV140" s="573">
        <f t="shared" si="1095"/>
        <v>0</v>
      </c>
      <c r="BW140" s="573">
        <f t="shared" si="1095"/>
        <v>0</v>
      </c>
      <c r="BX140" s="573">
        <f t="shared" si="1095"/>
        <v>0</v>
      </c>
      <c r="BY140" s="573">
        <f t="shared" si="1095"/>
        <v>1260172.9142857143</v>
      </c>
      <c r="BZ140" s="573">
        <f t="shared" si="1095"/>
        <v>1260172.9142857143</v>
      </c>
      <c r="CA140" s="573">
        <f t="shared" si="1095"/>
        <v>1260172.9142857143</v>
      </c>
      <c r="CB140" s="573">
        <f t="shared" si="1095"/>
        <v>1260172.9142857143</v>
      </c>
      <c r="CC140" s="573">
        <f t="shared" si="1095"/>
        <v>1260172.9142857143</v>
      </c>
      <c r="CD140" s="573">
        <f t="shared" si="1095"/>
        <v>1260172.9142857143</v>
      </c>
      <c r="CE140" s="308">
        <f t="shared" si="1095"/>
        <v>1260172.9142857143</v>
      </c>
      <c r="CF140" s="573">
        <f t="shared" si="1095"/>
        <v>0</v>
      </c>
      <c r="CG140" s="573">
        <f t="shared" ref="CG140:CN140" si="1096">CG137+CG138+CG139</f>
        <v>0</v>
      </c>
      <c r="CH140" s="573">
        <f t="shared" si="1096"/>
        <v>0</v>
      </c>
      <c r="CI140" s="573">
        <f t="shared" si="1096"/>
        <v>0</v>
      </c>
      <c r="CJ140" s="573">
        <f t="shared" si="1096"/>
        <v>0</v>
      </c>
      <c r="CK140" s="573">
        <f t="shared" si="1096"/>
        <v>1260172.9142857143</v>
      </c>
      <c r="CL140" s="573">
        <f t="shared" si="1096"/>
        <v>1260172.9142857143</v>
      </c>
      <c r="CM140" s="573">
        <f t="shared" si="1096"/>
        <v>1260172.9142857143</v>
      </c>
      <c r="CN140" s="573">
        <f t="shared" si="1096"/>
        <v>1260172.9142857143</v>
      </c>
    </row>
    <row r="142" spans="1:92">
      <c r="B142" s="106" t="s">
        <v>449</v>
      </c>
      <c r="H142" s="704" t="s">
        <v>683</v>
      </c>
      <c r="I142" s="705"/>
      <c r="J142" s="705"/>
      <c r="K142" s="705"/>
      <c r="L142" s="705"/>
      <c r="M142" s="705"/>
      <c r="N142" s="705"/>
      <c r="O142" s="705"/>
      <c r="P142" s="705"/>
      <c r="Q142" s="705"/>
      <c r="R142" s="705"/>
      <c r="S142" s="705"/>
      <c r="T142" s="705"/>
      <c r="U142" s="705"/>
      <c r="V142" s="706"/>
    </row>
    <row r="143" spans="1:92">
      <c r="B143" s="162">
        <f>SUM(C126:I126)-SUM(C137:I137)</f>
        <v>0</v>
      </c>
      <c r="C143" s="29"/>
      <c r="D143" s="29"/>
      <c r="E143" s="29"/>
      <c r="F143" s="29"/>
      <c r="G143" s="29"/>
    </row>
    <row r="144" spans="1:92">
      <c r="B144" s="106" t="s">
        <v>450</v>
      </c>
      <c r="T144" s="116"/>
      <c r="U144" s="107"/>
      <c r="V144" s="108"/>
      <c r="W144" s="117"/>
    </row>
    <row r="145" spans="2:20">
      <c r="B145" s="116">
        <f>SUM(C127:I127)-SUM(C138:I138)</f>
        <v>0</v>
      </c>
      <c r="C145" s="108"/>
      <c r="D145" s="108"/>
      <c r="E145" s="108"/>
      <c r="F145" s="108"/>
      <c r="G145" s="108"/>
      <c r="T145" s="116"/>
    </row>
    <row r="146" spans="2:20">
      <c r="B146" s="106" t="s">
        <v>451</v>
      </c>
      <c r="T146" s="116"/>
    </row>
    <row r="147" spans="2:20">
      <c r="B147" s="116">
        <f>SUM(C128:I128)-SUM(C139:I139)</f>
        <v>0</v>
      </c>
      <c r="C147" s="108"/>
      <c r="D147" s="108"/>
      <c r="E147" s="108"/>
      <c r="F147"/>
      <c r="G147"/>
      <c r="H147"/>
      <c r="I147"/>
      <c r="J147"/>
      <c r="P147"/>
      <c r="Q147"/>
      <c r="R147"/>
      <c r="S147"/>
      <c r="T147"/>
    </row>
    <row r="148" spans="2:20">
      <c r="F148"/>
      <c r="G148"/>
      <c r="H148"/>
      <c r="I148"/>
      <c r="J148"/>
      <c r="P148"/>
      <c r="Q148"/>
      <c r="R148"/>
      <c r="S148"/>
      <c r="T148"/>
    </row>
    <row r="149" spans="2:20">
      <c r="F149"/>
      <c r="G149"/>
      <c r="H149"/>
      <c r="I149"/>
      <c r="J149"/>
      <c r="P149"/>
      <c r="Q149"/>
      <c r="R149"/>
      <c r="S149"/>
      <c r="T149"/>
    </row>
    <row r="150" spans="2:20">
      <c r="B150" s="106" t="s">
        <v>452</v>
      </c>
    </row>
    <row r="151" spans="2:20">
      <c r="B151" s="108">
        <f>+B143+B147</f>
        <v>0</v>
      </c>
      <c r="C151" s="108"/>
      <c r="D151" s="108"/>
      <c r="E151" s="108"/>
      <c r="F151" s="108"/>
      <c r="G151" s="108"/>
    </row>
  </sheetData>
  <mergeCells count="1">
    <mergeCell ref="H142:V142"/>
  </mergeCells>
  <phoneticPr fontId="3" type="noConversion"/>
  <conditionalFormatting sqref="C119:CN119">
    <cfRule type="containsText" dxfId="1" priority="1" operator="containsText" text="Withdraw">
      <formula>NOT(ISERROR(SEARCH("Withdraw",C119)))</formula>
    </cfRule>
    <cfRule type="containsText" dxfId="0" priority="2" operator="containsText" text="Inject">
      <formula>NOT(ISERROR(SEARCH("Inject",C119)))</formula>
    </cfRule>
  </conditionalFormatting>
  <printOptions horizontalCentered="1"/>
  <pageMargins left="0.25" right="0.25" top="0.75" bottom="0.75" header="0.3" footer="0.3"/>
  <pageSetup scale="46" fitToHeight="2" orientation="landscape" r:id="rId1"/>
  <headerFooter alignWithMargins="0">
    <oddFooter>&amp;C&amp;A&amp;RPage &amp;P</oddFooter>
  </headerFooter>
  <rowBreaks count="2" manualBreakCount="2">
    <brk id="53" max="91" man="1"/>
    <brk id="140" max="16383" man="1"/>
  </rowBreaks>
  <customProperties>
    <customPr name="_pios_id" r:id="rId2"/>
  </customProperties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transitionEntry="1" codeName="Sheet31">
    <tabColor rgb="FFFF0000"/>
  </sheetPr>
  <dimension ref="A1:J63"/>
  <sheetViews>
    <sheetView workbookViewId="0"/>
  </sheetViews>
  <sheetFormatPr defaultColWidth="9" defaultRowHeight="12.75"/>
  <cols>
    <col min="1" max="1" width="5.5703125" style="2" bestFit="1" customWidth="1"/>
    <col min="2" max="2" width="29.5703125" style="2" customWidth="1"/>
    <col min="3" max="3" width="11.42578125" style="2" bestFit="1" customWidth="1"/>
    <col min="4" max="4" width="15.140625" style="2" customWidth="1"/>
    <col min="5" max="5" width="9" style="2"/>
    <col min="6" max="6" width="19" style="2" customWidth="1"/>
    <col min="7" max="7" width="3" style="2" customWidth="1"/>
    <col min="8" max="8" width="12.85546875" style="2" customWidth="1"/>
    <col min="9" max="9" width="26.85546875" style="2" customWidth="1"/>
    <col min="10" max="10" width="16.42578125" style="2" customWidth="1"/>
    <col min="11" max="11" width="13.85546875" style="2" customWidth="1"/>
    <col min="12" max="12" width="16.5703125" style="2" customWidth="1"/>
    <col min="13" max="13" width="11.5703125" style="2" bestFit="1" customWidth="1"/>
    <col min="14" max="14" width="17.5703125" style="2" customWidth="1"/>
    <col min="15" max="16384" width="9" style="2"/>
  </cols>
  <sheetData>
    <row r="1" spans="1:10">
      <c r="B1" s="2" t="s">
        <v>355</v>
      </c>
      <c r="G1" s="5" t="s">
        <v>9</v>
      </c>
      <c r="H1" s="5"/>
    </row>
    <row r="3" spans="1:10">
      <c r="A3" s="14" t="s">
        <v>8</v>
      </c>
      <c r="B3" s="14"/>
      <c r="C3" s="14"/>
      <c r="D3" s="14"/>
      <c r="E3" s="15"/>
      <c r="F3" s="14"/>
    </row>
    <row r="4" spans="1:10">
      <c r="A4" s="14" t="s">
        <v>10</v>
      </c>
      <c r="B4" s="14"/>
      <c r="C4" s="14"/>
      <c r="D4" s="14"/>
      <c r="E4" s="15"/>
      <c r="F4" s="14"/>
    </row>
    <row r="5" spans="1:10">
      <c r="A5" s="14" t="s">
        <v>491</v>
      </c>
      <c r="B5" s="14"/>
      <c r="C5" s="14"/>
      <c r="D5" s="14"/>
      <c r="E5" s="16"/>
      <c r="F5" s="14"/>
    </row>
    <row r="7" spans="1:10">
      <c r="A7" s="7" t="s">
        <v>11</v>
      </c>
      <c r="C7" s="4" t="s">
        <v>17</v>
      </c>
      <c r="F7" s="4" t="s">
        <v>18</v>
      </c>
      <c r="G7" s="4"/>
      <c r="H7" s="4"/>
      <c r="I7" s="4"/>
      <c r="J7" s="4"/>
    </row>
    <row r="8" spans="1:10" ht="25.5">
      <c r="A8" s="8" t="s">
        <v>16</v>
      </c>
      <c r="B8" s="9" t="s">
        <v>26</v>
      </c>
      <c r="C8" s="10" t="s">
        <v>19</v>
      </c>
      <c r="D8" s="10" t="s">
        <v>20</v>
      </c>
      <c r="E8" s="10" t="s">
        <v>5</v>
      </c>
      <c r="F8" s="10" t="s">
        <v>21</v>
      </c>
      <c r="H8" s="84" t="s">
        <v>457</v>
      </c>
      <c r="J8" s="93" t="s">
        <v>483</v>
      </c>
    </row>
    <row r="9" spans="1:10">
      <c r="C9" s="4" t="s">
        <v>12</v>
      </c>
      <c r="D9" s="4" t="s">
        <v>13</v>
      </c>
      <c r="E9" s="4" t="s">
        <v>14</v>
      </c>
      <c r="F9" s="4" t="s">
        <v>15</v>
      </c>
      <c r="G9" s="4"/>
      <c r="H9" s="4"/>
    </row>
    <row r="10" spans="1:10">
      <c r="G10" s="4"/>
      <c r="H10" s="4"/>
      <c r="J10" s="4"/>
    </row>
    <row r="11" spans="1:10">
      <c r="A11" s="2">
        <v>1</v>
      </c>
      <c r="B11" s="23" t="s">
        <v>29</v>
      </c>
      <c r="C11" s="4"/>
      <c r="D11" s="4"/>
      <c r="E11" s="4"/>
      <c r="F11" s="4"/>
    </row>
    <row r="12" spans="1:10">
      <c r="A12" s="2">
        <v>2</v>
      </c>
      <c r="B12" s="2" t="s">
        <v>22</v>
      </c>
      <c r="C12" s="6">
        <f>'Test Year Monthly - (Pres)'!P12</f>
        <v>52550517.162381545</v>
      </c>
      <c r="D12" s="6"/>
      <c r="E12" s="11">
        <f>'Rate Design'!G12</f>
        <v>19.3</v>
      </c>
      <c r="F12" s="3">
        <f>C12*E12</f>
        <v>1014224981.2339638</v>
      </c>
      <c r="H12" s="576">
        <f>'Test Year Monthly - (Pres)'!P18</f>
        <v>0</v>
      </c>
    </row>
    <row r="13" spans="1:10">
      <c r="A13" s="2">
        <v>3</v>
      </c>
      <c r="B13" s="2" t="s">
        <v>23</v>
      </c>
      <c r="C13" s="6"/>
      <c r="D13" s="6">
        <f>'Test Year Monthly - (Pres)'!P13</f>
        <v>1925523</v>
      </c>
      <c r="E13" s="13">
        <f>'Rate Design'!G23</f>
        <v>1.5483</v>
      </c>
      <c r="F13" s="6">
        <f>D13*E13</f>
        <v>2981287.2609000001</v>
      </c>
      <c r="J13" s="30">
        <f>SUM('Test Year Monthly - (Pres)'!D13:G13)+'Test Year Monthly - (Pres)'!O13</f>
        <v>805254</v>
      </c>
    </row>
    <row r="14" spans="1:10">
      <c r="A14" s="2">
        <v>4</v>
      </c>
      <c r="B14" s="2" t="s">
        <v>27</v>
      </c>
      <c r="D14" s="6">
        <f>'Test Year Monthly - (Pres)'!P14</f>
        <v>9938592.8194675054</v>
      </c>
      <c r="E14" s="13">
        <f>'Rate Design'!G24</f>
        <v>1.0762</v>
      </c>
      <c r="F14" s="6">
        <f>D14*E14</f>
        <v>10695913.59231093</v>
      </c>
      <c r="J14" s="30">
        <f>SUM('Test Year Monthly - (Pres)'!K14:O14)</f>
        <v>7673366.935842271</v>
      </c>
    </row>
    <row r="15" spans="1:10">
      <c r="A15" s="2">
        <v>5</v>
      </c>
      <c r="B15" s="2" t="s">
        <v>28</v>
      </c>
      <c r="D15" s="87">
        <v>0</v>
      </c>
      <c r="E15" s="13">
        <f>'Rate Design'!G25</f>
        <v>0.88880000000000003</v>
      </c>
      <c r="F15" s="6">
        <f>D15*E15</f>
        <v>0</v>
      </c>
      <c r="J15" s="30">
        <f>SUM('Test Year Monthly - (Pres)'!K15:O15)</f>
        <v>0</v>
      </c>
    </row>
    <row r="16" spans="1:10">
      <c r="A16" s="2">
        <v>6</v>
      </c>
      <c r="B16" s="21" t="s">
        <v>25</v>
      </c>
      <c r="C16" s="20">
        <f>SUM(C12:C15)</f>
        <v>52550517.162381545</v>
      </c>
      <c r="D16" s="20">
        <f>SUM(D12:D15)</f>
        <v>11864115.819467505</v>
      </c>
      <c r="E16" s="21"/>
      <c r="F16" s="20">
        <f>SUM(F12:F15)</f>
        <v>1027902182.0871748</v>
      </c>
      <c r="H16" s="3">
        <f>H12+F16</f>
        <v>1027902182.0871748</v>
      </c>
      <c r="I16" s="2" t="s">
        <v>458</v>
      </c>
      <c r="J16" s="20">
        <f>SUM(J13:J15)</f>
        <v>8478620.9358422719</v>
      </c>
    </row>
    <row r="17" spans="1:10">
      <c r="A17" s="2">
        <v>7</v>
      </c>
    </row>
    <row r="18" spans="1:10">
      <c r="A18" s="2">
        <v>8</v>
      </c>
      <c r="B18" s="2" t="s">
        <v>433</v>
      </c>
      <c r="C18" s="6"/>
      <c r="D18" s="6"/>
      <c r="F18" s="3"/>
    </row>
    <row r="19" spans="1:10">
      <c r="A19" s="2">
        <v>9</v>
      </c>
      <c r="B19" s="23" t="s">
        <v>432</v>
      </c>
    </row>
    <row r="20" spans="1:10">
      <c r="A20" s="2">
        <v>10</v>
      </c>
      <c r="B20" s="2" t="s">
        <v>22</v>
      </c>
      <c r="C20" s="24">
        <f>'Test Year Monthly - (Pres)'!P21+'Test Year Monthly - (Pres)'!P39</f>
        <v>25445583.701000065</v>
      </c>
      <c r="D20" s="4"/>
      <c r="E20" s="44">
        <f>'Rate Design'!G13</f>
        <v>66</v>
      </c>
      <c r="F20" s="3">
        <f>C20*E20</f>
        <v>1679408524.2660043</v>
      </c>
      <c r="H20" s="576">
        <f>'Test Year Monthly - (Pres)'!P27+'Test Year Monthly - (Pres)'!P45</f>
        <v>0</v>
      </c>
    </row>
    <row r="21" spans="1:10">
      <c r="A21" s="2">
        <v>11</v>
      </c>
      <c r="B21" s="2" t="s">
        <v>23</v>
      </c>
      <c r="C21" s="6"/>
      <c r="D21" s="6">
        <f>'Test Year Monthly - (Pres)'!P22+'Test Year Monthly - (Pres)'!P40</f>
        <v>238799</v>
      </c>
      <c r="E21" s="13">
        <f>E13</f>
        <v>1.5483</v>
      </c>
      <c r="F21" s="6">
        <f>D21*E21</f>
        <v>369732.49170000001</v>
      </c>
      <c r="J21" s="30">
        <f>SUM('Test Year Monthly - (Pres)'!D22:G22)+'Test Year Monthly - (Pres)'!O22</f>
        <v>92487</v>
      </c>
    </row>
    <row r="22" spans="1:10">
      <c r="A22" s="2">
        <v>12</v>
      </c>
      <c r="B22" s="2" t="s">
        <v>24</v>
      </c>
      <c r="C22" s="6"/>
      <c r="D22" s="6">
        <f>'Test Year Monthly - (Pres)'!P23+'Test Year Monthly - (Pres)'!P41</f>
        <v>5645200.5030674953</v>
      </c>
      <c r="E22" s="13">
        <f>E14</f>
        <v>1.0762</v>
      </c>
      <c r="F22" s="6">
        <f>D22*E22</f>
        <v>6075364.7814012384</v>
      </c>
      <c r="J22" s="30">
        <f>SUM('Test Year Monthly - (Pres)'!D23:G23)+'Test Year Monthly - (Pres)'!O23</f>
        <v>1645840.3179520946</v>
      </c>
    </row>
    <row r="23" spans="1:10">
      <c r="A23" s="2">
        <v>13</v>
      </c>
      <c r="B23" s="2" t="s">
        <v>28</v>
      </c>
      <c r="C23" s="6"/>
      <c r="D23" s="6">
        <f>'Test Year Monthly - (Pres)'!P24+'Test Year Monthly - (Pres)'!P42</f>
        <v>877518.82744904223</v>
      </c>
      <c r="E23" s="13">
        <f>E15</f>
        <v>0.88880000000000003</v>
      </c>
      <c r="F23" s="6">
        <f>D23*E23</f>
        <v>779938.73383670882</v>
      </c>
      <c r="J23" s="28">
        <f>SUM('Test Year Monthly - (Pres)'!K24:O24)+SUM('Test Year Monthly - (Pres)'!K42:O42)</f>
        <v>615170.26173178828</v>
      </c>
    </row>
    <row r="24" spans="1:10">
      <c r="A24" s="2">
        <v>14</v>
      </c>
      <c r="B24" s="21" t="s">
        <v>25</v>
      </c>
      <c r="C24" s="20">
        <f>SUM(C20:C23)</f>
        <v>25445583.701000065</v>
      </c>
      <c r="D24" s="20">
        <f>SUM(D21:D23)</f>
        <v>6761518.3305165377</v>
      </c>
      <c r="E24" s="21"/>
      <c r="F24" s="20">
        <f>SUM(F20:F23)</f>
        <v>1686633560.2729421</v>
      </c>
      <c r="H24" s="3">
        <f>H20+F24</f>
        <v>1686633560.2729421</v>
      </c>
      <c r="I24" s="2" t="s">
        <v>459</v>
      </c>
      <c r="J24" s="20">
        <f>SUM(J21:J23)</f>
        <v>2353497.5796838831</v>
      </c>
    </row>
    <row r="25" spans="1:10">
      <c r="A25" s="2">
        <v>15</v>
      </c>
      <c r="E25" s="13"/>
    </row>
    <row r="26" spans="1:10">
      <c r="A26" s="2">
        <v>16</v>
      </c>
      <c r="B26" s="23" t="s">
        <v>484</v>
      </c>
      <c r="E26" s="13"/>
    </row>
    <row r="27" spans="1:10">
      <c r="A27" s="2">
        <v>17</v>
      </c>
      <c r="B27" s="2" t="s">
        <v>22</v>
      </c>
      <c r="C27" s="6">
        <f>'Test Year Monthly - (Pres)'!P30</f>
        <v>961468.21903747995</v>
      </c>
      <c r="D27" s="6"/>
      <c r="E27" s="44">
        <f>E20</f>
        <v>66</v>
      </c>
      <c r="F27" s="3">
        <f>C27*E27</f>
        <v>63456902.456473678</v>
      </c>
      <c r="H27" s="576">
        <f>'Test Year Monthly - (Pres)'!P36</f>
        <v>0</v>
      </c>
    </row>
    <row r="28" spans="1:10">
      <c r="A28" s="2">
        <v>18</v>
      </c>
      <c r="B28" s="2" t="s">
        <v>34</v>
      </c>
      <c r="C28" s="6"/>
      <c r="D28" s="6">
        <f>'Test Year Monthly - (Pres)'!P31</f>
        <v>2524</v>
      </c>
      <c r="E28" s="13">
        <f>E21</f>
        <v>1.5483</v>
      </c>
      <c r="F28" s="512">
        <f t="shared" ref="F28:F33" si="0">D28*E28</f>
        <v>3907.9092000000001</v>
      </c>
      <c r="J28" s="30">
        <f>SUM('Test Year Monthly - (Pres)'!D31:G31)+'Test Year Monthly - (Pres)'!O31</f>
        <v>1053</v>
      </c>
    </row>
    <row r="29" spans="1:10">
      <c r="A29" s="2">
        <v>19</v>
      </c>
      <c r="B29" s="2" t="s">
        <v>35</v>
      </c>
      <c r="C29" s="6"/>
      <c r="D29" s="6">
        <f>'Test Year Monthly - (Pres)'!P32</f>
        <v>271548.57160000002</v>
      </c>
      <c r="E29" s="13">
        <f>E22</f>
        <v>1.0762</v>
      </c>
      <c r="F29" s="512">
        <f t="shared" si="0"/>
        <v>292240.57275592006</v>
      </c>
      <c r="J29" s="30">
        <f>SUM('Test Year Monthly - (Pres)'!D32:G32)+'Test Year Monthly - (Pres)'!O32</f>
        <v>96255.274900000004</v>
      </c>
    </row>
    <row r="30" spans="1:10">
      <c r="A30" s="2">
        <v>20</v>
      </c>
      <c r="B30" s="2" t="s">
        <v>36</v>
      </c>
      <c r="C30" s="6"/>
      <c r="D30" s="6">
        <f>'Test Year Monthly - (Pres)'!P33</f>
        <v>347933.06599999999</v>
      </c>
      <c r="E30" s="13">
        <f>E23</f>
        <v>0.88880000000000003</v>
      </c>
      <c r="F30" s="512">
        <f t="shared" si="0"/>
        <v>309242.90906079998</v>
      </c>
      <c r="J30" s="30">
        <f>SUM('Test Year Monthly - (Pres)'!D33:G33)+'Test Year Monthly - (Pres)'!O33</f>
        <v>107778.97</v>
      </c>
    </row>
    <row r="31" spans="1:10">
      <c r="A31" s="2">
        <v>21</v>
      </c>
      <c r="B31" s="2" t="s">
        <v>31</v>
      </c>
      <c r="C31" s="6"/>
      <c r="D31" s="6"/>
      <c r="E31" s="13">
        <f>E28</f>
        <v>1.5483</v>
      </c>
      <c r="F31" s="512">
        <f t="shared" si="0"/>
        <v>0</v>
      </c>
      <c r="J31" s="6"/>
    </row>
    <row r="32" spans="1:10">
      <c r="A32" s="2">
        <v>22</v>
      </c>
      <c r="B32" s="2" t="s">
        <v>32</v>
      </c>
      <c r="C32" s="6"/>
      <c r="D32" s="6"/>
      <c r="E32" s="13">
        <f>E29</f>
        <v>1.0762</v>
      </c>
      <c r="F32" s="512">
        <f t="shared" si="0"/>
        <v>0</v>
      </c>
      <c r="J32" s="6"/>
    </row>
    <row r="33" spans="1:10">
      <c r="A33" s="2">
        <v>23</v>
      </c>
      <c r="B33" s="2" t="s">
        <v>33</v>
      </c>
      <c r="C33" s="6"/>
      <c r="D33" s="6"/>
      <c r="E33" s="13">
        <f>E30</f>
        <v>0.88880000000000003</v>
      </c>
      <c r="F33" s="512">
        <f t="shared" si="0"/>
        <v>0</v>
      </c>
      <c r="J33" s="6"/>
    </row>
    <row r="34" spans="1:10">
      <c r="A34" s="2">
        <v>24</v>
      </c>
      <c r="B34" s="21" t="s">
        <v>25</v>
      </c>
      <c r="C34" s="20">
        <f>SUM(C27:C33)</f>
        <v>961468.21903747995</v>
      </c>
      <c r="D34" s="20">
        <f>SUM(D28:D33)</f>
        <v>622005.63760000002</v>
      </c>
      <c r="E34" s="21"/>
      <c r="F34" s="467">
        <f>SUM(F27:F33)</f>
        <v>64062293.847490393</v>
      </c>
      <c r="H34" s="3">
        <f>H27+F34</f>
        <v>64062293.847490393</v>
      </c>
      <c r="I34" s="2" t="s">
        <v>460</v>
      </c>
      <c r="J34" s="20">
        <f>SUM(J28:J33)</f>
        <v>205087.24489999999</v>
      </c>
    </row>
    <row r="35" spans="1:10">
      <c r="A35" s="2">
        <v>25</v>
      </c>
    </row>
    <row r="36" spans="1:10">
      <c r="A36" s="2">
        <v>26</v>
      </c>
      <c r="B36" s="2" t="s">
        <v>434</v>
      </c>
    </row>
    <row r="37" spans="1:10">
      <c r="A37" s="2">
        <v>27</v>
      </c>
      <c r="B37" s="82" t="s">
        <v>485</v>
      </c>
    </row>
    <row r="38" spans="1:10">
      <c r="A38" s="2">
        <v>28</v>
      </c>
      <c r="B38" s="2" t="s">
        <v>486</v>
      </c>
      <c r="C38" s="6">
        <f>'Test Year Monthly - (Pres)'!P48+'Test Year Monthly - (Pres)'!P56</f>
        <v>226251.40946678998</v>
      </c>
      <c r="E38" s="44">
        <f>'Test Year Monthly - (Pres)'!C56</f>
        <v>0</v>
      </c>
      <c r="F38" s="3">
        <f>C38*E38</f>
        <v>0</v>
      </c>
      <c r="H38" s="576">
        <f>'Test Year Monthly - (Pres)'!P53+'Test Year Monthly - (Pres)'!P61</f>
        <v>0</v>
      </c>
    </row>
    <row r="39" spans="1:10">
      <c r="A39" s="2">
        <v>25</v>
      </c>
      <c r="B39" s="2" t="s">
        <v>487</v>
      </c>
      <c r="C39" s="6">
        <f>'Test Year Monthly - (Pres)'!P64</f>
        <v>9273095.0083004031</v>
      </c>
      <c r="E39" s="44">
        <f>'Test Year Monthly - (Pres)'!C64</f>
        <v>0</v>
      </c>
      <c r="F39" s="6">
        <f>C39*E39</f>
        <v>0</v>
      </c>
    </row>
    <row r="40" spans="1:10">
      <c r="A40" s="2">
        <v>26</v>
      </c>
      <c r="B40" s="2" t="s">
        <v>488</v>
      </c>
      <c r="C40" s="6">
        <f>'Test Year Monthly - (Pres)'!P80</f>
        <v>8179586.1169595998</v>
      </c>
      <c r="E40" s="44">
        <f>'Monthly Forecast'!C80</f>
        <v>520</v>
      </c>
      <c r="F40" s="6">
        <f t="shared" ref="F40:F41" si="1">C40*E40</f>
        <v>4253384780.8189917</v>
      </c>
      <c r="J40" s="6"/>
    </row>
    <row r="41" spans="1:10">
      <c r="A41" s="2">
        <v>27</v>
      </c>
      <c r="B41" s="2" t="s">
        <v>489</v>
      </c>
      <c r="C41" s="6">
        <f>'Test Year Monthly - (Pres)'!P89</f>
        <v>3118239.63</v>
      </c>
      <c r="E41" s="44">
        <f>'Test Year Monthly - (Pres)'!C89</f>
        <v>0</v>
      </c>
      <c r="F41" s="6">
        <f t="shared" si="1"/>
        <v>0</v>
      </c>
    </row>
    <row r="42" spans="1:10">
      <c r="A42" s="2">
        <v>28</v>
      </c>
    </row>
    <row r="43" spans="1:10">
      <c r="A43" s="2">
        <v>29</v>
      </c>
      <c r="B43" s="2" t="s">
        <v>1</v>
      </c>
      <c r="C43" s="6"/>
      <c r="E43" s="86">
        <v>50</v>
      </c>
      <c r="F43" s="6">
        <f>+'Test Year Monthly - (Pres)'!P65+'Test Year Monthly - (Pres)'!P81+'Test Year Monthly - (Pres)'!P90</f>
        <v>2421.3076923076919</v>
      </c>
      <c r="J43" s="6"/>
    </row>
    <row r="44" spans="1:10">
      <c r="A44" s="2">
        <v>30</v>
      </c>
      <c r="B44" s="2" t="s">
        <v>48</v>
      </c>
      <c r="C44" s="6"/>
      <c r="E44" s="85" t="s">
        <v>47</v>
      </c>
      <c r="F44" s="6">
        <f>'Test Year Monthly - (Pres)'!P66+'Test Year Monthly - (Pres)'!P82+'Test Year Monthly - (Pres)'!P91</f>
        <v>120100</v>
      </c>
      <c r="J44" s="6"/>
    </row>
    <row r="45" spans="1:10">
      <c r="A45" s="2">
        <v>31</v>
      </c>
      <c r="B45" s="2" t="s">
        <v>2</v>
      </c>
      <c r="C45" s="6"/>
      <c r="D45" s="33"/>
      <c r="E45" s="89">
        <v>0.1</v>
      </c>
      <c r="F45" s="6">
        <f>'Test Year Monthly - (Pres)'!P67+'Test Year Monthly - (Pres)'!P83+'Test Year Monthly - (Pres)'!P92</f>
        <v>139875</v>
      </c>
      <c r="J45" s="31"/>
    </row>
    <row r="46" spans="1:10">
      <c r="A46" s="2">
        <v>32</v>
      </c>
      <c r="B46" s="2" t="s">
        <v>38</v>
      </c>
      <c r="D46" s="29">
        <f>'Test Year Monthly - (Pres)'!P57+'Test Year Monthly - (Pres)'!P49</f>
        <v>105</v>
      </c>
      <c r="E46" s="13">
        <f>'Test Year Monthly - (Pres)'!C49</f>
        <v>520</v>
      </c>
      <c r="F46" s="6">
        <f>D46*E46</f>
        <v>54600</v>
      </c>
      <c r="J46" s="30">
        <f>SUM(('Test Year Monthly - (Pres)'!D49:G49),('Test Year Monthly - (Pres)'!D57:G57))+'Test Year Monthly - (Pres)'!O49+'Test Year Monthly - (Pres)'!O57</f>
        <v>43</v>
      </c>
    </row>
    <row r="47" spans="1:10">
      <c r="A47" s="2">
        <v>33</v>
      </c>
      <c r="B47" s="2" t="s">
        <v>37</v>
      </c>
      <c r="D47" s="29">
        <f>'Test Year Monthly - (Pres)'!P50+'Test Year Monthly - (Pres)'!P58</f>
        <v>28779.653100000003</v>
      </c>
      <c r="E47" s="13">
        <f>'Test Year Monthly - (Pres)'!C50</f>
        <v>0.95569999999999999</v>
      </c>
      <c r="F47" s="6">
        <f>D47*E47</f>
        <v>27504.714467670005</v>
      </c>
      <c r="J47" s="30">
        <f>SUM(('Test Year Monthly - (Pres)'!D50:G50),('Test Year Monthly - (Pres)'!D58:G58))+'Test Year Monthly - (Pres)'!O50+'Test Year Monthly - (Pres)'!O58</f>
        <v>11408.713100000001</v>
      </c>
    </row>
    <row r="48" spans="1:10">
      <c r="A48" s="2">
        <v>34</v>
      </c>
      <c r="B48" s="2" t="s">
        <v>44</v>
      </c>
      <c r="D48" s="6">
        <f>'Test Year Monthly - (Pres)'!P68</f>
        <v>0</v>
      </c>
      <c r="E48" s="13">
        <f>'Test Year Monthly - (Pres)'!C68</f>
        <v>0</v>
      </c>
      <c r="F48" s="6">
        <f>D48*E48</f>
        <v>0</v>
      </c>
      <c r="J48" s="30">
        <f>SUM('Test Year Monthly - (Pres)'!D68:G68)+'Test Year Monthly - (Pres)'!O68</f>
        <v>0</v>
      </c>
    </row>
    <row r="49" spans="1:10">
      <c r="A49" s="2">
        <v>35</v>
      </c>
      <c r="B49" s="2" t="s">
        <v>45</v>
      </c>
      <c r="D49" s="6">
        <f>'Test Year Monthly - (Pres)'!P69</f>
        <v>406485.35499999998</v>
      </c>
      <c r="E49" s="13">
        <f>'Test Year Monthly - (Pres)'!C69</f>
        <v>1.5483</v>
      </c>
      <c r="F49" s="6">
        <f t="shared" ref="F49:F50" si="2">D49*E49</f>
        <v>629361.27514649997</v>
      </c>
      <c r="J49" s="30">
        <f>SUM('Test Year Monthly - (Pres)'!D69:G69)+'Test Year Monthly - (Pres)'!O69</f>
        <v>158754.93700000001</v>
      </c>
    </row>
    <row r="50" spans="1:10">
      <c r="A50" s="2">
        <v>36</v>
      </c>
      <c r="B50" s="2" t="s">
        <v>46</v>
      </c>
      <c r="D50" s="6">
        <f>'Test Year Monthly - (Pres)'!P70</f>
        <v>5786779.6067023808</v>
      </c>
      <c r="E50" s="13">
        <f>'Test Year Monthly - (Pres)'!C70</f>
        <v>1.0762</v>
      </c>
      <c r="F50" s="6">
        <f t="shared" si="2"/>
        <v>6227732.212733102</v>
      </c>
      <c r="J50" s="30">
        <f>SUM('Test Year Monthly - (Pres)'!D70:G70)+'Test Year Monthly - (Pres)'!O70</f>
        <v>2050024.6004642858</v>
      </c>
    </row>
    <row r="51" spans="1:10">
      <c r="A51" s="2">
        <v>37</v>
      </c>
      <c r="B51" s="2" t="s">
        <v>42</v>
      </c>
      <c r="D51" s="6">
        <f>'Test Year Monthly - (Pres)'!P84</f>
        <v>0</v>
      </c>
      <c r="E51" s="13">
        <f>'Test Year Monthly - (Pres)'!C84</f>
        <v>0</v>
      </c>
      <c r="F51" s="6">
        <f>D51*E51</f>
        <v>0</v>
      </c>
      <c r="J51" s="30">
        <f>SUM('Test Year Monthly - (Pres)'!D84:G84)+'Test Year Monthly - (Pres)'!O84</f>
        <v>0</v>
      </c>
    </row>
    <row r="52" spans="1:10">
      <c r="A52" s="2">
        <v>38</v>
      </c>
      <c r="B52" s="2" t="s">
        <v>43</v>
      </c>
      <c r="D52" s="6">
        <f>'Test Year Monthly - (Pres)'!P85</f>
        <v>5207415.8417000007</v>
      </c>
      <c r="E52" s="13">
        <f>'Test Year Monthly - (Pres)'!C85</f>
        <v>0.95569999999999999</v>
      </c>
      <c r="F52" s="6">
        <f>D52*E52</f>
        <v>4976727.3199126907</v>
      </c>
      <c r="J52" s="30">
        <f>SUM('Test Year Monthly - (Pres)'!D85:G85)+'Test Year Monthly - (Pres)'!O85</f>
        <v>2033419.1389999995</v>
      </c>
    </row>
    <row r="53" spans="1:10">
      <c r="A53" s="2">
        <v>39</v>
      </c>
      <c r="B53" s="2" t="s">
        <v>41</v>
      </c>
      <c r="C53" s="6"/>
      <c r="D53" s="22">
        <f>'Test Year Monthly - (Pres)'!P93</f>
        <v>0</v>
      </c>
      <c r="E53" s="90" t="s">
        <v>47</v>
      </c>
      <c r="F53" s="6">
        <f>'Test Year Monthly - (Pres)'!P94</f>
        <v>15505182.068</v>
      </c>
      <c r="J53" s="30">
        <f>SUM('Test Year Monthly - (Pres)'!D93:G93)+'Test Year Monthly - (Pres)'!O93</f>
        <v>0</v>
      </c>
    </row>
    <row r="54" spans="1:10">
      <c r="A54" s="2">
        <v>40</v>
      </c>
      <c r="B54" s="21" t="s">
        <v>25</v>
      </c>
      <c r="C54" s="20">
        <f>SUM(C38:C53)</f>
        <v>20797172.16472679</v>
      </c>
      <c r="D54" s="20">
        <f>SUM(D46:D53)</f>
        <v>11429565.456502382</v>
      </c>
      <c r="E54" s="21"/>
      <c r="F54" s="467">
        <f>SUM(F38:F53)</f>
        <v>4281068284.7169442</v>
      </c>
      <c r="H54" s="3">
        <f>H38+F54</f>
        <v>4281068284.7169442</v>
      </c>
      <c r="I54" s="2" t="s">
        <v>461</v>
      </c>
      <c r="J54" s="20">
        <f>SUM(J48:J53)</f>
        <v>4242198.6764642857</v>
      </c>
    </row>
    <row r="55" spans="1:10">
      <c r="A55" s="2">
        <v>41</v>
      </c>
    </row>
    <row r="56" spans="1:10">
      <c r="A56" s="2">
        <v>42</v>
      </c>
      <c r="B56" s="2" t="s">
        <v>280</v>
      </c>
      <c r="F56" s="3">
        <f>'Test Year Monthly - (Pres)'!P98</f>
        <v>0</v>
      </c>
    </row>
    <row r="57" spans="1:10">
      <c r="A57" s="2">
        <v>43</v>
      </c>
      <c r="B57" s="2" t="s">
        <v>73</v>
      </c>
      <c r="C57" s="6"/>
      <c r="D57" s="6"/>
      <c r="E57" s="13"/>
      <c r="F57" s="3">
        <f>'Test Year Monthly - (Pres)'!P99</f>
        <v>58912</v>
      </c>
    </row>
    <row r="58" spans="1:10">
      <c r="A58" s="2">
        <f>A57+1</f>
        <v>44</v>
      </c>
      <c r="C58" s="6"/>
      <c r="D58" s="6"/>
      <c r="E58" s="11"/>
      <c r="F58" s="6"/>
      <c r="G58" s="25"/>
      <c r="H58" s="25"/>
    </row>
    <row r="59" spans="1:10">
      <c r="A59" s="2">
        <f t="shared" ref="A59:A61" si="3">A58+1</f>
        <v>45</v>
      </c>
      <c r="B59" s="46" t="s">
        <v>49</v>
      </c>
      <c r="C59" s="20">
        <f>C54+C34+C24+C16</f>
        <v>99754741.247145876</v>
      </c>
      <c r="D59" s="20">
        <f>D54+D34+D24+D16</f>
        <v>30677205.244086429</v>
      </c>
      <c r="E59" s="47"/>
      <c r="F59" s="467">
        <f>F54+F34+F24+F16+F56+F57</f>
        <v>7059725232.924552</v>
      </c>
      <c r="J59" s="20">
        <f>J54+J34+J24+J16</f>
        <v>15279404.436890442</v>
      </c>
    </row>
    <row r="60" spans="1:10">
      <c r="A60" s="2">
        <f t="shared" si="3"/>
        <v>46</v>
      </c>
    </row>
    <row r="61" spans="1:10">
      <c r="A61" s="2">
        <f t="shared" si="3"/>
        <v>47</v>
      </c>
      <c r="F61" s="2">
        <f>'Rate Design'!L53</f>
        <v>100181119.72975624</v>
      </c>
      <c r="H61" s="3">
        <f>H12+H20+H27+H38</f>
        <v>0</v>
      </c>
      <c r="I61" s="2" t="s">
        <v>462</v>
      </c>
    </row>
    <row r="62" spans="1:10">
      <c r="C62" s="6"/>
      <c r="D62" s="6"/>
      <c r="E62" s="13"/>
      <c r="F62" s="6"/>
      <c r="J62" s="6"/>
    </row>
    <row r="63" spans="1:10">
      <c r="C63" s="6"/>
      <c r="D63" s="6"/>
      <c r="E63" s="13"/>
      <c r="F63" s="6">
        <f>F59-F61</f>
        <v>6959544113.1947956</v>
      </c>
      <c r="H63" s="3">
        <f>H61+F59</f>
        <v>7059725232.924552</v>
      </c>
      <c r="I63" s="2" t="s">
        <v>463</v>
      </c>
      <c r="J63" s="6"/>
    </row>
  </sheetData>
  <phoneticPr fontId="7" type="noConversion"/>
  <pageMargins left="0" right="0" top="0.7" bottom="0" header="0.25" footer="0"/>
  <pageSetup scale="62" orientation="landscape" horizontalDpi="300" r:id="rId1"/>
  <headerFooter alignWithMargins="0"/>
  <rowBreaks count="1" manualBreakCount="1">
    <brk id="185" max="16383" man="1"/>
  </rowBreaks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28</vt:i4>
      </vt:variant>
    </vt:vector>
  </HeadingPairs>
  <TitlesOfParts>
    <vt:vector size="48" baseType="lpstr">
      <vt:lpstr>Dashboard</vt:lpstr>
      <vt:lpstr>Summary of Rates</vt:lpstr>
      <vt:lpstr>Summary of Revenue</vt:lpstr>
      <vt:lpstr>Summary of Stats</vt:lpstr>
      <vt:lpstr>Bill Frequency</vt:lpstr>
      <vt:lpstr>Test Year Revenue Present</vt:lpstr>
      <vt:lpstr>Contract &amp; Vol Adj</vt:lpstr>
      <vt:lpstr>WNA Summary</vt:lpstr>
      <vt:lpstr>WNA</vt:lpstr>
      <vt:lpstr>Test Year Monthly - (Pres)</vt:lpstr>
      <vt:lpstr>Test Year Revenue Proposed</vt:lpstr>
      <vt:lpstr>Test Year Monthly - (Prop)</vt:lpstr>
      <vt:lpstr>Rate Design</vt:lpstr>
      <vt:lpstr>Monthly Forecast</vt:lpstr>
      <vt:lpstr>TBS Adjustments</vt:lpstr>
      <vt:lpstr>Peak Day Estimate</vt:lpstr>
      <vt:lpstr>Other Revenue</vt:lpstr>
      <vt:lpstr>HDDs</vt:lpstr>
      <vt:lpstr>Gas Cost Worksheet</vt:lpstr>
      <vt:lpstr>CCS Extract</vt:lpstr>
      <vt:lpstr>'Bill Frequency'!Print_Area</vt:lpstr>
      <vt:lpstr>'Contract &amp; Vol Adj'!Print_Area</vt:lpstr>
      <vt:lpstr>'Gas Cost Worksheet'!Print_Area</vt:lpstr>
      <vt:lpstr>HDDs!Print_Area</vt:lpstr>
      <vt:lpstr>'Monthly Forecast'!Print_Area</vt:lpstr>
      <vt:lpstr>'Other Revenue'!Print_Area</vt:lpstr>
      <vt:lpstr>'Peak Day Estimate'!Print_Area</vt:lpstr>
      <vt:lpstr>'Rate Design'!Print_Area</vt:lpstr>
      <vt:lpstr>'Summary of Rates'!Print_Area</vt:lpstr>
      <vt:lpstr>'Summary of Revenue'!Print_Area</vt:lpstr>
      <vt:lpstr>'TBS Adjustments'!Print_Area</vt:lpstr>
      <vt:lpstr>'Test Year Monthly - (Pres)'!Print_Area</vt:lpstr>
      <vt:lpstr>'Test Year Monthly - (Prop)'!Print_Area</vt:lpstr>
      <vt:lpstr>'Test Year Revenue Present'!Print_Area</vt:lpstr>
      <vt:lpstr>'Test Year Revenue Proposed'!Print_Area</vt:lpstr>
      <vt:lpstr>WNA!Print_Area</vt:lpstr>
      <vt:lpstr>'WNA Summary'!Print_Area</vt:lpstr>
      <vt:lpstr>'Bill Frequency'!Print_Titles</vt:lpstr>
      <vt:lpstr>'Contract &amp; Vol Adj'!Print_Titles</vt:lpstr>
      <vt:lpstr>'Gas Cost Worksheet'!Print_Titles</vt:lpstr>
      <vt:lpstr>'Monthly Forecast'!Print_Titles</vt:lpstr>
      <vt:lpstr>'Other Revenue'!Print_Titles</vt:lpstr>
      <vt:lpstr>'Summary of Revenue'!Print_Titles</vt:lpstr>
      <vt:lpstr>'Summary of Stats'!Print_Titles</vt:lpstr>
      <vt:lpstr>'TBS Adjustments'!Print_Titles</vt:lpstr>
      <vt:lpstr>'Test Year Monthly - (Pres)'!Print_Titles</vt:lpstr>
      <vt:lpstr>'Test Year Monthly - (Prop)'!Print_Titles</vt:lpstr>
      <vt:lpstr>WNA!Print_Titles</vt:lpstr>
    </vt:vector>
  </TitlesOfParts>
  <Company>Atmos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ldcotten</dc:creator>
  <cp:lastModifiedBy>Troup, Thomas</cp:lastModifiedBy>
  <cp:lastPrinted>2024-09-24T14:00:38Z</cp:lastPrinted>
  <dcterms:created xsi:type="dcterms:W3CDTF">2006-10-05T20:11:37Z</dcterms:created>
  <dcterms:modified xsi:type="dcterms:W3CDTF">2024-10-09T14:26:56Z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