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Model\Model Tabs\"/>
    </mc:Choice>
  </mc:AlternateContent>
  <xr:revisionPtr revIDLastSave="0" documentId="13_ncr:1_{C6D16ED6-2895-4967-9DFC-68F7FB8A289A}" xr6:coauthVersionLast="47" xr6:coauthVersionMax="47" xr10:uidLastSave="{00000000-0000-0000-0000-000000000000}"/>
  <bookViews>
    <workbookView xWindow="-28920" yWindow="-120" windowWidth="29040" windowHeight="15720" xr2:uid="{9BBD94E7-8161-431F-AFEC-017755DB20E9}"/>
  </bookViews>
  <sheets>
    <sheet name="G.1" sheetId="1" r:id="rId1"/>
    <sheet name="G.2" sheetId="2" r:id="rId2"/>
    <sheet name="G.3" sheetId="3" r:id="rId3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G.1!$A$1:$L$32</definedName>
    <definedName name="_xlnm.Print_Area" localSheetId="1">G.2!$A$1:$P$53</definedName>
    <definedName name="_xlnm.Print_Area" localSheetId="2">G.3!$A$1:$L$46</definedName>
    <definedName name="ROR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3" l="1"/>
  <c r="J29" i="3"/>
  <c r="J30" i="3" s="1"/>
  <c r="H30" i="3"/>
  <c r="H25" i="3"/>
  <c r="L24" i="3"/>
  <c r="J24" i="3" s="1"/>
  <c r="L23" i="3"/>
  <c r="L19" i="3"/>
  <c r="J19" i="3"/>
  <c r="L18" i="3"/>
  <c r="L20" i="3" s="1"/>
  <c r="H23" i="3"/>
  <c r="H26" i="3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M50" i="2"/>
  <c r="O50" i="2" s="1"/>
  <c r="J50" i="2"/>
  <c r="H50" i="2"/>
  <c r="F50" i="2"/>
  <c r="J49" i="2"/>
  <c r="H49" i="2"/>
  <c r="F49" i="2"/>
  <c r="D49" i="2"/>
  <c r="I46" i="2"/>
  <c r="G46" i="2"/>
  <c r="K46" i="2"/>
  <c r="J43" i="2"/>
  <c r="H43" i="2"/>
  <c r="E46" i="2"/>
  <c r="C46" i="2"/>
  <c r="J42" i="2"/>
  <c r="H42" i="2"/>
  <c r="F42" i="2"/>
  <c r="D42" i="2"/>
  <c r="I39" i="2"/>
  <c r="G39" i="2"/>
  <c r="K39" i="2"/>
  <c r="J36" i="2"/>
  <c r="H36" i="2"/>
  <c r="E39" i="2"/>
  <c r="C39" i="2"/>
  <c r="J35" i="2"/>
  <c r="H35" i="2"/>
  <c r="F35" i="2"/>
  <c r="D35" i="2"/>
  <c r="O32" i="2"/>
  <c r="O42" i="2" s="1"/>
  <c r="J30" i="2"/>
  <c r="L30" i="2"/>
  <c r="H30" i="2"/>
  <c r="F30" i="2"/>
  <c r="D30" i="2"/>
  <c r="G28" i="2"/>
  <c r="E26" i="2"/>
  <c r="E32" i="2" s="1"/>
  <c r="K28" i="2"/>
  <c r="O25" i="2" s="1"/>
  <c r="J25" i="2"/>
  <c r="H25" i="2"/>
  <c r="F25" i="2"/>
  <c r="D25" i="2"/>
  <c r="C28" i="2"/>
  <c r="J24" i="2"/>
  <c r="I28" i="2"/>
  <c r="H24" i="2"/>
  <c r="F24" i="2"/>
  <c r="D24" i="2"/>
  <c r="C26" i="2"/>
  <c r="K21" i="2"/>
  <c r="C21" i="2"/>
  <c r="I19" i="2"/>
  <c r="J18" i="2"/>
  <c r="H18" i="2"/>
  <c r="E21" i="2"/>
  <c r="D18" i="2"/>
  <c r="K19" i="2"/>
  <c r="J17" i="2"/>
  <c r="H17" i="2"/>
  <c r="G19" i="2"/>
  <c r="E19" i="2"/>
  <c r="D19" i="2" s="1"/>
  <c r="C19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I12" i="2"/>
  <c r="K12" i="2" s="1"/>
  <c r="G12" i="2"/>
  <c r="L17" i="1"/>
  <c r="L20" i="1" s="1"/>
  <c r="F19" i="2" l="1"/>
  <c r="H19" i="2"/>
  <c r="D26" i="2"/>
  <c r="C32" i="2"/>
  <c r="O46" i="2"/>
  <c r="O49" i="2"/>
  <c r="N50" i="2"/>
  <c r="F17" i="2"/>
  <c r="F36" i="2"/>
  <c r="N36" i="2"/>
  <c r="F43" i="2"/>
  <c r="N43" i="2"/>
  <c r="L22" i="1"/>
  <c r="D17" i="2"/>
  <c r="F18" i="2"/>
  <c r="O24" i="2"/>
  <c r="K26" i="2"/>
  <c r="E28" i="2"/>
  <c r="D36" i="2"/>
  <c r="L36" i="2"/>
  <c r="D43" i="2"/>
  <c r="L43" i="2"/>
  <c r="D50" i="2"/>
  <c r="L50" i="2"/>
  <c r="J23" i="3"/>
  <c r="L21" i="1"/>
  <c r="N26" i="2"/>
  <c r="N30" i="2"/>
  <c r="M35" i="2"/>
  <c r="M49" i="2"/>
  <c r="G21" i="2"/>
  <c r="M25" i="2"/>
  <c r="N25" i="2" s="1"/>
  <c r="G26" i="2"/>
  <c r="M32" i="2"/>
  <c r="M42" i="2" s="1"/>
  <c r="N42" i="2" s="1"/>
  <c r="H20" i="3"/>
  <c r="H32" i="3" s="1"/>
  <c r="L25" i="3"/>
  <c r="J25" i="3" s="1"/>
  <c r="L23" i="1"/>
  <c r="I21" i="2"/>
  <c r="O35" i="2"/>
  <c r="J18" i="3"/>
  <c r="J20" i="3" s="1"/>
  <c r="D17" i="1"/>
  <c r="I26" i="2"/>
  <c r="L29" i="1" l="1"/>
  <c r="M24" i="2"/>
  <c r="L24" i="2" s="1"/>
  <c r="D25" i="1"/>
  <c r="H25" i="1" s="1"/>
  <c r="L35" i="2"/>
  <c r="N49" i="2"/>
  <c r="O17" i="2"/>
  <c r="M39" i="2"/>
  <c r="J26" i="3"/>
  <c r="L42" i="2"/>
  <c r="J22" i="1"/>
  <c r="H26" i="2"/>
  <c r="I32" i="2"/>
  <c r="F26" i="2"/>
  <c r="G32" i="2"/>
  <c r="M28" i="2"/>
  <c r="L25" i="2"/>
  <c r="N24" i="2"/>
  <c r="M46" i="2"/>
  <c r="O28" i="2"/>
  <c r="D23" i="1"/>
  <c r="H23" i="1" s="1"/>
  <c r="J23" i="1" s="1"/>
  <c r="D22" i="1"/>
  <c r="H22" i="1" s="1"/>
  <c r="D20" i="1"/>
  <c r="H20" i="1" s="1"/>
  <c r="J20" i="1" s="1"/>
  <c r="D21" i="1"/>
  <c r="H21" i="1" s="1"/>
  <c r="J21" i="1" s="1"/>
  <c r="H17" i="1"/>
  <c r="J17" i="1" s="1"/>
  <c r="J32" i="3"/>
  <c r="J26" i="2"/>
  <c r="L26" i="2"/>
  <c r="K32" i="2"/>
  <c r="L25" i="1"/>
  <c r="N35" i="2"/>
  <c r="L49" i="2"/>
  <c r="M17" i="2"/>
  <c r="O39" i="2"/>
  <c r="L26" i="3"/>
  <c r="L32" i="3" s="1"/>
  <c r="N17" i="2" l="1"/>
  <c r="O18" i="2"/>
  <c r="D29" i="1"/>
  <c r="H28" i="1"/>
  <c r="J28" i="1" s="1"/>
  <c r="L17" i="2"/>
  <c r="M18" i="2"/>
  <c r="M19" i="2" s="1"/>
  <c r="J25" i="1"/>
  <c r="L19" i="2" l="1"/>
  <c r="J19" i="2"/>
  <c r="H29" i="1"/>
  <c r="J29" i="1" s="1"/>
  <c r="J31" i="1" s="1"/>
  <c r="D31" i="1"/>
  <c r="H31" i="1" s="1"/>
  <c r="L31" i="1" s="1"/>
  <c r="O21" i="2"/>
  <c r="N18" i="2"/>
  <c r="M21" i="2"/>
  <c r="L18" i="2"/>
  <c r="O19" i="2"/>
  <c r="N19" i="2" s="1"/>
</calcChain>
</file>

<file path=xl/sharedStrings.xml><?xml version="1.0" encoding="utf-8"?>
<sst xmlns="http://schemas.openxmlformats.org/spreadsheetml/2006/main" count="172" uniqueCount="115">
  <si>
    <t>PAYROLL Costs</t>
  </si>
  <si>
    <t>Data:__X___Base Period___X___Forecasted Period</t>
  </si>
  <si>
    <t>FR 16(8)(g)</t>
  </si>
  <si>
    <t>Type of Filing:___X____Original________Updated</t>
  </si>
  <si>
    <t>Schedule G-1</t>
  </si>
  <si>
    <t>Workpaper Reference No(s).</t>
  </si>
  <si>
    <t>Total</t>
  </si>
  <si>
    <t xml:space="preserve">Base Period </t>
  </si>
  <si>
    <t>Forecasted Period</t>
  </si>
  <si>
    <t>Line</t>
  </si>
  <si>
    <t>% of</t>
  </si>
  <si>
    <t>Company</t>
  </si>
  <si>
    <t xml:space="preserve">Jurisdictional </t>
  </si>
  <si>
    <t>Jurisdictional</t>
  </si>
  <si>
    <t>No.</t>
  </si>
  <si>
    <t>Description</t>
  </si>
  <si>
    <t>Labor</t>
  </si>
  <si>
    <t>Unadjusted</t>
  </si>
  <si>
    <t>Adjustments</t>
  </si>
  <si>
    <t>ADJUSTED</t>
  </si>
  <si>
    <t>Payroll Costs</t>
  </si>
  <si>
    <t xml:space="preserve">  Labor</t>
  </si>
  <si>
    <t>100.00%</t>
  </si>
  <si>
    <t>Employee Benefits</t>
  </si>
  <si>
    <t xml:space="preserve">  PENSION &amp; RETIREMENT Income Plan</t>
  </si>
  <si>
    <t xml:space="preserve">  FAS 106</t>
  </si>
  <si>
    <t xml:space="preserve">  Employee INSURANCE PLANS</t>
  </si>
  <si>
    <t xml:space="preserve">  ESOP PLAN Contributions</t>
  </si>
  <si>
    <t>Total Employee BENEFITS</t>
  </si>
  <si>
    <t xml:space="preserve"> </t>
  </si>
  <si>
    <t>Payroll Taxes</t>
  </si>
  <si>
    <t xml:space="preserve">     </t>
  </si>
  <si>
    <t>Total Payroll Taxes</t>
  </si>
  <si>
    <t>Total Payroll Costs</t>
  </si>
  <si>
    <t>Data Source</t>
  </si>
  <si>
    <t>Payroll Analysis by Employee Classifications/Payroll Distribution/Total Company</t>
  </si>
  <si>
    <t>Data:___X____Base Period___X____Forecasted Period</t>
  </si>
  <si>
    <t>Type of Filing:___X_____Original________Updated</t>
  </si>
  <si>
    <t>Schedule G-2</t>
  </si>
  <si>
    <t>Most Recent Five Years*</t>
  </si>
  <si>
    <t>Base</t>
  </si>
  <si>
    <t>Forecasted</t>
  </si>
  <si>
    <t xml:space="preserve"> No.</t>
  </si>
  <si>
    <t>% Change</t>
  </si>
  <si>
    <t>Period</t>
  </si>
  <si>
    <t>Man Hours</t>
  </si>
  <si>
    <t>Straight Time Hours</t>
  </si>
  <si>
    <t>OverTime Hours</t>
  </si>
  <si>
    <t>Total Manhours</t>
  </si>
  <si>
    <t xml:space="preserve">Ratio of OverTime Hours </t>
  </si>
  <si>
    <t>to Straight-Time Hours</t>
  </si>
  <si>
    <t>Labor Dollars</t>
  </si>
  <si>
    <t>Straight-Time Dollars</t>
  </si>
  <si>
    <t>OverTime Dollars</t>
  </si>
  <si>
    <t>Total Labor Dollars</t>
  </si>
  <si>
    <t>Ratio of OverTime Dollars</t>
  </si>
  <si>
    <t>to Straight-Time Dollars</t>
  </si>
  <si>
    <t>O&amp;M Labor Dollars</t>
  </si>
  <si>
    <t xml:space="preserve">Ratio of O&amp;M of Labor Dollars </t>
  </si>
  <si>
    <t>to Total Labor Dollars</t>
  </si>
  <si>
    <t>Total Employee Benefits</t>
  </si>
  <si>
    <t>Employee Benefits Expensed</t>
  </si>
  <si>
    <t xml:space="preserve">Ratio of Employee Benefits </t>
  </si>
  <si>
    <t>Expensed to Total Employee</t>
  </si>
  <si>
    <t>Benefits</t>
  </si>
  <si>
    <t>Payroll Taxes Expensed</t>
  </si>
  <si>
    <t>Ratio of Payroll Taxes</t>
  </si>
  <si>
    <t xml:space="preserve">Expensed to Total Payroll </t>
  </si>
  <si>
    <t>Taxes</t>
  </si>
  <si>
    <t>Employee Levels</t>
  </si>
  <si>
    <t>Average Employee Levels</t>
  </si>
  <si>
    <t>Year end Employee Levels</t>
  </si>
  <si>
    <t>* The Payroll System accumulates data most readily on a fiscal year basis (Oct. 1 - Sept. 30) rather than calendar basis.  However, data presented here on calendar year basis.</t>
  </si>
  <si>
    <t>* Standby Pay included in regular hours and dollars</t>
  </si>
  <si>
    <t>Source:</t>
  </si>
  <si>
    <t>Executive Compensation</t>
  </si>
  <si>
    <t>Schedule G-3</t>
  </si>
  <si>
    <t>Workpaper Reference No(s).____________________</t>
  </si>
  <si>
    <t>Base Period</t>
  </si>
  <si>
    <t>Unallocated</t>
  </si>
  <si>
    <t>1</t>
  </si>
  <si>
    <t>Includes 5 Officers</t>
  </si>
  <si>
    <t xml:space="preserve">Gross Payroll </t>
  </si>
  <si>
    <t xml:space="preserve">  Salary</t>
  </si>
  <si>
    <t xml:space="preserve">  Other Allowances and Compensation</t>
  </si>
  <si>
    <t xml:space="preserve">  Total Salary and Compensation</t>
  </si>
  <si>
    <t>Wtd Avg</t>
  </si>
  <si>
    <t xml:space="preserve">  Pensions</t>
  </si>
  <si>
    <t xml:space="preserve">  SERP</t>
  </si>
  <si>
    <t xml:space="preserve">  Other Benefits</t>
  </si>
  <si>
    <t xml:space="preserve">  Total Employee Benefits</t>
  </si>
  <si>
    <t xml:space="preserve">  FICA/FUTA/SUTA</t>
  </si>
  <si>
    <t xml:space="preserve">  Total Payroll Taxes</t>
  </si>
  <si>
    <t>Total Compensation</t>
  </si>
  <si>
    <t>NOTE:  This schedule contains confidential information, detail of these numbers are available upon request.</t>
  </si>
  <si>
    <t>Positions included on this schedule are:</t>
  </si>
  <si>
    <t>President and CEO</t>
  </si>
  <si>
    <t xml:space="preserve">SVP, CFO </t>
  </si>
  <si>
    <t xml:space="preserve">SVP, Utility Operations </t>
  </si>
  <si>
    <t xml:space="preserve">SVP, General Counsel &amp; Corporate Secretary </t>
  </si>
  <si>
    <t>SVP, Human Resources</t>
  </si>
  <si>
    <t>These costs are total costs for Atmos Energy Corporation, a portion of which are allocated to Kentucky.</t>
  </si>
  <si>
    <t>Sources:</t>
  </si>
  <si>
    <t>Base Period estimated using 12 months actual, month ending March 31, 2021</t>
  </si>
  <si>
    <t>Atmos Energy Corporation, Kentucky/Mid-States Division</t>
  </si>
  <si>
    <t xml:space="preserve">Kentucky Jurisdiction Case No. 2024-00276 </t>
  </si>
  <si>
    <t>Base Period: Twelve Months Ended December 31, 2024</t>
  </si>
  <si>
    <t>Forecasted Test Period:  Twelve Months Ended March 31, 2026</t>
  </si>
  <si>
    <t>Witness: Waller</t>
  </si>
  <si>
    <t>FY23</t>
  </si>
  <si>
    <t>FY24</t>
  </si>
  <si>
    <t>G.1 Benefits rate calc mailout 2024.xlsx</t>
  </si>
  <si>
    <t>G.2 KY CY2020-2024 Benefit,Tax&amp;Labor mailout.xlsx</t>
  </si>
  <si>
    <t>O&amp;M Detail - TME Jun-24.xlsx</t>
  </si>
  <si>
    <t>G.3 - Exec Comp Jul23-Jun24 mailout 081224 Co 50.xlsx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</si>
</sst>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0%"/>
    <numFmt numFmtId="166" formatCode="_(&quot;$&quot;* #,##0_);_(&quot;$&quot;* \(#,##0\);_(&quot;$&quot;* &quot;-&quot;??_);_(@_)"/>
    <numFmt numFmtId="167" formatCode="mm/dd/yy_)"/>
    <numFmt numFmtId="168" formatCode="hh:mm:ss_)"/>
    <numFmt numFmtId="169" formatCode="0_);\(0\)"/>
    <numFmt numFmtId="170" formatCode="0.000%"/>
    <numFmt numFmtId="171" formatCode="_(* #,##0_);_(* \(#,##0\);_(* &quot;-&quot;??_);_(@_)"/>
  </numFmts>
  <fonts count="9">
    <font>
      <sz val="12"/>
      <name val="Helvetica-Narrow"/>
      <family val="2"/>
    </font>
    <font>
      <u/>
      <sz val="12"/>
      <name val="Helvetica-Narrow"/>
      <family val="2"/>
    </font>
    <font>
      <sz val="12"/>
      <name val="Times New Roman"/>
      <family val="1"/>
    </font>
    <font>
      <sz val="12"/>
      <name val="Helvetica-Narrow"/>
    </font>
    <font>
      <u val="double"/>
      <sz val="12"/>
      <name val="Helvetica-Narrow"/>
      <family val="2"/>
    </font>
    <font>
      <b/>
      <sz val="12"/>
      <name val="Helvetica-Narrow"/>
    </font>
    <font>
      <u/>
      <sz val="12"/>
      <name val="Helvetica Narrow"/>
      <family val="2"/>
    </font>
    <font>
      <sz val="12"/>
      <name val="Helvetica Narrow"/>
      <family val="2"/>
    </font>
    <font>
      <i/>
      <sz val="12"/>
      <name val="Helvetica-Narrow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37" fontId="0" fillId="0" borderId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">
    <xf numFmtId="37" fontId="0" fillId="0" borderId="0" xfId="0"/>
    <xf numFmtId="37" fontId="1" fillId="0" borderId="0" xfId="0" applyFont="1"/>
    <xf numFmtId="37" fontId="1" fillId="0" borderId="0" xfId="0" applyFont="1" applyAlignment="1" applyProtection="1">
      <alignment horizontal="left"/>
    </xf>
    <xf numFmtId="164" fontId="3" fillId="0" borderId="0" xfId="3" applyNumberFormat="1" applyFont="1" applyFill="1"/>
    <xf numFmtId="165" fontId="3" fillId="0" borderId="0" xfId="3" applyNumberFormat="1" applyFont="1" applyFill="1"/>
    <xf numFmtId="37" fontId="3" fillId="0" borderId="0" xfId="0" applyFont="1" applyProtection="1"/>
    <xf numFmtId="9" fontId="0" fillId="0" borderId="0" xfId="3" applyFont="1"/>
    <xf numFmtId="9" fontId="0" fillId="0" borderId="0" xfId="3" applyFont="1" applyFill="1"/>
    <xf numFmtId="37" fontId="3" fillId="0" borderId="1" xfId="0" applyFont="1" applyBorder="1" applyProtection="1"/>
    <xf numFmtId="37" fontId="1" fillId="0" borderId="0" xfId="0" applyFont="1" applyAlignment="1" applyProtection="1">
      <alignment horizontal="center"/>
      <protection locked="0"/>
    </xf>
    <xf numFmtId="37" fontId="1" fillId="0" borderId="0" xfId="0" applyFont="1" applyAlignment="1" applyProtection="1">
      <alignment horizontal="left"/>
      <protection locked="0"/>
    </xf>
    <xf numFmtId="10" fontId="0" fillId="0" borderId="0" xfId="3" applyNumberFormat="1" applyFont="1" applyFill="1"/>
    <xf numFmtId="170" fontId="4" fillId="0" borderId="0" xfId="0" applyNumberFormat="1" applyFont="1" applyProtection="1"/>
    <xf numFmtId="10" fontId="0" fillId="0" borderId="0" xfId="3" applyNumberFormat="1" applyFont="1"/>
    <xf numFmtId="37" fontId="5" fillId="0" borderId="0" xfId="0" applyFont="1"/>
    <xf numFmtId="37" fontId="6" fillId="0" borderId="0" xfId="0" applyFont="1"/>
    <xf numFmtId="37" fontId="7" fillId="0" borderId="0" xfId="0" applyFont="1"/>
    <xf numFmtId="37" fontId="8" fillId="0" borderId="0" xfId="0" applyFont="1"/>
    <xf numFmtId="37" fontId="3" fillId="0" borderId="0" xfId="0" applyFont="1"/>
    <xf numFmtId="37" fontId="0" fillId="0" borderId="0" xfId="0" applyAlignment="1" applyProtection="1">
      <alignment horizontal="centerContinuous"/>
    </xf>
    <xf numFmtId="37" fontId="0" fillId="0" borderId="0" xfId="0" applyAlignment="1">
      <alignment horizontal="centerContinuous"/>
    </xf>
    <xf numFmtId="37" fontId="3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left"/>
    </xf>
    <xf numFmtId="37" fontId="0" fillId="0" borderId="0" xfId="0" applyAlignment="1">
      <alignment horizontal="right"/>
    </xf>
    <xf numFmtId="37" fontId="0" fillId="0" borderId="0" xfId="0" applyAlignment="1" applyProtection="1">
      <alignment horizontal="right"/>
    </xf>
    <xf numFmtId="37" fontId="0" fillId="0" borderId="1" xfId="0" applyBorder="1" applyAlignment="1" applyProtection="1">
      <alignment horizontal="left"/>
    </xf>
    <xf numFmtId="37" fontId="0" fillId="0" borderId="1" xfId="0" applyBorder="1"/>
    <xf numFmtId="37" fontId="0" fillId="0" borderId="2" xfId="0" applyBorder="1"/>
    <xf numFmtId="37" fontId="0" fillId="0" borderId="0" xfId="0" applyAlignment="1" applyProtection="1">
      <alignment horizontal="center"/>
    </xf>
    <xf numFmtId="37" fontId="0" fillId="0" borderId="0" xfId="0" quotePrefix="1" applyAlignment="1">
      <alignment horizontal="center"/>
    </xf>
    <xf numFmtId="37" fontId="0" fillId="0" borderId="1" xfId="0" applyBorder="1" applyAlignment="1" applyProtection="1">
      <alignment horizontal="center"/>
    </xf>
    <xf numFmtId="37" fontId="0" fillId="0" borderId="3" xfId="0" applyBorder="1" applyAlignment="1" applyProtection="1">
      <alignment horizontal="center"/>
    </xf>
    <xf numFmtId="37" fontId="0" fillId="0" borderId="3" xfId="0" applyBorder="1"/>
    <xf numFmtId="166" fontId="3" fillId="0" borderId="0" xfId="2" applyNumberFormat="1" applyFont="1" applyFill="1" applyBorder="1" applyProtection="1"/>
    <xf numFmtId="10" fontId="0" fillId="0" borderId="0" xfId="0" applyNumberFormat="1" applyAlignment="1" applyProtection="1">
      <alignment horizontal="center"/>
    </xf>
    <xf numFmtId="10" fontId="0" fillId="0" borderId="0" xfId="0" applyNumberFormat="1" applyProtection="1"/>
    <xf numFmtId="166" fontId="3" fillId="0" borderId="0" xfId="2" applyNumberFormat="1" applyFont="1" applyFill="1" applyProtection="1"/>
    <xf numFmtId="10" fontId="0" fillId="0" borderId="0" xfId="0" applyNumberFormat="1" applyAlignment="1" applyProtection="1">
      <alignment horizontal="left"/>
    </xf>
    <xf numFmtId="166" fontId="3" fillId="0" borderId="4" xfId="2" applyNumberFormat="1" applyFont="1" applyFill="1" applyBorder="1" applyProtection="1"/>
    <xf numFmtId="166" fontId="3" fillId="0" borderId="5" xfId="2" applyNumberFormat="1" applyFont="1" applyFill="1" applyBorder="1"/>
    <xf numFmtId="37" fontId="0" fillId="0" borderId="0" xfId="0" applyProtection="1"/>
    <xf numFmtId="37" fontId="0" fillId="0" borderId="0" xfId="0" quotePrefix="1"/>
    <xf numFmtId="37" fontId="0" fillId="0" borderId="3" xfId="0" applyBorder="1" applyAlignment="1" applyProtection="1">
      <alignment horizontal="right"/>
    </xf>
    <xf numFmtId="166" fontId="0" fillId="0" borderId="0" xfId="2" applyNumberFormat="1" applyFont="1" applyFill="1" applyProtection="1"/>
    <xf numFmtId="37" fontId="0" fillId="0" borderId="1" xfId="0" applyBorder="1" applyProtection="1"/>
    <xf numFmtId="166" fontId="0" fillId="0" borderId="2" xfId="2" applyNumberFormat="1" applyFont="1" applyFill="1" applyBorder="1" applyProtection="1"/>
    <xf numFmtId="171" fontId="0" fillId="0" borderId="0" xfId="1" applyNumberFormat="1" applyFont="1" applyFill="1" applyProtection="1"/>
    <xf numFmtId="166" fontId="0" fillId="0" borderId="5" xfId="2" applyNumberFormat="1" applyFont="1" applyFill="1" applyBorder="1" applyProtection="1"/>
    <xf numFmtId="37" fontId="0" fillId="0" borderId="0" xfId="0" applyAlignment="1" applyProtection="1">
      <alignment horizontal="centerContinuous"/>
      <protection locked="0"/>
    </xf>
    <xf numFmtId="167" fontId="0" fillId="0" borderId="0" xfId="0" applyNumberFormat="1" applyAlignment="1" applyProtection="1">
      <alignment horizontal="centerContinuous"/>
    </xf>
    <xf numFmtId="168" fontId="0" fillId="0" borderId="0" xfId="0" applyNumberFormat="1" applyAlignment="1" applyProtection="1">
      <alignment horizontal="centerContinuous"/>
    </xf>
    <xf numFmtId="37" fontId="0" fillId="0" borderId="0" xfId="0" applyAlignment="1" applyProtection="1">
      <alignment horizontal="left"/>
      <protection locked="0"/>
    </xf>
    <xf numFmtId="37" fontId="0" fillId="0" borderId="0" xfId="0" applyProtection="1">
      <protection locked="0"/>
    </xf>
    <xf numFmtId="37" fontId="0" fillId="0" borderId="1" xfId="0" applyBorder="1" applyAlignment="1" applyProtection="1">
      <alignment horizontal="left"/>
      <protection locked="0"/>
    </xf>
    <xf numFmtId="169" fontId="0" fillId="0" borderId="1" xfId="0" applyNumberFormat="1" applyBorder="1" applyAlignment="1" applyProtection="1">
      <alignment horizontal="center"/>
      <protection locked="0"/>
    </xf>
    <xf numFmtId="37" fontId="0" fillId="0" borderId="0" xfId="0" applyAlignment="1">
      <alignment horizontal="center"/>
    </xf>
    <xf numFmtId="37" fontId="0" fillId="0" borderId="1" xfId="0" applyBorder="1" applyProtection="1">
      <protection locked="0"/>
    </xf>
    <xf numFmtId="37" fontId="4" fillId="0" borderId="0" xfId="0" applyFont="1" applyProtection="1"/>
    <xf numFmtId="10" fontId="4" fillId="0" borderId="0" xfId="3" applyNumberFormat="1" applyFont="1" applyFill="1" applyProtection="1"/>
    <xf numFmtId="170" fontId="0" fillId="0" borderId="0" xfId="0" applyNumberFormat="1" applyProtection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D0D1-08FB-42E9-806C-FA743E1ED4FC}">
  <sheetPr>
    <tabColor rgb="FF92D050"/>
    <pageSetUpPr fitToPage="1"/>
  </sheetPr>
  <dimension ref="A1:M37"/>
  <sheetViews>
    <sheetView tabSelected="1" view="pageBreakPreview" zoomScale="80" zoomScaleNormal="100" zoomScaleSheetLayoutView="80" workbookViewId="0"/>
  </sheetViews>
  <sheetFormatPr defaultColWidth="8.44140625" defaultRowHeight="15"/>
  <cols>
    <col min="1" max="1" width="7.5546875" customWidth="1"/>
    <col min="2" max="2" width="33.77734375" customWidth="1"/>
    <col min="3" max="3" width="7.33203125" customWidth="1"/>
    <col min="4" max="4" width="14.44140625" customWidth="1"/>
    <col min="5" max="5" width="2.109375" customWidth="1"/>
    <col min="6" max="6" width="12.44140625" customWidth="1"/>
    <col min="7" max="7" width="2" customWidth="1"/>
    <col min="8" max="8" width="13.5546875" customWidth="1"/>
    <col min="9" max="9" width="2.6640625" customWidth="1"/>
    <col min="10" max="10" width="10.88671875" customWidth="1"/>
    <col min="11" max="11" width="3.33203125" customWidth="1"/>
    <col min="12" max="12" width="17.109375" bestFit="1" customWidth="1"/>
    <col min="13" max="13" width="18.6640625" customWidth="1"/>
    <col min="17" max="17" width="9.44140625" bestFit="1" customWidth="1"/>
    <col min="19" max="19" width="9.44140625" bestFit="1" customWidth="1"/>
  </cols>
  <sheetData>
    <row r="1" spans="1:13">
      <c r="A1" s="19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>
      <c r="A2" s="19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>
      <c r="A4" s="21" t="s">
        <v>106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>
      <c r="A5" s="21" t="s">
        <v>107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7" spans="1:13">
      <c r="A7" s="22" t="s">
        <v>1</v>
      </c>
      <c r="L7" s="23" t="s">
        <v>2</v>
      </c>
    </row>
    <row r="8" spans="1:13">
      <c r="A8" s="22" t="s">
        <v>3</v>
      </c>
      <c r="L8" s="24" t="s">
        <v>4</v>
      </c>
    </row>
    <row r="9" spans="1:13">
      <c r="A9" s="25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4" t="s">
        <v>108</v>
      </c>
    </row>
    <row r="10" spans="1:13" ht="15.75">
      <c r="A10" s="14"/>
      <c r="L10" s="27"/>
    </row>
    <row r="11" spans="1:13">
      <c r="H11" s="28"/>
    </row>
    <row r="12" spans="1:13">
      <c r="D12" s="28" t="s">
        <v>6</v>
      </c>
      <c r="H12" s="28" t="s">
        <v>7</v>
      </c>
      <c r="L12" s="28" t="s">
        <v>8</v>
      </c>
    </row>
    <row r="13" spans="1:13">
      <c r="A13" s="28" t="s">
        <v>9</v>
      </c>
      <c r="C13" s="29" t="s">
        <v>10</v>
      </c>
      <c r="D13" s="28" t="s">
        <v>11</v>
      </c>
      <c r="H13" s="28" t="s">
        <v>12</v>
      </c>
      <c r="L13" s="28" t="s">
        <v>13</v>
      </c>
    </row>
    <row r="14" spans="1:13">
      <c r="A14" s="30" t="s">
        <v>14</v>
      </c>
      <c r="B14" s="30" t="s">
        <v>15</v>
      </c>
      <c r="C14" s="31" t="s">
        <v>16</v>
      </c>
      <c r="D14" s="31" t="s">
        <v>17</v>
      </c>
      <c r="E14" s="32"/>
      <c r="F14" s="31" t="s">
        <v>12</v>
      </c>
      <c r="G14" s="32"/>
      <c r="H14" s="31" t="s">
        <v>17</v>
      </c>
      <c r="I14" s="32"/>
      <c r="J14" s="31" t="s">
        <v>18</v>
      </c>
      <c r="K14" s="32"/>
      <c r="L14" s="31" t="s">
        <v>19</v>
      </c>
      <c r="M14" s="1"/>
    </row>
    <row r="15" spans="1:13">
      <c r="D15" s="28"/>
      <c r="F15" s="28"/>
      <c r="H15" s="28"/>
      <c r="I15" s="22"/>
      <c r="J15" s="28"/>
      <c r="K15" s="22"/>
      <c r="L15" s="28"/>
    </row>
    <row r="16" spans="1:13">
      <c r="A16" s="28">
        <v>1</v>
      </c>
      <c r="B16" s="2" t="s">
        <v>20</v>
      </c>
      <c r="C16" s="2"/>
      <c r="D16" s="3"/>
      <c r="L16" s="4"/>
    </row>
    <row r="17" spans="1:12">
      <c r="A17" s="28">
        <v>2</v>
      </c>
      <c r="B17" s="22" t="s">
        <v>21</v>
      </c>
      <c r="C17" s="22"/>
      <c r="D17" s="33">
        <f>G.2!M26</f>
        <v>15732460.54326041</v>
      </c>
      <c r="F17" s="34" t="s">
        <v>22</v>
      </c>
      <c r="H17" s="33">
        <f>+D17</f>
        <v>15732460.54326041</v>
      </c>
      <c r="J17" s="33">
        <f>L17-H17</f>
        <v>2070638.3207449354</v>
      </c>
      <c r="L17" s="33">
        <f>G.2!O26</f>
        <v>17803098.864005346</v>
      </c>
    </row>
    <row r="18" spans="1:12">
      <c r="A18" s="28">
        <v>3</v>
      </c>
      <c r="D18" s="5"/>
      <c r="F18" s="35"/>
      <c r="H18" s="5"/>
      <c r="J18" s="5"/>
      <c r="L18" s="5"/>
    </row>
    <row r="19" spans="1:12">
      <c r="A19" s="28">
        <v>4</v>
      </c>
      <c r="B19" s="2" t="s">
        <v>23</v>
      </c>
      <c r="D19" s="5"/>
      <c r="F19" s="35"/>
      <c r="H19" s="5"/>
      <c r="J19" s="5"/>
      <c r="L19" s="5"/>
    </row>
    <row r="20" spans="1:12">
      <c r="A20" s="28">
        <v>5</v>
      </c>
      <c r="B20" s="22" t="s">
        <v>24</v>
      </c>
      <c r="C20" s="34">
        <v>3.7304754954589368E-2</v>
      </c>
      <c r="D20" s="36">
        <f>D$17*C20</f>
        <v>586895.58539907553</v>
      </c>
      <c r="E20" s="6"/>
      <c r="F20" s="34" t="s">
        <v>22</v>
      </c>
      <c r="H20" s="36">
        <f t="shared" ref="H20:H25" si="0">D20</f>
        <v>586895.58539907553</v>
      </c>
      <c r="J20" s="36">
        <f t="shared" ref="J20:J25" si="1">L20-H20</f>
        <v>77244.655154972221</v>
      </c>
      <c r="L20" s="36">
        <f>L$17*C20</f>
        <v>664140.24055404775</v>
      </c>
    </row>
    <row r="21" spans="1:12">
      <c r="A21" s="28">
        <v>6</v>
      </c>
      <c r="B21" s="22" t="s">
        <v>25</v>
      </c>
      <c r="C21" s="34">
        <v>1.3284978959207301E-2</v>
      </c>
      <c r="D21" s="5">
        <f>D$17*C21</f>
        <v>209005.40729377363</v>
      </c>
      <c r="E21" s="6"/>
      <c r="F21" s="34" t="s">
        <v>22</v>
      </c>
      <c r="H21" s="5">
        <f t="shared" si="0"/>
        <v>209005.40729377363</v>
      </c>
      <c r="J21" s="5">
        <f t="shared" si="1"/>
        <v>27508.386523224792</v>
      </c>
      <c r="L21" s="5">
        <f>L$17*C21</f>
        <v>236513.79381699843</v>
      </c>
    </row>
    <row r="22" spans="1:12">
      <c r="A22" s="28">
        <v>7</v>
      </c>
      <c r="B22" s="22" t="s">
        <v>26</v>
      </c>
      <c r="C22" s="34">
        <v>0.19754896015786882</v>
      </c>
      <c r="D22" s="5">
        <f>D$17*C22</f>
        <v>3107931.221045794</v>
      </c>
      <c r="E22" s="7"/>
      <c r="F22" s="34" t="s">
        <v>22</v>
      </c>
      <c r="H22" s="5">
        <f t="shared" si="0"/>
        <v>3107931.221045794</v>
      </c>
      <c r="J22" s="5">
        <f t="shared" si="1"/>
        <v>409052.44712619763</v>
      </c>
      <c r="L22" s="5">
        <f>L$17*C22</f>
        <v>3516983.6681719916</v>
      </c>
    </row>
    <row r="23" spans="1:12">
      <c r="A23" s="28">
        <v>8</v>
      </c>
      <c r="B23" s="22" t="s">
        <v>27</v>
      </c>
      <c r="C23" s="34">
        <v>2.6820458894314635E-2</v>
      </c>
      <c r="D23" s="5">
        <f>D$17*C23</f>
        <v>421951.81130694272</v>
      </c>
      <c r="E23" s="6"/>
      <c r="F23" s="34" t="s">
        <v>22</v>
      </c>
      <c r="H23" s="5">
        <f t="shared" si="0"/>
        <v>421951.81130694272</v>
      </c>
      <c r="J23" s="5">
        <f t="shared" si="1"/>
        <v>55535.469966532255</v>
      </c>
      <c r="L23" s="5">
        <f>L$17*C23</f>
        <v>477487.28127347498</v>
      </c>
    </row>
    <row r="24" spans="1:12">
      <c r="A24" s="28">
        <v>9</v>
      </c>
      <c r="B24" s="22"/>
      <c r="C24" s="22"/>
      <c r="D24" s="8"/>
      <c r="F24" s="34"/>
      <c r="H24" s="8"/>
      <c r="J24" s="8"/>
      <c r="L24" s="8"/>
    </row>
    <row r="25" spans="1:12">
      <c r="A25" s="28">
        <v>10</v>
      </c>
      <c r="B25" s="22" t="s">
        <v>28</v>
      </c>
      <c r="C25" s="22"/>
      <c r="D25" s="36">
        <f>G.2!M35</f>
        <v>1859853.4831181057</v>
      </c>
      <c r="E25" s="6"/>
      <c r="F25" s="35" t="s">
        <v>29</v>
      </c>
      <c r="H25" s="36">
        <f t="shared" si="0"/>
        <v>1859853.4831181057</v>
      </c>
      <c r="J25" s="36">
        <f t="shared" si="1"/>
        <v>266092.12459683139</v>
      </c>
      <c r="L25" s="36">
        <f>G.2!O35</f>
        <v>2125945.6077149371</v>
      </c>
    </row>
    <row r="26" spans="1:12">
      <c r="A26" s="28">
        <v>11</v>
      </c>
      <c r="D26" s="5"/>
      <c r="F26" s="37" t="s">
        <v>29</v>
      </c>
      <c r="H26" s="5" t="s">
        <v>29</v>
      </c>
      <c r="J26" s="5"/>
      <c r="L26" s="5"/>
    </row>
    <row r="27" spans="1:12">
      <c r="A27" s="28">
        <v>12</v>
      </c>
      <c r="B27" s="2" t="s">
        <v>30</v>
      </c>
      <c r="C27" s="2"/>
      <c r="D27" s="5"/>
      <c r="F27" s="37" t="s">
        <v>29</v>
      </c>
      <c r="H27" s="5" t="s">
        <v>29</v>
      </c>
      <c r="J27" s="5"/>
      <c r="L27" s="5" t="s">
        <v>31</v>
      </c>
    </row>
    <row r="28" spans="1:12">
      <c r="A28" s="28">
        <v>15</v>
      </c>
      <c r="B28" s="22" t="s">
        <v>30</v>
      </c>
      <c r="C28" s="22"/>
      <c r="D28" s="36">
        <v>975269.2439414938</v>
      </c>
      <c r="F28" s="34" t="s">
        <v>22</v>
      </c>
      <c r="H28" s="5">
        <f>D28</f>
        <v>975269.2439414938</v>
      </c>
      <c r="J28" s="5">
        <f>L28-H28</f>
        <v>142419.05876674387</v>
      </c>
      <c r="L28" s="36">
        <v>1117688.3027082377</v>
      </c>
    </row>
    <row r="29" spans="1:12">
      <c r="A29" s="28">
        <v>16</v>
      </c>
      <c r="B29" s="22" t="s">
        <v>32</v>
      </c>
      <c r="C29" s="22"/>
      <c r="D29" s="38">
        <f>SUM(D28:D28)</f>
        <v>975269.2439414938</v>
      </c>
      <c r="F29" s="35"/>
      <c r="H29" s="38">
        <f>D29</f>
        <v>975269.2439414938</v>
      </c>
      <c r="J29" s="38">
        <f>L29-H29</f>
        <v>142419.05876674387</v>
      </c>
      <c r="L29" s="38">
        <f>SUM(L28:L28)</f>
        <v>1117688.3027082377</v>
      </c>
    </row>
    <row r="30" spans="1:12">
      <c r="A30" s="28">
        <v>17</v>
      </c>
      <c r="D30" s="5"/>
      <c r="F30" s="37" t="s">
        <v>29</v>
      </c>
      <c r="H30" s="5" t="s">
        <v>29</v>
      </c>
      <c r="J30" s="5"/>
      <c r="L30" s="5" t="s">
        <v>29</v>
      </c>
    </row>
    <row r="31" spans="1:12" ht="15.75" thickBot="1">
      <c r="A31" s="28">
        <v>18</v>
      </c>
      <c r="B31" s="22" t="s">
        <v>33</v>
      </c>
      <c r="C31" s="22"/>
      <c r="D31" s="39">
        <f>D17+D25+D29</f>
        <v>18567583.270320009</v>
      </c>
      <c r="F31" s="35"/>
      <c r="H31" s="39">
        <f>D31</f>
        <v>18567583.270320009</v>
      </c>
      <c r="J31" s="39">
        <f>J17+J25+J29</f>
        <v>2479149.5041085109</v>
      </c>
      <c r="L31" s="39">
        <f>H31+J31</f>
        <v>21046732.77442852</v>
      </c>
    </row>
    <row r="32" spans="1:12" ht="15.75" thickTop="1">
      <c r="D32" s="5"/>
      <c r="F32" s="40"/>
      <c r="H32" s="40"/>
      <c r="J32" s="40"/>
      <c r="L32" s="5"/>
    </row>
    <row r="33" spans="1:12">
      <c r="D33" s="40"/>
      <c r="J33" s="40"/>
      <c r="L33" s="5"/>
    </row>
    <row r="34" spans="1:12">
      <c r="D34" s="40"/>
      <c r="J34" s="40"/>
      <c r="L34" s="40"/>
    </row>
    <row r="35" spans="1:12">
      <c r="D35" s="40"/>
      <c r="J35" s="40"/>
      <c r="L35" s="40"/>
    </row>
    <row r="36" spans="1:12">
      <c r="B36" t="s">
        <v>34</v>
      </c>
    </row>
    <row r="37" spans="1:12">
      <c r="A37" t="s">
        <v>29</v>
      </c>
      <c r="B37" s="41" t="s">
        <v>111</v>
      </c>
    </row>
  </sheetData>
  <pageMargins left="0.5" right="0.5" top="0.75" bottom="0.5" header="0.25" footer="0.5"/>
  <pageSetup scale="84" orientation="landscape" verticalDpi="300" r:id="rId1"/>
  <headerFooter alignWithMargins="0">
    <oddHeader>&amp;R&amp;8CASE NO. 2024-00276 
FR 16(8)(g)
ATTACHMENT 1</oddHeader>
    <oddFooter>&amp;RSchedule 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E6A7-A741-49DF-8ECE-8CE7A7E5E614}">
  <sheetPr>
    <tabColor rgb="FF92D050"/>
    <pageSetUpPr fitToPage="1"/>
  </sheetPr>
  <dimension ref="A1:S98"/>
  <sheetViews>
    <sheetView view="pageBreakPreview" zoomScale="80" zoomScaleNormal="100" zoomScaleSheetLayoutView="80" workbookViewId="0"/>
  </sheetViews>
  <sheetFormatPr defaultColWidth="7.109375" defaultRowHeight="15"/>
  <cols>
    <col min="1" max="1" width="5.109375" customWidth="1"/>
    <col min="2" max="2" width="26.88671875" customWidth="1"/>
    <col min="3" max="15" width="11.33203125" customWidth="1"/>
    <col min="16" max="16" width="2.109375" customWidth="1"/>
    <col min="17" max="17" width="10.44140625" bestFit="1" customWidth="1"/>
    <col min="19" max="19" width="7.88671875" customWidth="1"/>
    <col min="20" max="21" width="10.44140625" bestFit="1" customWidth="1"/>
  </cols>
  <sheetData>
    <row r="1" spans="1:16">
      <c r="A1" s="48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>
      <c r="A2" s="48" t="s">
        <v>105</v>
      </c>
      <c r="B2" s="4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6">
      <c r="A3" s="48" t="s">
        <v>35</v>
      </c>
      <c r="B3" s="5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6">
      <c r="A4" s="19" t="s">
        <v>106</v>
      </c>
      <c r="B4" s="48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6">
      <c r="A5" s="19" t="s">
        <v>107</v>
      </c>
      <c r="B5" s="4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6">
      <c r="A6" s="19"/>
      <c r="B6" s="48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>
      <c r="A7" s="22" t="s">
        <v>36</v>
      </c>
      <c r="O7" s="23" t="s">
        <v>2</v>
      </c>
    </row>
    <row r="8" spans="1:16">
      <c r="A8" s="22" t="s">
        <v>37</v>
      </c>
      <c r="O8" s="51" t="s">
        <v>38</v>
      </c>
    </row>
    <row r="9" spans="1:16">
      <c r="A9" s="25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42" t="s">
        <v>108</v>
      </c>
      <c r="P9" s="26"/>
    </row>
    <row r="10" spans="1:16">
      <c r="I10" s="9" t="s">
        <v>39</v>
      </c>
    </row>
    <row r="11" spans="1:16">
      <c r="A11" s="52" t="s">
        <v>9</v>
      </c>
      <c r="M11" s="28" t="s">
        <v>40</v>
      </c>
      <c r="O11" s="28" t="s">
        <v>41</v>
      </c>
    </row>
    <row r="12" spans="1:16">
      <c r="A12" s="53" t="s">
        <v>42</v>
      </c>
      <c r="B12" s="53" t="s">
        <v>15</v>
      </c>
      <c r="C12" s="54">
        <v>2019</v>
      </c>
      <c r="D12" s="30" t="s">
        <v>43</v>
      </c>
      <c r="E12" s="54">
        <v>2020</v>
      </c>
      <c r="F12" s="30" t="s">
        <v>43</v>
      </c>
      <c r="G12" s="54">
        <f>E12+1</f>
        <v>2021</v>
      </c>
      <c r="H12" s="30" t="s">
        <v>43</v>
      </c>
      <c r="I12" s="54">
        <f>G12+1</f>
        <v>2022</v>
      </c>
      <c r="J12" s="30" t="s">
        <v>43</v>
      </c>
      <c r="K12" s="54">
        <f>I12+1</f>
        <v>2023</v>
      </c>
      <c r="L12" s="30" t="s">
        <v>43</v>
      </c>
      <c r="M12" s="30" t="s">
        <v>44</v>
      </c>
      <c r="N12" s="30" t="s">
        <v>43</v>
      </c>
      <c r="O12" s="30" t="s">
        <v>44</v>
      </c>
      <c r="P12" s="26"/>
    </row>
    <row r="14" spans="1:16">
      <c r="A14" s="55"/>
    </row>
    <row r="15" spans="1:16">
      <c r="A15" s="55"/>
      <c r="C15" s="52"/>
      <c r="E15" s="52"/>
      <c r="G15" s="52"/>
      <c r="H15" s="52"/>
      <c r="I15" s="52"/>
      <c r="K15" s="52"/>
      <c r="M15" s="52"/>
      <c r="O15" s="52"/>
    </row>
    <row r="16" spans="1:16">
      <c r="A16" s="55">
        <v>1</v>
      </c>
      <c r="B16" s="10" t="s">
        <v>45</v>
      </c>
      <c r="C16" s="52"/>
      <c r="E16" s="52"/>
      <c r="G16" s="52"/>
      <c r="H16" s="52"/>
      <c r="I16" s="52"/>
      <c r="K16" s="52"/>
      <c r="M16" s="52"/>
      <c r="O16" s="52"/>
    </row>
    <row r="17" spans="1:19">
      <c r="A17" s="55">
        <f t="shared" ref="A17:A50" si="0">+A16+1</f>
        <v>2</v>
      </c>
      <c r="B17" s="51" t="s">
        <v>46</v>
      </c>
      <c r="C17" s="52">
        <v>428909.94</v>
      </c>
      <c r="D17" s="35">
        <f>ROUND((E17-C17)/C17,4)</f>
        <v>-1.01E-2</v>
      </c>
      <c r="E17" s="52">
        <v>424587.96000000066</v>
      </c>
      <c r="F17" s="35">
        <f>ROUND((G17-E17)/E17,4)</f>
        <v>-5.8299999999999998E-2</v>
      </c>
      <c r="G17" s="52">
        <v>399842.52240899962</v>
      </c>
      <c r="H17" s="35">
        <f>ROUND((I17-G17)/G17,4)</f>
        <v>-7.4999999999999997E-3</v>
      </c>
      <c r="I17" s="52">
        <v>396862.09904699965</v>
      </c>
      <c r="J17" s="35">
        <f>ROUND((K17-I17)/I17,4)</f>
        <v>2.92E-2</v>
      </c>
      <c r="K17" s="52">
        <v>408449.20771700132</v>
      </c>
      <c r="L17" s="35">
        <f>ROUND((M17-K17)/K17,4)</f>
        <v>8.4699999999999998E-2</v>
      </c>
      <c r="M17" s="52">
        <f>M49*52*40</f>
        <v>443040</v>
      </c>
      <c r="N17" s="35">
        <f>ROUND((O17-M17)/M17,4)</f>
        <v>0</v>
      </c>
      <c r="O17" s="52">
        <f>O49*52*40</f>
        <v>443040</v>
      </c>
    </row>
    <row r="18" spans="1:19">
      <c r="A18" s="55">
        <f t="shared" si="0"/>
        <v>3</v>
      </c>
      <c r="B18" s="51" t="s">
        <v>47</v>
      </c>
      <c r="C18" s="56">
        <v>31807.95</v>
      </c>
      <c r="D18" s="35">
        <f>ROUND((E18-C18)/C18,4)</f>
        <v>-0.4108</v>
      </c>
      <c r="E18" s="56">
        <v>18741.259999999995</v>
      </c>
      <c r="F18" s="35">
        <f>ROUND((G18-E18)/E18,4)</f>
        <v>-3.6200000000000003E-2</v>
      </c>
      <c r="G18" s="56">
        <v>18062.326799999999</v>
      </c>
      <c r="H18" s="35">
        <f>ROUND((I18-G18)/G18,4)</f>
        <v>0.4</v>
      </c>
      <c r="I18" s="56">
        <v>25287.985389999983</v>
      </c>
      <c r="J18" s="35">
        <f>ROUND((K18-I18)/I18,4)</f>
        <v>0.15409999999999999</v>
      </c>
      <c r="K18" s="56">
        <v>29185.92472000001</v>
      </c>
      <c r="L18" s="35">
        <f>ROUND((M18-K18)/K18,4)</f>
        <v>2.6800000000000001E-2</v>
      </c>
      <c r="M18" s="56">
        <f>($I$18+$K$18)/($I$17+$K$17)*M17</f>
        <v>29968.68531762336</v>
      </c>
      <c r="N18" s="35">
        <f>ROUND((O18-M18)/M18,4)</f>
        <v>0</v>
      </c>
      <c r="O18" s="56">
        <f>($I$18+$K$18)/($I$17+$K$17)*O17</f>
        <v>29968.68531762336</v>
      </c>
    </row>
    <row r="19" spans="1:19">
      <c r="A19" s="55">
        <f t="shared" si="0"/>
        <v>4</v>
      </c>
      <c r="B19" s="51" t="s">
        <v>48</v>
      </c>
      <c r="C19" s="57">
        <f>(C17+C18)</f>
        <v>460717.89</v>
      </c>
      <c r="D19" s="35">
        <f>ROUND((E19-C19)/C19,4)</f>
        <v>-3.7699999999999997E-2</v>
      </c>
      <c r="E19" s="57">
        <f>(E17+E18)</f>
        <v>443329.22000000067</v>
      </c>
      <c r="F19" s="35">
        <f>ROUND((G19-E19)/E19,4)</f>
        <v>-5.7299999999999997E-2</v>
      </c>
      <c r="G19" s="57">
        <f>(G17+G18)</f>
        <v>417904.8492089996</v>
      </c>
      <c r="H19" s="35">
        <f>ROUND((I19-G19)/G19,4)</f>
        <v>1.0200000000000001E-2</v>
      </c>
      <c r="I19" s="57">
        <f>(I17+I18)</f>
        <v>422150.08443699963</v>
      </c>
      <c r="J19" s="35">
        <f>ROUND((M19-I19)/I19,4)</f>
        <v>0.1205</v>
      </c>
      <c r="K19" s="57">
        <f>(K17+K18)</f>
        <v>437635.13243700133</v>
      </c>
      <c r="L19" s="35">
        <f>ROUND((M19-K19)/K19,4)</f>
        <v>8.0799999999999997E-2</v>
      </c>
      <c r="M19" s="57">
        <f>(M17+M18)</f>
        <v>473008.68531762337</v>
      </c>
      <c r="N19" s="35">
        <f>ROUND((O19-M19)/M19,4)</f>
        <v>0</v>
      </c>
      <c r="O19" s="57">
        <f>(O17+O18)</f>
        <v>473008.68531762337</v>
      </c>
    </row>
    <row r="20" spans="1:19">
      <c r="A20" s="55">
        <f t="shared" si="0"/>
        <v>5</v>
      </c>
      <c r="B20" s="51" t="s">
        <v>49</v>
      </c>
    </row>
    <row r="21" spans="1:19">
      <c r="A21" s="55">
        <f t="shared" si="0"/>
        <v>6</v>
      </c>
      <c r="B21" s="51" t="s">
        <v>50</v>
      </c>
      <c r="C21" s="12">
        <f>ROUND((C18/C17),5)</f>
        <v>7.4160000000000004E-2</v>
      </c>
      <c r="E21" s="12">
        <f>ROUND((E18/E17),5)</f>
        <v>4.4139999999999999E-2</v>
      </c>
      <c r="G21" s="12">
        <f>ROUND((G18/G17),5)</f>
        <v>4.5170000000000002E-2</v>
      </c>
      <c r="I21" s="12">
        <f>ROUND((I18/I17),5)</f>
        <v>6.3719999999999999E-2</v>
      </c>
      <c r="K21" s="12">
        <f>ROUND((K18/K17),5)</f>
        <v>7.1459999999999996E-2</v>
      </c>
      <c r="M21" s="12">
        <f>ROUND((M18/M17),5)</f>
        <v>6.7640000000000006E-2</v>
      </c>
      <c r="O21" s="12">
        <f>ROUND((O18/O17),5)</f>
        <v>6.7640000000000006E-2</v>
      </c>
    </row>
    <row r="22" spans="1:19">
      <c r="A22" s="55">
        <f t="shared" si="0"/>
        <v>7</v>
      </c>
      <c r="C22" s="52"/>
      <c r="E22" s="52"/>
      <c r="G22" s="52"/>
      <c r="I22" s="52"/>
      <c r="K22" s="52"/>
      <c r="M22" s="52"/>
      <c r="O22" s="52"/>
    </row>
    <row r="23" spans="1:19">
      <c r="A23" s="55">
        <f t="shared" si="0"/>
        <v>8</v>
      </c>
      <c r="B23" s="10" t="s">
        <v>51</v>
      </c>
      <c r="C23" s="52"/>
      <c r="E23" s="52"/>
      <c r="G23" s="52"/>
      <c r="I23" s="52"/>
      <c r="K23" s="52"/>
      <c r="M23" s="52"/>
      <c r="O23" s="52"/>
    </row>
    <row r="24" spans="1:19">
      <c r="A24" s="55">
        <f t="shared" si="0"/>
        <v>9</v>
      </c>
      <c r="B24" s="51" t="s">
        <v>52</v>
      </c>
      <c r="C24" s="52">
        <v>11830931.17</v>
      </c>
      <c r="D24" s="35">
        <f>ROUND((E24-C24)/C24,4)</f>
        <v>2.2700000000000001E-2</v>
      </c>
      <c r="E24" s="52">
        <v>12100004.400000056</v>
      </c>
      <c r="F24" s="35">
        <f>ROUND((G24-E24)/E24,4)</f>
        <v>-1.6500000000000001E-2</v>
      </c>
      <c r="G24" s="52">
        <v>11900924.609999925</v>
      </c>
      <c r="H24" s="35">
        <f>ROUND((I24-G24)/G24,4)</f>
        <v>3.2199999999999999E-2</v>
      </c>
      <c r="I24" s="52">
        <v>12284630.649999959</v>
      </c>
      <c r="J24" s="35">
        <f>ROUND((K24-I24)/I24,4)</f>
        <v>4.7300000000000002E-2</v>
      </c>
      <c r="K24" s="52">
        <v>12865295.230000012</v>
      </c>
      <c r="L24" s="35">
        <f>ROUND((M24-K24)/K24,4)</f>
        <v>9.7299999999999998E-2</v>
      </c>
      <c r="M24" s="27">
        <f>M26-M25</f>
        <v>14117366.143889297</v>
      </c>
      <c r="N24" s="35">
        <f>ROUND((O24-M24)/M24,4)</f>
        <v>0.13159999999999999</v>
      </c>
      <c r="O24" s="27">
        <f>O26-O25</f>
        <v>15975432.734626558</v>
      </c>
    </row>
    <row r="25" spans="1:19">
      <c r="A25" s="55">
        <f t="shared" si="0"/>
        <v>10</v>
      </c>
      <c r="B25" s="51" t="s">
        <v>53</v>
      </c>
      <c r="C25" s="56">
        <v>1321264.92</v>
      </c>
      <c r="D25" s="35">
        <f>ROUND((E25-C25)/C25,4)</f>
        <v>-0.38169999999999998</v>
      </c>
      <c r="E25" s="56">
        <v>816954.48000000021</v>
      </c>
      <c r="F25" s="35">
        <f>ROUND((G25-E25)/E25,4)</f>
        <v>1.11E-2</v>
      </c>
      <c r="G25" s="56">
        <v>826044.42999999924</v>
      </c>
      <c r="H25" s="35">
        <f>ROUND((I25-G25)/G25,4)</f>
        <v>0.43590000000000001</v>
      </c>
      <c r="I25" s="56">
        <v>1186117.8000000014</v>
      </c>
      <c r="J25" s="35">
        <f>ROUND((K25-I25)/I25,4)</f>
        <v>0.17979999999999999</v>
      </c>
      <c r="K25" s="56">
        <v>1399360.8000000019</v>
      </c>
      <c r="L25" s="35">
        <f>ROUND((M25-K25)/K25,4)</f>
        <v>0.1542</v>
      </c>
      <c r="M25" s="32">
        <f>AVERAGE(I28,K28)*M26</f>
        <v>1615094.3993711139</v>
      </c>
      <c r="N25" s="35">
        <f>ROUND((O25-M25)/M25,4)</f>
        <v>0.13159999999999999</v>
      </c>
      <c r="O25" s="32">
        <f>AVERAGE(I28,K28)*O26</f>
        <v>1827666.1293787889</v>
      </c>
    </row>
    <row r="26" spans="1:19">
      <c r="A26" s="55">
        <f t="shared" si="0"/>
        <v>11</v>
      </c>
      <c r="B26" s="51" t="s">
        <v>54</v>
      </c>
      <c r="C26" s="57">
        <f>(C24+C25)</f>
        <v>13152196.09</v>
      </c>
      <c r="D26" s="35">
        <f>ROUND((E26-C26)/C26,4)</f>
        <v>-1.7899999999999999E-2</v>
      </c>
      <c r="E26" s="57">
        <f>(E24+E25)</f>
        <v>12916958.880000057</v>
      </c>
      <c r="F26" s="35">
        <f>ROUND((G26-E26)/E26,4)</f>
        <v>-1.47E-2</v>
      </c>
      <c r="G26" s="57">
        <f>(G24+G25)</f>
        <v>12726969.039999925</v>
      </c>
      <c r="H26" s="35">
        <f>ROUND((I26-G26)/G26,4)</f>
        <v>5.8400000000000001E-2</v>
      </c>
      <c r="I26" s="57">
        <f>(I24+I25)</f>
        <v>13470748.44999996</v>
      </c>
      <c r="J26" s="35">
        <f>ROUND((K26-I26)/I26,4)</f>
        <v>5.8900000000000001E-2</v>
      </c>
      <c r="K26" s="57">
        <f>(K24+K25)</f>
        <v>14264656.030000014</v>
      </c>
      <c r="L26" s="35">
        <f>ROUND((M26-K26)/K26,4)</f>
        <v>0.10290000000000001</v>
      </c>
      <c r="M26" s="27">
        <v>15732460.54326041</v>
      </c>
      <c r="N26" s="35">
        <f>ROUND((O26-M26)/M26,4)</f>
        <v>0.13159999999999999</v>
      </c>
      <c r="O26" s="27">
        <v>17803098.864005346</v>
      </c>
      <c r="R26" s="13"/>
      <c r="S26" s="13"/>
    </row>
    <row r="27" spans="1:19">
      <c r="A27" s="55">
        <f t="shared" si="0"/>
        <v>12</v>
      </c>
      <c r="B27" s="51" t="s">
        <v>55</v>
      </c>
      <c r="R27" s="13"/>
      <c r="S27" s="13"/>
    </row>
    <row r="28" spans="1:19">
      <c r="A28" s="55">
        <f t="shared" si="0"/>
        <v>13</v>
      </c>
      <c r="B28" s="51" t="s">
        <v>56</v>
      </c>
      <c r="C28" s="12">
        <f>ROUND((C25/C24),5)</f>
        <v>0.11168</v>
      </c>
      <c r="E28" s="12">
        <f>ROUND((E25/E24),5)</f>
        <v>6.7519999999999997E-2</v>
      </c>
      <c r="G28" s="12">
        <f>ROUND((G25/G24),5)</f>
        <v>6.9409999999999999E-2</v>
      </c>
      <c r="I28" s="12">
        <f>ROUND((I25/I24),5)</f>
        <v>9.6549999999999997E-2</v>
      </c>
      <c r="K28" s="12">
        <f>ROUND((K25/K24),5)</f>
        <v>0.10877000000000001</v>
      </c>
      <c r="M28" s="12">
        <f>ROUND((M25/M24),5)</f>
        <v>0.1144</v>
      </c>
      <c r="O28" s="12">
        <f>ROUND((O25/O24),5)</f>
        <v>0.1144</v>
      </c>
    </row>
    <row r="29" spans="1:19">
      <c r="A29" s="55">
        <f t="shared" si="0"/>
        <v>14</v>
      </c>
      <c r="C29" s="52"/>
      <c r="E29" s="52"/>
      <c r="G29" s="52"/>
      <c r="I29" s="52"/>
      <c r="K29" s="52"/>
      <c r="M29" s="52"/>
      <c r="O29" s="52"/>
    </row>
    <row r="30" spans="1:19">
      <c r="A30" s="55">
        <f t="shared" si="0"/>
        <v>15</v>
      </c>
      <c r="B30" s="51" t="s">
        <v>57</v>
      </c>
      <c r="C30" s="52">
        <v>5432594.3200000003</v>
      </c>
      <c r="D30" s="35">
        <f>ROUND((E30-C30)/C30,4)</f>
        <v>-6.0400000000000002E-2</v>
      </c>
      <c r="E30" s="52">
        <v>5104736.3599999966</v>
      </c>
      <c r="F30" s="35">
        <f>ROUND((G30-E30)/E30,4)</f>
        <v>1.6899999999999998E-2</v>
      </c>
      <c r="G30" s="52">
        <v>5191175.4099999899</v>
      </c>
      <c r="H30" s="35">
        <f>ROUND((I30-G30)/G30,4)</f>
        <v>0.1004</v>
      </c>
      <c r="I30" s="52">
        <v>5712267.5300000282</v>
      </c>
      <c r="J30" s="35">
        <f>ROUND((M30-I30)/I30,4)</f>
        <v>0.1046</v>
      </c>
      <c r="K30" s="52">
        <v>5950691.1100000059</v>
      </c>
      <c r="L30" s="35">
        <f>ROUND((M30-K30)/K30,4)</f>
        <v>6.0299999999999999E-2</v>
      </c>
      <c r="M30" s="52">
        <v>6309802.0116606085</v>
      </c>
      <c r="N30" s="35">
        <f>ROUND((O30-M30)/M30,4)</f>
        <v>0.13159999999999999</v>
      </c>
      <c r="O30" s="52">
        <v>7140270.8252153266</v>
      </c>
    </row>
    <row r="31" spans="1:19">
      <c r="A31" s="55">
        <f t="shared" si="0"/>
        <v>16</v>
      </c>
      <c r="B31" s="51" t="s">
        <v>58</v>
      </c>
    </row>
    <row r="32" spans="1:19">
      <c r="A32" s="55">
        <f t="shared" si="0"/>
        <v>17</v>
      </c>
      <c r="B32" s="51" t="s">
        <v>59</v>
      </c>
      <c r="C32" s="12">
        <f>ROUND((C30/C26),5)</f>
        <v>0.41305999999999998</v>
      </c>
      <c r="E32" s="12">
        <f>ROUND((E30/E26),5)</f>
        <v>0.3952</v>
      </c>
      <c r="G32" s="12">
        <f>ROUND((G30/G26),5)</f>
        <v>0.40788999999999997</v>
      </c>
      <c r="I32" s="12">
        <f>ROUND((I30/I26),5)</f>
        <v>0.42404999999999998</v>
      </c>
      <c r="K32" s="12">
        <f>ROUND((K30/K26),5)</f>
        <v>0.41715999999999998</v>
      </c>
      <c r="M32" s="12">
        <f>ROUND((M30/M26),5)</f>
        <v>0.40106999999999998</v>
      </c>
      <c r="O32" s="12">
        <f>ROUND((O30/O26),5)</f>
        <v>0.40106999999999998</v>
      </c>
    </row>
    <row r="33" spans="1:16">
      <c r="A33" s="55">
        <f t="shared" si="0"/>
        <v>18</v>
      </c>
    </row>
    <row r="34" spans="1:16">
      <c r="A34" s="55">
        <f t="shared" si="0"/>
        <v>19</v>
      </c>
      <c r="B34" s="10" t="s">
        <v>23</v>
      </c>
      <c r="C34" s="52"/>
      <c r="E34" s="52"/>
      <c r="G34" s="52"/>
      <c r="I34" s="52"/>
      <c r="K34" s="52"/>
      <c r="M34" s="52"/>
      <c r="O34" s="52"/>
    </row>
    <row r="35" spans="1:16">
      <c r="A35" s="55">
        <f t="shared" si="0"/>
        <v>20</v>
      </c>
      <c r="B35" s="51" t="s">
        <v>60</v>
      </c>
      <c r="C35" s="40">
        <v>4573153.9197517596</v>
      </c>
      <c r="D35" s="35">
        <f>ROUND((E35-C35)/C35,4)</f>
        <v>-6.3299999999999995E-2</v>
      </c>
      <c r="E35" s="40">
        <v>4283536.9489974696</v>
      </c>
      <c r="F35" s="35">
        <f>ROUND((G35-E35)/E35,4)</f>
        <v>6.5100000000000005E-2</v>
      </c>
      <c r="G35" s="40">
        <v>4562205.4987079725</v>
      </c>
      <c r="H35" s="35">
        <f>ROUND((I35-G35)/G35,4)</f>
        <v>-6.8999999999999999E-3</v>
      </c>
      <c r="I35" s="40">
        <v>4530697.1670678472</v>
      </c>
      <c r="J35" s="35">
        <f>ROUND((K35-I35)/I35,4)</f>
        <v>-7.0900000000000005E-2</v>
      </c>
      <c r="K35" s="40">
        <v>4209567.4404931609</v>
      </c>
      <c r="L35" s="35">
        <f>ROUND((M35-K35)/K35,4)</f>
        <v>-0.55820000000000003</v>
      </c>
      <c r="M35" s="40">
        <f>M36/M32</f>
        <v>1859853.4831181057</v>
      </c>
      <c r="N35" s="35">
        <f>ROUND((O35-M35)/M35,4)</f>
        <v>0.1431</v>
      </c>
      <c r="O35" s="40">
        <f>O36/O32</f>
        <v>2125945.6077149371</v>
      </c>
      <c r="P35" s="40"/>
    </row>
    <row r="36" spans="1:16">
      <c r="A36" s="55">
        <f t="shared" si="0"/>
        <v>21</v>
      </c>
      <c r="B36" s="51" t="s">
        <v>61</v>
      </c>
      <c r="C36" s="52">
        <v>1949161.7799999993</v>
      </c>
      <c r="D36" s="35">
        <f>ROUND((E36-C36)/C36,4)</f>
        <v>-9.7100000000000006E-2</v>
      </c>
      <c r="E36" s="52">
        <v>1759955.1800000009</v>
      </c>
      <c r="F36" s="35">
        <f>ROUND((G36-E36)/E36,4)</f>
        <v>6.4899999999999999E-2</v>
      </c>
      <c r="G36" s="52">
        <v>1874230.44</v>
      </c>
      <c r="H36" s="35">
        <f>ROUND((I36-G36)/G36,4)</f>
        <v>1.0699999999999999E-2</v>
      </c>
      <c r="I36" s="52">
        <v>1894291.6999999997</v>
      </c>
      <c r="J36" s="35">
        <f>ROUND((K36-I36)/I36,4)</f>
        <v>-8.3000000000000004E-2</v>
      </c>
      <c r="K36" s="52">
        <v>1737066.5699999994</v>
      </c>
      <c r="L36" s="35">
        <f>ROUND((M36-K36)/K36,4)</f>
        <v>-0.5706</v>
      </c>
      <c r="M36" s="52">
        <v>745931.43647417857</v>
      </c>
      <c r="N36" s="35">
        <f>ROUND((O36-M36)/M36,4)</f>
        <v>0.1431</v>
      </c>
      <c r="O36" s="52">
        <v>852653.00488622976</v>
      </c>
      <c r="P36" s="40"/>
    </row>
    <row r="37" spans="1:16">
      <c r="A37" s="55">
        <f t="shared" si="0"/>
        <v>22</v>
      </c>
      <c r="B37" s="51" t="s">
        <v>62</v>
      </c>
    </row>
    <row r="38" spans="1:16">
      <c r="A38" s="55">
        <f t="shared" si="0"/>
        <v>23</v>
      </c>
      <c r="B38" s="22" t="s">
        <v>63</v>
      </c>
      <c r="C38" s="11"/>
      <c r="E38" s="11"/>
      <c r="G38" s="11"/>
      <c r="I38" s="11"/>
      <c r="K38" s="11"/>
    </row>
    <row r="39" spans="1:16">
      <c r="A39" s="55">
        <f t="shared" si="0"/>
        <v>24</v>
      </c>
      <c r="B39" s="51" t="s">
        <v>64</v>
      </c>
      <c r="C39" s="12">
        <f>ROUND((C36/C35),5)</f>
        <v>0.42621999999999999</v>
      </c>
      <c r="E39" s="12">
        <f>ROUND((E36/E35),5)</f>
        <v>0.41086</v>
      </c>
      <c r="G39" s="12">
        <f>ROUND((G36/G35),5)</f>
        <v>0.41082000000000002</v>
      </c>
      <c r="I39" s="12">
        <f>ROUND((I36/I35),5)</f>
        <v>0.41810000000000003</v>
      </c>
      <c r="K39" s="12">
        <f>ROUND((K36/K35),5)</f>
        <v>0.41265000000000002</v>
      </c>
      <c r="M39" s="12">
        <f>ROUND((M36/M35),5)</f>
        <v>0.40106999999999998</v>
      </c>
      <c r="O39" s="12">
        <f>ROUND((O36/O35),5)</f>
        <v>0.40106999999999998</v>
      </c>
    </row>
    <row r="40" spans="1:16">
      <c r="A40" s="55">
        <f t="shared" si="0"/>
        <v>25</v>
      </c>
    </row>
    <row r="41" spans="1:16">
      <c r="A41" s="55">
        <f t="shared" si="0"/>
        <v>26</v>
      </c>
      <c r="B41" s="2" t="s">
        <v>30</v>
      </c>
    </row>
    <row r="42" spans="1:16">
      <c r="A42" s="55">
        <f t="shared" si="0"/>
        <v>27</v>
      </c>
      <c r="B42" s="51" t="s">
        <v>32</v>
      </c>
      <c r="C42" s="40">
        <v>1483579.8100000003</v>
      </c>
      <c r="D42" s="35">
        <f>ROUND((E42-C42)/C42,4)</f>
        <v>-0.16889999999999999</v>
      </c>
      <c r="E42" s="40">
        <v>1233011</v>
      </c>
      <c r="F42" s="35">
        <f>ROUND((G42-E42)/E42,4)</f>
        <v>-3.8300000000000001E-2</v>
      </c>
      <c r="G42" s="40">
        <v>1185815</v>
      </c>
      <c r="H42" s="35">
        <f>ROUND((I42-G42)/G42,4)</f>
        <v>-0.1226</v>
      </c>
      <c r="I42" s="40">
        <v>1040391.78</v>
      </c>
      <c r="J42" s="35">
        <f>ROUND((K42-I42)/I42,4)</f>
        <v>5.9900000000000002E-2</v>
      </c>
      <c r="K42" s="40">
        <v>1102685.02</v>
      </c>
      <c r="L42" s="35">
        <f>ROUND((M42-K42)/K42,4)</f>
        <v>-0.11559999999999999</v>
      </c>
      <c r="M42" s="40">
        <f>M43/M32</f>
        <v>975269.2439414938</v>
      </c>
      <c r="N42" s="35">
        <f>ROUND((O42-M42)/M42,4)</f>
        <v>0.14599999999999999</v>
      </c>
      <c r="O42" s="40">
        <f>O43/O32</f>
        <v>1117688.3027082377</v>
      </c>
      <c r="P42" s="40"/>
    </row>
    <row r="43" spans="1:16">
      <c r="A43" s="55">
        <f t="shared" si="0"/>
        <v>28</v>
      </c>
      <c r="B43" s="51" t="s">
        <v>65</v>
      </c>
      <c r="C43" s="52">
        <v>408462.87000000017</v>
      </c>
      <c r="D43" s="35">
        <f>ROUND((E43-C43)/C43,4)</f>
        <v>-0.17829999999999999</v>
      </c>
      <c r="E43" s="52">
        <v>335620.92999999993</v>
      </c>
      <c r="F43" s="35">
        <f>ROUND((G43-E43)/E43,4)</f>
        <v>9.8799999999999999E-2</v>
      </c>
      <c r="G43" s="52">
        <v>368773</v>
      </c>
      <c r="H43" s="35">
        <f>ROUND((I43-G43)/G43,4)</f>
        <v>0</v>
      </c>
      <c r="I43" s="52">
        <v>368773.4299999997</v>
      </c>
      <c r="J43" s="35">
        <f>ROUND((K43-I43)/I43,4)</f>
        <v>5.0799999999999998E-2</v>
      </c>
      <c r="K43" s="52">
        <v>387516.31999999983</v>
      </c>
      <c r="L43" s="35">
        <f>ROUND((M43-K43)/K43,4)</f>
        <v>9.4000000000000004E-3</v>
      </c>
      <c r="M43" s="40">
        <v>391151.23566761491</v>
      </c>
      <c r="N43" s="35">
        <f>ROUND((O43-M43)/M43,4)</f>
        <v>0.14599999999999999</v>
      </c>
      <c r="O43" s="40">
        <v>448271.24756719283</v>
      </c>
      <c r="P43" s="40"/>
    </row>
    <row r="44" spans="1:16">
      <c r="A44" s="55">
        <f t="shared" si="0"/>
        <v>29</v>
      </c>
      <c r="B44" s="51" t="s">
        <v>66</v>
      </c>
    </row>
    <row r="45" spans="1:16">
      <c r="A45" s="55">
        <f t="shared" si="0"/>
        <v>30</v>
      </c>
      <c r="B45" s="51" t="s">
        <v>67</v>
      </c>
    </row>
    <row r="46" spans="1:16">
      <c r="A46" s="55">
        <f t="shared" si="0"/>
        <v>31</v>
      </c>
      <c r="B46" s="22" t="s">
        <v>68</v>
      </c>
      <c r="C46" s="12">
        <f>ROUND((C43/C42),5)</f>
        <v>0.27532000000000001</v>
      </c>
      <c r="D46" s="12"/>
      <c r="E46" s="12">
        <f>ROUND((E43/E42),5)</f>
        <v>0.2722</v>
      </c>
      <c r="F46" s="12"/>
      <c r="G46" s="12">
        <f>ROUND((G43/G42),5)</f>
        <v>0.31098999999999999</v>
      </c>
      <c r="I46" s="12">
        <f>ROUND((I43/I42),5)</f>
        <v>0.35446</v>
      </c>
      <c r="K46" s="12">
        <f>ROUND((K43/K42),5)</f>
        <v>0.35143000000000002</v>
      </c>
      <c r="M46" s="12">
        <f>ROUND((M43/M42),5)</f>
        <v>0.40106999999999998</v>
      </c>
      <c r="O46" s="12">
        <f>ROUND((O43/O42),5)</f>
        <v>0.40106999999999998</v>
      </c>
    </row>
    <row r="47" spans="1:16">
      <c r="A47" s="55">
        <f t="shared" si="0"/>
        <v>32</v>
      </c>
    </row>
    <row r="48" spans="1:16">
      <c r="A48" s="55">
        <f t="shared" si="0"/>
        <v>33</v>
      </c>
      <c r="B48" s="10" t="s">
        <v>69</v>
      </c>
    </row>
    <row r="49" spans="1:19">
      <c r="A49" s="55">
        <f t="shared" si="0"/>
        <v>34</v>
      </c>
      <c r="B49" s="51" t="s">
        <v>70</v>
      </c>
      <c r="C49">
        <v>195</v>
      </c>
      <c r="D49" s="58">
        <f>ROUND((E49-C49)/C49,4)</f>
        <v>-2.0500000000000001E-2</v>
      </c>
      <c r="E49">
        <v>191</v>
      </c>
      <c r="F49" s="58">
        <f>ROUND((G49-E49)/E49,4)</f>
        <v>0.1361</v>
      </c>
      <c r="G49">
        <v>217</v>
      </c>
      <c r="H49" s="35">
        <f>ROUND((I49-G49)/G49,4)</f>
        <v>0</v>
      </c>
      <c r="I49">
        <v>217</v>
      </c>
      <c r="J49" s="35">
        <f>ROUND((K49-I49)/I49,4)</f>
        <v>4.5999999999999999E-3</v>
      </c>
      <c r="K49">
        <v>218</v>
      </c>
      <c r="L49" s="35">
        <f>ROUND((M49-K49)/K49,4)</f>
        <v>-2.29E-2</v>
      </c>
      <c r="M49" s="40">
        <f>M50</f>
        <v>213</v>
      </c>
      <c r="N49" s="35">
        <f>ROUND((O49-M49)/M49,4)</f>
        <v>0</v>
      </c>
      <c r="O49" s="40">
        <f>O50</f>
        <v>213</v>
      </c>
    </row>
    <row r="50" spans="1:19">
      <c r="A50" s="55">
        <f t="shared" si="0"/>
        <v>35</v>
      </c>
      <c r="B50" s="51" t="s">
        <v>71</v>
      </c>
      <c r="C50" s="40">
        <v>195</v>
      </c>
      <c r="D50" s="35">
        <f>ROUND((E50-C50)/C50,4)</f>
        <v>-4.6199999999999998E-2</v>
      </c>
      <c r="E50" s="40">
        <v>186</v>
      </c>
      <c r="F50" s="35">
        <f>ROUND((G50-E50)/E50,4)</f>
        <v>0.19889999999999999</v>
      </c>
      <c r="G50" s="40">
        <v>223</v>
      </c>
      <c r="H50" s="35">
        <f>ROUND((I50-G50)/G50,4)</f>
        <v>0</v>
      </c>
      <c r="I50" s="40">
        <v>223</v>
      </c>
      <c r="J50" s="35">
        <f>ROUND((K50-I50)/I50,4)</f>
        <v>-4.48E-2</v>
      </c>
      <c r="K50" s="40">
        <v>213</v>
      </c>
      <c r="L50" s="35">
        <f>ROUND((M50-K50)/K50,4)</f>
        <v>0</v>
      </c>
      <c r="M50" s="40">
        <f>K50</f>
        <v>213</v>
      </c>
      <c r="N50" s="35">
        <f>ROUND((O50-M50)/M50,4)</f>
        <v>0</v>
      </c>
      <c r="O50" s="40">
        <f>M50</f>
        <v>213</v>
      </c>
    </row>
    <row r="52" spans="1:19">
      <c r="R52" s="40"/>
    </row>
    <row r="53" spans="1:19">
      <c r="R53" s="40"/>
    </row>
    <row r="54" spans="1:19">
      <c r="B54" s="41" t="s">
        <v>72</v>
      </c>
    </row>
    <row r="55" spans="1:19">
      <c r="B55" s="41" t="s">
        <v>73</v>
      </c>
    </row>
    <row r="58" spans="1:19">
      <c r="B58" t="s">
        <v>74</v>
      </c>
      <c r="R58" s="40"/>
      <c r="S58" s="40"/>
    </row>
    <row r="59" spans="1:19">
      <c r="B59" t="s">
        <v>112</v>
      </c>
    </row>
    <row r="60" spans="1:19">
      <c r="B60" t="s">
        <v>113</v>
      </c>
    </row>
    <row r="66" spans="1:15">
      <c r="A66" s="52"/>
    </row>
    <row r="67" spans="1:15">
      <c r="A67" s="52"/>
      <c r="B67" s="52"/>
      <c r="I67" s="59"/>
      <c r="K67" s="59"/>
      <c r="M67" s="59"/>
      <c r="O67" s="59"/>
    </row>
    <row r="68" spans="1:15">
      <c r="I68" s="52"/>
    </row>
    <row r="69" spans="1:15">
      <c r="A69" s="52"/>
    </row>
    <row r="70" spans="1:15">
      <c r="A70" s="52"/>
    </row>
    <row r="94" spans="9:17">
      <c r="I94" s="52"/>
      <c r="K94" s="52"/>
      <c r="M94" s="52"/>
      <c r="O94" s="52"/>
      <c r="Q94" s="52"/>
    </row>
    <row r="95" spans="9:17">
      <c r="I95" s="52"/>
      <c r="K95" s="52"/>
      <c r="M95" s="52"/>
      <c r="O95" s="52"/>
      <c r="Q95" s="52"/>
    </row>
    <row r="96" spans="9:17">
      <c r="I96" s="52"/>
      <c r="K96" s="52"/>
      <c r="M96" s="52"/>
      <c r="O96" s="52"/>
      <c r="Q96" s="52"/>
    </row>
    <row r="97" spans="9:17">
      <c r="I97" s="52"/>
      <c r="K97" s="52"/>
      <c r="M97" s="52"/>
      <c r="O97" s="52"/>
      <c r="Q97" s="52"/>
    </row>
    <row r="98" spans="9:17">
      <c r="I98" s="52"/>
      <c r="K98" s="52"/>
      <c r="M98" s="52"/>
      <c r="O98" s="52"/>
      <c r="Q98" s="52"/>
    </row>
  </sheetData>
  <pageMargins left="0.5" right="0.5" top="0.75" bottom="0.5" header="0.25" footer="0.5"/>
  <pageSetup scale="59" orientation="landscape" r:id="rId1"/>
  <headerFooter alignWithMargins="0">
    <oddHeader>&amp;R&amp;10CASE NO. 2024-00276 
FR 16(8)(g)
ATTACHMENT 1</oddHeader>
    <oddFooter>&amp;RSchedule 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61FD9-1063-499D-AB7A-43DC2EE8B1C6}">
  <sheetPr>
    <tabColor rgb="FF92D050"/>
    <pageSetUpPr fitToPage="1"/>
  </sheetPr>
  <dimension ref="A1:Q66"/>
  <sheetViews>
    <sheetView view="pageBreakPreview" zoomScale="80" zoomScaleNormal="100" zoomScaleSheetLayoutView="80" workbookViewId="0"/>
  </sheetViews>
  <sheetFormatPr defaultColWidth="8.44140625" defaultRowHeight="15"/>
  <cols>
    <col min="1" max="1" width="7.5546875" customWidth="1"/>
    <col min="2" max="2" width="3.33203125" customWidth="1"/>
    <col min="3" max="3" width="47.44140625" customWidth="1"/>
    <col min="4" max="4" width="3" customWidth="1"/>
    <col min="5" max="5" width="9.77734375" customWidth="1"/>
    <col min="6" max="7" width="9.88671875" customWidth="1"/>
    <col min="8" max="8" width="14.88671875" bestFit="1" customWidth="1"/>
    <col min="9" max="9" width="6" bestFit="1" customWidth="1"/>
    <col min="10" max="10" width="11.88671875" customWidth="1"/>
    <col min="11" max="11" width="3.77734375" customWidth="1"/>
    <col min="12" max="12" width="15.77734375" customWidth="1"/>
    <col min="13" max="14" width="9.33203125" customWidth="1"/>
    <col min="15" max="15" width="8.6640625" customWidth="1"/>
    <col min="16" max="16" width="8" customWidth="1"/>
    <col min="17" max="17" width="10.77734375" customWidth="1"/>
    <col min="18" max="18" width="10.21875" customWidth="1"/>
  </cols>
  <sheetData>
    <row r="1" spans="1:14">
      <c r="A1" s="19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>
      <c r="A2" s="19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19" t="s">
        <v>75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>
      <c r="A4" s="19" t="s">
        <v>106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>
      <c r="A5" s="19" t="s">
        <v>107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>
      <c r="A6" s="2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>
      <c r="A7" s="22" t="s">
        <v>1</v>
      </c>
      <c r="L7" s="23" t="s">
        <v>2</v>
      </c>
    </row>
    <row r="8" spans="1:14">
      <c r="A8" s="22" t="s">
        <v>3</v>
      </c>
      <c r="L8" s="24" t="s">
        <v>76</v>
      </c>
    </row>
    <row r="9" spans="1:14">
      <c r="A9" s="25" t="s">
        <v>77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42" t="s">
        <v>108</v>
      </c>
    </row>
    <row r="10" spans="1:14" ht="15.75">
      <c r="C10" s="14"/>
    </row>
    <row r="11" spans="1:14">
      <c r="H11" s="28" t="s">
        <v>78</v>
      </c>
      <c r="L11" s="28" t="s">
        <v>8</v>
      </c>
    </row>
    <row r="12" spans="1:14">
      <c r="A12" s="28" t="s">
        <v>9</v>
      </c>
      <c r="D12" s="29"/>
      <c r="E12" s="29" t="s">
        <v>10</v>
      </c>
      <c r="F12" s="29"/>
      <c r="G12" s="29"/>
      <c r="H12" s="28" t="s">
        <v>11</v>
      </c>
      <c r="L12" s="28" t="s">
        <v>11</v>
      </c>
    </row>
    <row r="13" spans="1:14">
      <c r="A13" s="30" t="s">
        <v>14</v>
      </c>
      <c r="C13" s="30" t="s">
        <v>15</v>
      </c>
      <c r="D13" s="28"/>
      <c r="E13" s="31" t="s">
        <v>16</v>
      </c>
      <c r="F13" s="28"/>
      <c r="G13" s="28"/>
      <c r="H13" s="30" t="s">
        <v>79</v>
      </c>
      <c r="J13" s="30" t="s">
        <v>18</v>
      </c>
      <c r="L13" s="30" t="s">
        <v>79</v>
      </c>
    </row>
    <row r="14" spans="1:14">
      <c r="H14" s="28"/>
      <c r="J14" s="28"/>
      <c r="K14" s="22"/>
      <c r="L14" s="28"/>
    </row>
    <row r="15" spans="1:14">
      <c r="A15" s="28" t="s">
        <v>80</v>
      </c>
      <c r="C15" s="2" t="s">
        <v>81</v>
      </c>
    </row>
    <row r="16" spans="1:14">
      <c r="A16" s="28">
        <f>A15+1</f>
        <v>2</v>
      </c>
    </row>
    <row r="17" spans="1:17">
      <c r="A17" s="28">
        <f t="shared" ref="A17:A32" si="0">A16+1</f>
        <v>3</v>
      </c>
      <c r="C17" s="2" t="s">
        <v>82</v>
      </c>
      <c r="H17" s="7"/>
    </row>
    <row r="18" spans="1:17">
      <c r="A18" s="28">
        <f t="shared" si="0"/>
        <v>4</v>
      </c>
      <c r="C18" s="22" t="s">
        <v>83</v>
      </c>
      <c r="H18" s="43">
        <v>2980447.8400000008</v>
      </c>
      <c r="J18" s="43">
        <f>L18-H18</f>
        <v>119217.91360000009</v>
      </c>
      <c r="L18" s="43">
        <f>H18*1.04</f>
        <v>3099665.7536000009</v>
      </c>
      <c r="M18" s="13"/>
      <c r="N18" s="13"/>
    </row>
    <row r="19" spans="1:17">
      <c r="A19" s="28">
        <f t="shared" si="0"/>
        <v>5</v>
      </c>
      <c r="C19" s="22" t="s">
        <v>84</v>
      </c>
      <c r="H19" s="40">
        <v>14994092.923650004</v>
      </c>
      <c r="J19" s="44">
        <f>L19-H19</f>
        <v>599763.71694600023</v>
      </c>
      <c r="L19" s="43">
        <f>H19*1.04</f>
        <v>15593856.640596004</v>
      </c>
      <c r="M19" s="22"/>
      <c r="N19" s="22"/>
      <c r="P19" s="13"/>
      <c r="Q19" s="13"/>
    </row>
    <row r="20" spans="1:17">
      <c r="A20" s="28">
        <f t="shared" si="0"/>
        <v>6</v>
      </c>
      <c r="C20" s="22" t="s">
        <v>85</v>
      </c>
      <c r="H20" s="45">
        <f>SUM(H18:H19)</f>
        <v>17974540.763650004</v>
      </c>
      <c r="J20" s="43">
        <f>SUM(J18:J19)</f>
        <v>718981.63054600032</v>
      </c>
      <c r="L20" s="45">
        <f>SUM(L18:L19)</f>
        <v>18693522.394196004</v>
      </c>
      <c r="P20" s="13"/>
      <c r="Q20" s="13"/>
    </row>
    <row r="21" spans="1:17">
      <c r="A21" s="28">
        <f t="shared" si="0"/>
        <v>7</v>
      </c>
      <c r="H21" s="40"/>
      <c r="J21" s="40"/>
      <c r="L21" s="40"/>
      <c r="P21" s="13"/>
      <c r="Q21" s="13"/>
    </row>
    <row r="22" spans="1:17">
      <c r="A22" s="28">
        <f t="shared" si="0"/>
        <v>8</v>
      </c>
      <c r="C22" s="2" t="s">
        <v>23</v>
      </c>
      <c r="E22" t="s">
        <v>109</v>
      </c>
      <c r="F22" t="s">
        <v>110</v>
      </c>
      <c r="G22" t="s">
        <v>86</v>
      </c>
    </row>
    <row r="23" spans="1:17">
      <c r="A23" s="28">
        <f t="shared" si="0"/>
        <v>9</v>
      </c>
      <c r="C23" s="22" t="s">
        <v>87</v>
      </c>
      <c r="D23" s="13"/>
      <c r="E23" s="13">
        <v>1.1599999999999999E-2</v>
      </c>
      <c r="F23" s="13">
        <v>1.2200000000000001E-2</v>
      </c>
      <c r="G23" s="13">
        <v>1.1900000000000003E-2</v>
      </c>
      <c r="H23" s="43">
        <f>H$18*G23</f>
        <v>35467.329296000018</v>
      </c>
      <c r="J23" s="43">
        <f>L23-H23</f>
        <v>1418.693171840001</v>
      </c>
      <c r="L23" s="43">
        <f>L$18*G23</f>
        <v>36886.022467840019</v>
      </c>
      <c r="P23" s="13"/>
      <c r="Q23" s="13"/>
    </row>
    <row r="24" spans="1:17">
      <c r="A24" s="28">
        <f t="shared" si="0"/>
        <v>10</v>
      </c>
      <c r="C24" s="22" t="s">
        <v>88</v>
      </c>
      <c r="D24" s="13"/>
      <c r="E24" s="13"/>
      <c r="F24" s="13"/>
      <c r="G24" s="13"/>
      <c r="H24" s="43">
        <v>1211906</v>
      </c>
      <c r="J24" s="40">
        <f>L24-H24</f>
        <v>48476.239999999991</v>
      </c>
      <c r="L24" s="46">
        <f>H24*1.04</f>
        <v>1260382.24</v>
      </c>
      <c r="P24" s="13"/>
      <c r="Q24" s="13"/>
    </row>
    <row r="25" spans="1:17">
      <c r="A25" s="28">
        <f t="shared" si="0"/>
        <v>11</v>
      </c>
      <c r="C25" s="22" t="s">
        <v>89</v>
      </c>
      <c r="D25" s="13"/>
      <c r="E25" s="13">
        <v>0.2268</v>
      </c>
      <c r="F25" s="13">
        <v>0.24780000000000002</v>
      </c>
      <c r="G25" s="13">
        <v>0.23730000000000001</v>
      </c>
      <c r="H25" s="44">
        <f>H$18*G25</f>
        <v>707260.27243200026</v>
      </c>
      <c r="J25" s="44">
        <f>L25-H25</f>
        <v>28290.410897279973</v>
      </c>
      <c r="L25" s="44">
        <f>L$18*G25</f>
        <v>735550.68332928023</v>
      </c>
      <c r="P25" s="13"/>
    </row>
    <row r="26" spans="1:17">
      <c r="A26" s="28">
        <f t="shared" si="0"/>
        <v>12</v>
      </c>
      <c r="C26" s="22" t="s">
        <v>90</v>
      </c>
      <c r="H26" s="43">
        <f>SUM(H23:H25)</f>
        <v>1954633.6017280002</v>
      </c>
      <c r="J26" s="43">
        <f>SUM(J23:J25)</f>
        <v>78185.344069119965</v>
      </c>
      <c r="L26" s="43">
        <f>SUM(L23:L25)</f>
        <v>2032818.9457971202</v>
      </c>
    </row>
    <row r="27" spans="1:17">
      <c r="A27" s="28">
        <f t="shared" si="0"/>
        <v>13</v>
      </c>
    </row>
    <row r="28" spans="1:17">
      <c r="A28" s="28">
        <f t="shared" si="0"/>
        <v>14</v>
      </c>
      <c r="C28" s="2" t="s">
        <v>30</v>
      </c>
      <c r="H28" s="40"/>
      <c r="I28" s="11"/>
      <c r="J28" s="40"/>
      <c r="L28" s="40" t="s">
        <v>29</v>
      </c>
      <c r="N28" s="13"/>
    </row>
    <row r="29" spans="1:17">
      <c r="A29" s="28">
        <f t="shared" si="0"/>
        <v>15</v>
      </c>
      <c r="C29" s="22" t="s">
        <v>91</v>
      </c>
      <c r="H29" s="43">
        <v>288003.18999999994</v>
      </c>
      <c r="I29" s="11"/>
      <c r="J29" s="43">
        <f>L29-H29</f>
        <v>11520.127600000007</v>
      </c>
      <c r="L29" s="43">
        <v>299523.31759999995</v>
      </c>
      <c r="N29" s="13"/>
    </row>
    <row r="30" spans="1:17">
      <c r="A30" s="28">
        <f t="shared" si="0"/>
        <v>16</v>
      </c>
      <c r="C30" s="22" t="s">
        <v>92</v>
      </c>
      <c r="H30" s="45">
        <f>SUM(H29:H29)</f>
        <v>288003.18999999994</v>
      </c>
      <c r="J30" s="43">
        <f>SUM(J29:J29)</f>
        <v>11520.127600000007</v>
      </c>
      <c r="L30" s="45">
        <f>SUM(L29:L29)</f>
        <v>299523.31759999995</v>
      </c>
    </row>
    <row r="31" spans="1:17">
      <c r="A31" s="28">
        <f t="shared" si="0"/>
        <v>17</v>
      </c>
      <c r="H31" s="40"/>
      <c r="J31" s="40"/>
      <c r="L31" s="40" t="s">
        <v>29</v>
      </c>
    </row>
    <row r="32" spans="1:17" ht="15.75" thickBot="1">
      <c r="A32" s="28">
        <f t="shared" si="0"/>
        <v>18</v>
      </c>
      <c r="C32" s="22" t="s">
        <v>93</v>
      </c>
      <c r="H32" s="47">
        <f>(+H20+H26+H30)</f>
        <v>20217177.555378005</v>
      </c>
      <c r="J32" s="47">
        <f>(+J20+J26+J30)</f>
        <v>808687.10221512034</v>
      </c>
      <c r="L32" s="47">
        <f>(+L20+L26+L30)</f>
        <v>21025864.657593124</v>
      </c>
    </row>
    <row r="33" spans="1:12" ht="15.75" thickTop="1">
      <c r="H33" s="40"/>
      <c r="J33" s="40"/>
      <c r="L33" s="22" t="s">
        <v>29</v>
      </c>
    </row>
    <row r="34" spans="1:12" ht="15.75">
      <c r="A34" s="14" t="s">
        <v>94</v>
      </c>
      <c r="B34" s="22"/>
      <c r="H34" s="40"/>
      <c r="J34" s="40"/>
      <c r="L34" s="40"/>
    </row>
    <row r="35" spans="1:12">
      <c r="B35" s="22"/>
      <c r="H35" s="40"/>
      <c r="J35" s="40"/>
      <c r="L35" s="40"/>
    </row>
    <row r="36" spans="1:12">
      <c r="A36" s="15" t="s">
        <v>95</v>
      </c>
      <c r="C36" s="22"/>
      <c r="H36" s="40"/>
      <c r="J36" s="40"/>
      <c r="L36" s="40"/>
    </row>
    <row r="37" spans="1:12">
      <c r="A37" t="s">
        <v>96</v>
      </c>
      <c r="H37" s="40"/>
      <c r="J37" s="40"/>
      <c r="L37" s="40"/>
    </row>
    <row r="38" spans="1:12">
      <c r="A38" t="s">
        <v>97</v>
      </c>
      <c r="H38" s="40"/>
      <c r="J38" s="40"/>
      <c r="L38" s="40"/>
    </row>
    <row r="39" spans="1:12">
      <c r="A39" t="s">
        <v>98</v>
      </c>
      <c r="I39" s="13"/>
    </row>
    <row r="40" spans="1:12">
      <c r="A40" t="s">
        <v>99</v>
      </c>
    </row>
    <row r="41" spans="1:12">
      <c r="A41" t="s">
        <v>100</v>
      </c>
    </row>
    <row r="44" spans="1:12">
      <c r="A44" t="s">
        <v>101</v>
      </c>
    </row>
    <row r="45" spans="1:12">
      <c r="A45" s="16"/>
    </row>
    <row r="48" spans="1:12">
      <c r="A48" t="s">
        <v>102</v>
      </c>
    </row>
    <row r="49" spans="1:3">
      <c r="A49" s="41" t="s">
        <v>114</v>
      </c>
    </row>
    <row r="50" spans="1:3">
      <c r="A50" s="17" t="s">
        <v>103</v>
      </c>
      <c r="B50" s="18"/>
      <c r="C50" s="41"/>
    </row>
    <row r="65" customFormat="1"/>
    <row r="66" customFormat="1"/>
  </sheetData>
  <pageMargins left="0.5" right="0.5" top="0.75" bottom="0.5" header="0.25" footer="0.5"/>
  <pageSetup scale="74" orientation="landscape" r:id="rId1"/>
  <headerFooter alignWithMargins="0">
    <oddHeader>&amp;R&amp;8CASE NO. 2024-00276 
FR 16(8)(g)
ATTACHMENT 1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G.1</vt:lpstr>
      <vt:lpstr>G.2</vt:lpstr>
      <vt:lpstr>G.3</vt:lpstr>
      <vt:lpstr>G.1!Print_Area</vt:lpstr>
      <vt:lpstr>G.2!Print_Area</vt:lpstr>
      <vt:lpstr>G.3!Print_Area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Wilen, Eric</dc:creator>
  <cp:lastModifiedBy>Wilen, Eric</cp:lastModifiedBy>
  <cp:lastPrinted>2024-09-26T03:47:05Z</cp:lastPrinted>
  <dcterms:created xsi:type="dcterms:W3CDTF">2024-09-25T01:14:09Z</dcterms:created>
  <dcterms:modified xsi:type="dcterms:W3CDTF">2024-09-26T03:47:26Z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