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Model\Model Tabs\"/>
    </mc:Choice>
  </mc:AlternateContent>
  <xr:revisionPtr revIDLastSave="0" documentId="13_ncr:1_{07115D96-3C43-46AF-A707-D6B8B1A91C9A}" xr6:coauthVersionLast="47" xr6:coauthVersionMax="47" xr10:uidLastSave="{00000000-0000-0000-0000-000000000000}"/>
  <bookViews>
    <workbookView xWindow="-28920" yWindow="-120" windowWidth="29040" windowHeight="15720" tabRatio="869" xr2:uid="{523151D9-5509-4C35-8694-5BEA079233B6}"/>
  </bookViews>
  <sheets>
    <sheet name="Cover C" sheetId="1" r:id="rId1"/>
    <sheet name="C.1" sheetId="2" r:id="rId2"/>
    <sheet name="C.2" sheetId="3" r:id="rId3"/>
    <sheet name="C.2.1 B" sheetId="4" r:id="rId4"/>
    <sheet name="C.2.1 F" sheetId="5" r:id="rId5"/>
    <sheet name="C.2.2 B 09" sheetId="6" r:id="rId6"/>
    <sheet name="C.2.2 B 02" sheetId="7" r:id="rId7"/>
    <sheet name="C.2.2 B 12" sheetId="8" r:id="rId8"/>
    <sheet name="C.2.2 B 91" sheetId="9" r:id="rId9"/>
    <sheet name="C.2.2-F 09" sheetId="10" r:id="rId10"/>
    <sheet name="C.2.2-F 02" sheetId="11" r:id="rId11"/>
    <sheet name="C.2.2-F 12" sheetId="12" r:id="rId12"/>
    <sheet name="C.2.2-F 91" sheetId="13" r:id="rId13"/>
    <sheet name="C.2.3 B" sheetId="14" r:id="rId14"/>
    <sheet name="C.2.3 F" sheetId="15" r:id="rId15"/>
    <sheet name="WP C.2.3 F" sheetId="16" r:id="rId16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1">'C.1'!$A$1:$J$31</definedName>
    <definedName name="_xlnm.Print_Area" localSheetId="2">'C.2'!$A$1:$O$34</definedName>
    <definedName name="_xlnm.Print_Area" localSheetId="3">'C.2.1 B'!$A$1:$D$183</definedName>
    <definedName name="_xlnm.Print_Area" localSheetId="4">'C.2.1 F'!$A$1:$D$178</definedName>
    <definedName name="_xlnm.Print_Area" localSheetId="6">'C.2.2 B 02'!$A$12:$P$50</definedName>
    <definedName name="_xlnm.Print_Area" localSheetId="5">'C.2.2 B 09'!$A$12:$P$118</definedName>
    <definedName name="_xlnm.Print_Area" localSheetId="7">'C.2.2 B 12'!$A$12:$P$41</definedName>
    <definedName name="_xlnm.Print_Area" localSheetId="8">'C.2.2 B 91'!$A$12:$P$66</definedName>
    <definedName name="_xlnm.Print_Area" localSheetId="10">'C.2.2-F 02'!$A$12:$P$50</definedName>
    <definedName name="_xlnm.Print_Area" localSheetId="9">'C.2.2-F 09'!$A$12:$P$117</definedName>
    <definedName name="_xlnm.Print_Area" localSheetId="11">'C.2.2-F 12'!$A$12:$P$41</definedName>
    <definedName name="_xlnm.Print_Area" localSheetId="12">'C.2.2-F 91'!$A$12:$P$66</definedName>
    <definedName name="_xlnm.Print_Area" localSheetId="13">'C.2.3 B'!$A$1:$O$58</definedName>
    <definedName name="_xlnm.Print_Area" localSheetId="14">'C.2.3 F'!$A$1:$O$60</definedName>
    <definedName name="_xlnm.Print_Area" localSheetId="0">'Cover C'!$A$1:$C$20</definedName>
    <definedName name="_xlnm.Print_Area" localSheetId="15">'WP C.2.3 F'!$A$1:$E$29</definedName>
    <definedName name="_xlnm.Print_Titles" localSheetId="3">'C.2.1 B'!$1:$12</definedName>
    <definedName name="_xlnm.Print_Titles" localSheetId="4">'C.2.1 F'!$1:$12</definedName>
    <definedName name="_xlnm.Print_Titles" localSheetId="6">'C.2.2 B 02'!$1:$11</definedName>
    <definedName name="_xlnm.Print_Titles" localSheetId="5">'C.2.2 B 09'!$1:$11</definedName>
    <definedName name="_xlnm.Print_Titles" localSheetId="7">'C.2.2 B 12'!$1:$11</definedName>
    <definedName name="_xlnm.Print_Titles" localSheetId="8">'C.2.2 B 91'!$1:$11</definedName>
    <definedName name="_xlnm.Print_Titles" localSheetId="10">'C.2.2-F 02'!$1:$11</definedName>
    <definedName name="_xlnm.Print_Titles" localSheetId="9">'C.2.2-F 09'!$1:$11</definedName>
    <definedName name="_xlnm.Print_Titles" localSheetId="11">'C.2.2-F 12'!$1:$11</definedName>
    <definedName name="_xlnm.Print_Titles" localSheetId="12">'C.2.2-F 91'!$1:$11</definedName>
    <definedName name="_xlnm.Print_Titles" localSheetId="13">'C.2.3 B'!$1:$10</definedName>
    <definedName name="_xlnm.Print_Titles" localSheetId="14">'C.2.3 F'!$1:$10</definedName>
    <definedName name="ROR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13" i="16"/>
  <c r="E8" i="16"/>
  <c r="A8" i="16"/>
  <c r="A6" i="16"/>
  <c r="M58" i="15"/>
  <c r="H58" i="15"/>
  <c r="E58" i="15"/>
  <c r="L56" i="15"/>
  <c r="G56" i="15"/>
  <c r="N56" i="15"/>
  <c r="M56" i="15"/>
  <c r="K56" i="15"/>
  <c r="J56" i="15"/>
  <c r="H56" i="15"/>
  <c r="F56" i="15"/>
  <c r="E56" i="15"/>
  <c r="O51" i="15"/>
  <c r="O46" i="15"/>
  <c r="G46" i="15"/>
  <c r="N44" i="15"/>
  <c r="I44" i="15"/>
  <c r="G44" i="15"/>
  <c r="O42" i="15"/>
  <c r="M44" i="15"/>
  <c r="L44" i="15"/>
  <c r="K44" i="15"/>
  <c r="J44" i="15"/>
  <c r="H44" i="15"/>
  <c r="F44" i="15"/>
  <c r="E44" i="15"/>
  <c r="D44" i="15"/>
  <c r="M36" i="15"/>
  <c r="H36" i="15"/>
  <c r="E36" i="15"/>
  <c r="L34" i="15"/>
  <c r="D34" i="15"/>
  <c r="O32" i="15"/>
  <c r="O31" i="15"/>
  <c r="J34" i="15"/>
  <c r="O30" i="15"/>
  <c r="N34" i="15"/>
  <c r="M34" i="15"/>
  <c r="I34" i="15"/>
  <c r="H34" i="15"/>
  <c r="F34" i="15"/>
  <c r="E34" i="15"/>
  <c r="N58" i="15"/>
  <c r="L58" i="15"/>
  <c r="K58" i="15"/>
  <c r="J58" i="15"/>
  <c r="I58" i="15"/>
  <c r="G58" i="15"/>
  <c r="D58" i="15"/>
  <c r="C58" i="15"/>
  <c r="N36" i="15"/>
  <c r="L36" i="15"/>
  <c r="K36" i="15"/>
  <c r="J36" i="15"/>
  <c r="I36" i="15"/>
  <c r="G36" i="15"/>
  <c r="F36" i="15"/>
  <c r="D36" i="15"/>
  <c r="C36" i="15"/>
  <c r="N46" i="15"/>
  <c r="M46" i="15"/>
  <c r="L46" i="15"/>
  <c r="K46" i="15"/>
  <c r="J46" i="15"/>
  <c r="I46" i="15"/>
  <c r="H46" i="15"/>
  <c r="F46" i="15"/>
  <c r="E46" i="15"/>
  <c r="D46" i="15"/>
  <c r="O20" i="15"/>
  <c r="O17" i="15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O10" i="15"/>
  <c r="C10" i="15"/>
  <c r="N9" i="15"/>
  <c r="M9" i="15"/>
  <c r="L9" i="15"/>
  <c r="K9" i="15"/>
  <c r="J9" i="15"/>
  <c r="I9" i="15"/>
  <c r="H9" i="15"/>
  <c r="G9" i="15"/>
  <c r="F9" i="15"/>
  <c r="E9" i="15"/>
  <c r="D9" i="15"/>
  <c r="C9" i="15"/>
  <c r="O8" i="15"/>
  <c r="A8" i="15"/>
  <c r="A6" i="15"/>
  <c r="M58" i="14"/>
  <c r="H58" i="14"/>
  <c r="E58" i="14"/>
  <c r="G56" i="14"/>
  <c r="F56" i="14"/>
  <c r="O54" i="14"/>
  <c r="L56" i="14"/>
  <c r="D56" i="14"/>
  <c r="O52" i="14"/>
  <c r="N56" i="14"/>
  <c r="M56" i="14"/>
  <c r="K56" i="14"/>
  <c r="J56" i="14"/>
  <c r="H56" i="14"/>
  <c r="C56" i="14"/>
  <c r="G46" i="14"/>
  <c r="L44" i="14"/>
  <c r="I44" i="14"/>
  <c r="D44" i="14"/>
  <c r="H44" i="14"/>
  <c r="N44" i="14"/>
  <c r="K44" i="14"/>
  <c r="J44" i="14"/>
  <c r="G44" i="14"/>
  <c r="F44" i="14"/>
  <c r="M36" i="14"/>
  <c r="H36" i="14"/>
  <c r="E36" i="14"/>
  <c r="G34" i="14"/>
  <c r="N34" i="14"/>
  <c r="F34" i="14"/>
  <c r="O32" i="14"/>
  <c r="L34" i="14"/>
  <c r="D34" i="14"/>
  <c r="O30" i="14"/>
  <c r="M34" i="14"/>
  <c r="K34" i="14"/>
  <c r="J34" i="14"/>
  <c r="H34" i="14"/>
  <c r="E34" i="14"/>
  <c r="N58" i="14"/>
  <c r="L58" i="14"/>
  <c r="K58" i="14"/>
  <c r="J58" i="14"/>
  <c r="I58" i="14"/>
  <c r="G58" i="14"/>
  <c r="F58" i="14"/>
  <c r="D58" i="14"/>
  <c r="C58" i="14"/>
  <c r="N36" i="14"/>
  <c r="L36" i="14"/>
  <c r="K36" i="14"/>
  <c r="J36" i="14"/>
  <c r="I36" i="14"/>
  <c r="G36" i="14"/>
  <c r="F36" i="14"/>
  <c r="D36" i="14"/>
  <c r="C36" i="14"/>
  <c r="N46" i="14"/>
  <c r="M46" i="14"/>
  <c r="L46" i="14"/>
  <c r="K46" i="14"/>
  <c r="J46" i="14"/>
  <c r="I46" i="14"/>
  <c r="H46" i="14"/>
  <c r="F46" i="14"/>
  <c r="E46" i="14"/>
  <c r="D46" i="14"/>
  <c r="A20" i="14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G24" i="14"/>
  <c r="A16" i="14"/>
  <c r="A17" i="14" s="1"/>
  <c r="A18" i="14" s="1"/>
  <c r="A19" i="14" s="1"/>
  <c r="O15" i="14"/>
  <c r="M24" i="14"/>
  <c r="K24" i="14"/>
  <c r="H24" i="14"/>
  <c r="E24" i="14"/>
  <c r="C24" i="14"/>
  <c r="A13" i="14"/>
  <c r="A14" i="14" s="1"/>
  <c r="A15" i="14" s="1"/>
  <c r="O10" i="14"/>
  <c r="C10" i="14"/>
  <c r="N9" i="14"/>
  <c r="M9" i="14"/>
  <c r="L9" i="14"/>
  <c r="K9" i="14"/>
  <c r="J9" i="14"/>
  <c r="I9" i="14"/>
  <c r="H9" i="14"/>
  <c r="G9" i="14"/>
  <c r="F9" i="14"/>
  <c r="E9" i="14"/>
  <c r="D9" i="14"/>
  <c r="C9" i="14"/>
  <c r="A8" i="14"/>
  <c r="A7" i="14"/>
  <c r="A6" i="14"/>
  <c r="E62" i="13"/>
  <c r="F62" i="13" s="1"/>
  <c r="G62" i="13" s="1"/>
  <c r="H62" i="13" s="1"/>
  <c r="I62" i="13" s="1"/>
  <c r="J62" i="13" s="1"/>
  <c r="K62" i="13" s="1"/>
  <c r="L62" i="13" s="1"/>
  <c r="M62" i="13" s="1"/>
  <c r="N62" i="13" s="1"/>
  <c r="O62" i="13" s="1"/>
  <c r="C61" i="13"/>
  <c r="B61" i="13"/>
  <c r="P57" i="13"/>
  <c r="P55" i="13"/>
  <c r="P54" i="13"/>
  <c r="P51" i="13"/>
  <c r="P49" i="13"/>
  <c r="P48" i="13"/>
  <c r="P47" i="13"/>
  <c r="P46" i="13"/>
  <c r="P43" i="13"/>
  <c r="P41" i="13"/>
  <c r="P39" i="13"/>
  <c r="P37" i="13"/>
  <c r="P35" i="13"/>
  <c r="A34" i="13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P33" i="13"/>
  <c r="P31" i="13"/>
  <c r="P30" i="13"/>
  <c r="P27" i="13"/>
  <c r="P25" i="13"/>
  <c r="P23" i="13"/>
  <c r="P21" i="13"/>
  <c r="P19" i="13"/>
  <c r="N50" i="13"/>
  <c r="N61" i="13" s="1"/>
  <c r="F50" i="13"/>
  <c r="F61" i="13" s="1"/>
  <c r="A18" i="13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P17" i="13"/>
  <c r="I50" i="13"/>
  <c r="I61" i="13" s="1"/>
  <c r="I63" i="13" s="1"/>
  <c r="P14" i="13"/>
  <c r="A13" i="13"/>
  <c r="A14" i="13" s="1"/>
  <c r="A15" i="13" s="1"/>
  <c r="A16" i="13" s="1"/>
  <c r="A17" i="13" s="1"/>
  <c r="P12" i="13"/>
  <c r="P10" i="13"/>
  <c r="D10" i="13"/>
  <c r="P8" i="13"/>
  <c r="A8" i="13"/>
  <c r="A6" i="13"/>
  <c r="K37" i="12"/>
  <c r="L37" i="12" s="1"/>
  <c r="M37" i="12" s="1"/>
  <c r="N37" i="12" s="1"/>
  <c r="O37" i="12" s="1"/>
  <c r="H37" i="12"/>
  <c r="I37" i="12" s="1"/>
  <c r="J37" i="12" s="1"/>
  <c r="E37" i="12"/>
  <c r="F37" i="12" s="1"/>
  <c r="G37" i="12" s="1"/>
  <c r="C36" i="12"/>
  <c r="B36" i="12"/>
  <c r="P32" i="12"/>
  <c r="P31" i="12"/>
  <c r="P29" i="12"/>
  <c r="P27" i="12"/>
  <c r="P26" i="12"/>
  <c r="P23" i="12"/>
  <c r="P22" i="12"/>
  <c r="P21" i="12"/>
  <c r="P19" i="12"/>
  <c r="H25" i="12"/>
  <c r="H36" i="12" s="1"/>
  <c r="H38" i="12" s="1"/>
  <c r="P16" i="12"/>
  <c r="J25" i="12"/>
  <c r="J36" i="12" s="1"/>
  <c r="J38" i="12" s="1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P13" i="12"/>
  <c r="A13" i="12"/>
  <c r="P12" i="12"/>
  <c r="P10" i="12"/>
  <c r="D10" i="12"/>
  <c r="P8" i="12"/>
  <c r="A8" i="12"/>
  <c r="A6" i="12"/>
  <c r="M46" i="11"/>
  <c r="N46" i="11" s="1"/>
  <c r="O46" i="11" s="1"/>
  <c r="E46" i="11"/>
  <c r="F46" i="11" s="1"/>
  <c r="G46" i="11" s="1"/>
  <c r="H46" i="11" s="1"/>
  <c r="I46" i="11" s="1"/>
  <c r="J46" i="11" s="1"/>
  <c r="K46" i="11" s="1"/>
  <c r="L46" i="11" s="1"/>
  <c r="C45" i="11"/>
  <c r="B45" i="11"/>
  <c r="P40" i="11"/>
  <c r="P39" i="11"/>
  <c r="P38" i="11"/>
  <c r="I34" i="11"/>
  <c r="I45" i="11" s="1"/>
  <c r="I47" i="11" s="1"/>
  <c r="P32" i="11"/>
  <c r="P31" i="11"/>
  <c r="P28" i="11"/>
  <c r="P27" i="11"/>
  <c r="P26" i="11"/>
  <c r="P24" i="11"/>
  <c r="P22" i="11"/>
  <c r="P21" i="11"/>
  <c r="P20" i="11"/>
  <c r="P18" i="11"/>
  <c r="P16" i="11"/>
  <c r="P15" i="11"/>
  <c r="N34" i="11"/>
  <c r="N45" i="11" s="1"/>
  <c r="N47" i="11" s="1"/>
  <c r="I43" i="11"/>
  <c r="F34" i="11"/>
  <c r="F45" i="11" s="1"/>
  <c r="F47" i="11" s="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P13" i="11"/>
  <c r="A13" i="11"/>
  <c r="P12" i="11"/>
  <c r="P10" i="11"/>
  <c r="D10" i="11"/>
  <c r="P8" i="11"/>
  <c r="A8" i="11"/>
  <c r="A6" i="11"/>
  <c r="P112" i="10"/>
  <c r="P110" i="10"/>
  <c r="P108" i="10"/>
  <c r="P106" i="10"/>
  <c r="P105" i="10"/>
  <c r="P104" i="10"/>
  <c r="P102" i="10"/>
  <c r="P101" i="10"/>
  <c r="P100" i="10"/>
  <c r="P99" i="10"/>
  <c r="P98" i="10"/>
  <c r="D146" i="5" s="1"/>
  <c r="P95" i="10"/>
  <c r="P93" i="10"/>
  <c r="P91" i="10"/>
  <c r="P90" i="10"/>
  <c r="P89" i="10"/>
  <c r="D125" i="5" s="1"/>
  <c r="P88" i="10"/>
  <c r="P86" i="10"/>
  <c r="P85" i="10"/>
  <c r="P83" i="10"/>
  <c r="P82" i="10"/>
  <c r="P81" i="10"/>
  <c r="P80" i="10"/>
  <c r="P78" i="10"/>
  <c r="P77" i="10"/>
  <c r="P74" i="10"/>
  <c r="P73" i="10"/>
  <c r="D106" i="5" s="1"/>
  <c r="P71" i="10"/>
  <c r="P69" i="10"/>
  <c r="P66" i="10"/>
  <c r="P65" i="10"/>
  <c r="P63" i="10"/>
  <c r="P62" i="10"/>
  <c r="P61" i="10"/>
  <c r="P58" i="10"/>
  <c r="P57" i="10"/>
  <c r="P55" i="10"/>
  <c r="P54" i="10"/>
  <c r="P53" i="10"/>
  <c r="A52" i="10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P50" i="10"/>
  <c r="P49" i="10"/>
  <c r="D43" i="5" s="1"/>
  <c r="P47" i="10"/>
  <c r="P46" i="10"/>
  <c r="P45" i="10"/>
  <c r="P42" i="10"/>
  <c r="D93" i="5" s="1"/>
  <c r="P41" i="10"/>
  <c r="P39" i="10"/>
  <c r="P38" i="10"/>
  <c r="P37" i="10"/>
  <c r="P34" i="10"/>
  <c r="P33" i="10"/>
  <c r="P31" i="10"/>
  <c r="P30" i="10"/>
  <c r="P29" i="10"/>
  <c r="P28" i="10"/>
  <c r="P26" i="10"/>
  <c r="P25" i="10"/>
  <c r="P20" i="10"/>
  <c r="P19" i="10"/>
  <c r="I94" i="10"/>
  <c r="A14" i="10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13" i="10"/>
  <c r="P12" i="10"/>
  <c r="G10" i="10"/>
  <c r="F10" i="10"/>
  <c r="E10" i="10"/>
  <c r="D10" i="15" s="1"/>
  <c r="A8" i="10"/>
  <c r="A6" i="10"/>
  <c r="C61" i="9"/>
  <c r="B61" i="9"/>
  <c r="H59" i="9"/>
  <c r="H61" i="9" s="1"/>
  <c r="H62" i="9" s="1"/>
  <c r="I55" i="9"/>
  <c r="H55" i="9"/>
  <c r="G55" i="9"/>
  <c r="F55" i="9"/>
  <c r="E55" i="9"/>
  <c r="D55" i="9"/>
  <c r="P54" i="9"/>
  <c r="P53" i="9"/>
  <c r="P52" i="9"/>
  <c r="P51" i="9"/>
  <c r="I61" i="9"/>
  <c r="I62" i="9" s="1"/>
  <c r="P48" i="9"/>
  <c r="P46" i="9"/>
  <c r="P45" i="9"/>
  <c r="P44" i="9"/>
  <c r="P43" i="9"/>
  <c r="P41" i="9"/>
  <c r="P38" i="9"/>
  <c r="I37" i="9"/>
  <c r="H37" i="9"/>
  <c r="G37" i="9"/>
  <c r="P37" i="9" s="1"/>
  <c r="F37" i="9"/>
  <c r="E37" i="9"/>
  <c r="D37" i="9"/>
  <c r="I36" i="9"/>
  <c r="H36" i="9"/>
  <c r="G36" i="9"/>
  <c r="F36" i="9"/>
  <c r="E36" i="9"/>
  <c r="D36" i="9"/>
  <c r="P36" i="9" s="1"/>
  <c r="P34" i="9"/>
  <c r="P33" i="9"/>
  <c r="I31" i="9"/>
  <c r="H31" i="9"/>
  <c r="G31" i="9"/>
  <c r="F31" i="9"/>
  <c r="E31" i="9"/>
  <c r="D31" i="9"/>
  <c r="A31" i="9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I30" i="9"/>
  <c r="H30" i="9"/>
  <c r="P30" i="9" s="1"/>
  <c r="G30" i="9"/>
  <c r="F30" i="9"/>
  <c r="E30" i="9"/>
  <c r="D30" i="9"/>
  <c r="P29" i="9"/>
  <c r="P28" i="9"/>
  <c r="I27" i="9"/>
  <c r="H27" i="9"/>
  <c r="G27" i="9"/>
  <c r="F27" i="9"/>
  <c r="E27" i="9"/>
  <c r="D27" i="9"/>
  <c r="P27" i="9" s="1"/>
  <c r="I25" i="9"/>
  <c r="H25" i="9"/>
  <c r="G25" i="9"/>
  <c r="P25" i="9" s="1"/>
  <c r="F25" i="9"/>
  <c r="E25" i="9"/>
  <c r="D25" i="9"/>
  <c r="P22" i="9"/>
  <c r="I21" i="9"/>
  <c r="H21" i="9"/>
  <c r="G21" i="9"/>
  <c r="P21" i="9" s="1"/>
  <c r="F21" i="9"/>
  <c r="E21" i="9"/>
  <c r="D21" i="9"/>
  <c r="P20" i="9"/>
  <c r="P19" i="9"/>
  <c r="P17" i="9"/>
  <c r="P16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O14" i="9"/>
  <c r="N14" i="9"/>
  <c r="M14" i="9"/>
  <c r="L14" i="9"/>
  <c r="K14" i="9"/>
  <c r="J14" i="9"/>
  <c r="P14" i="9"/>
  <c r="A14" i="9"/>
  <c r="O13" i="9"/>
  <c r="N13" i="9"/>
  <c r="M13" i="9"/>
  <c r="L13" i="9"/>
  <c r="K13" i="9"/>
  <c r="J13" i="9"/>
  <c r="P13" i="9"/>
  <c r="A13" i="9"/>
  <c r="O12" i="9"/>
  <c r="N12" i="9"/>
  <c r="M12" i="9"/>
  <c r="L12" i="9"/>
  <c r="K12" i="9"/>
  <c r="J12" i="9"/>
  <c r="F59" i="9"/>
  <c r="F61" i="9" s="1"/>
  <c r="D59" i="9"/>
  <c r="D61" i="9" s="1"/>
  <c r="P10" i="9"/>
  <c r="D10" i="9"/>
  <c r="O9" i="9"/>
  <c r="N9" i="9"/>
  <c r="M9" i="9"/>
  <c r="L9" i="9"/>
  <c r="K9" i="9"/>
  <c r="J9" i="9"/>
  <c r="I9" i="9"/>
  <c r="H9" i="9"/>
  <c r="G9" i="9"/>
  <c r="F9" i="9"/>
  <c r="E9" i="9"/>
  <c r="D9" i="9"/>
  <c r="P8" i="9"/>
  <c r="F36" i="8"/>
  <c r="F37" i="8" s="1"/>
  <c r="C36" i="8"/>
  <c r="B36" i="8"/>
  <c r="G34" i="8"/>
  <c r="P32" i="8"/>
  <c r="P31" i="8"/>
  <c r="I30" i="8"/>
  <c r="H30" i="8"/>
  <c r="G30" i="8"/>
  <c r="F30" i="8"/>
  <c r="E30" i="8"/>
  <c r="D30" i="8"/>
  <c r="P29" i="8"/>
  <c r="P28" i="8"/>
  <c r="P27" i="8"/>
  <c r="P26" i="8"/>
  <c r="I36" i="8"/>
  <c r="I37" i="8" s="1"/>
  <c r="H36" i="8"/>
  <c r="H37" i="8" s="1"/>
  <c r="G36" i="8"/>
  <c r="G37" i="8" s="1"/>
  <c r="E36" i="8"/>
  <c r="E37" i="8" s="1"/>
  <c r="D36" i="8"/>
  <c r="P24" i="8"/>
  <c r="P23" i="8"/>
  <c r="P22" i="8"/>
  <c r="P21" i="8"/>
  <c r="P20" i="8"/>
  <c r="P19" i="8"/>
  <c r="I17" i="8"/>
  <c r="H17" i="8"/>
  <c r="P17" i="8" s="1"/>
  <c r="G17" i="8"/>
  <c r="F17" i="8"/>
  <c r="E17" i="8"/>
  <c r="D17" i="8"/>
  <c r="P16" i="8"/>
  <c r="P15" i="8"/>
  <c r="O25" i="8"/>
  <c r="O36" i="8" s="1"/>
  <c r="O38" i="8" s="1"/>
  <c r="P14" i="8"/>
  <c r="P13" i="8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P12" i="8"/>
  <c r="I34" i="8"/>
  <c r="H34" i="8"/>
  <c r="E34" i="8"/>
  <c r="P10" i="8"/>
  <c r="D10" i="8"/>
  <c r="O9" i="8"/>
  <c r="N9" i="8"/>
  <c r="M9" i="8"/>
  <c r="L9" i="8"/>
  <c r="K9" i="8"/>
  <c r="J9" i="8"/>
  <c r="I9" i="8"/>
  <c r="H9" i="8"/>
  <c r="G9" i="8"/>
  <c r="F9" i="8"/>
  <c r="E9" i="8"/>
  <c r="D9" i="8"/>
  <c r="P8" i="8"/>
  <c r="E45" i="7"/>
  <c r="E46" i="7" s="1"/>
  <c r="C45" i="7"/>
  <c r="B45" i="7"/>
  <c r="P42" i="7"/>
  <c r="P40" i="7"/>
  <c r="I39" i="7"/>
  <c r="H39" i="7"/>
  <c r="G39" i="7"/>
  <c r="F39" i="7"/>
  <c r="P39" i="7" s="1"/>
  <c r="E39" i="7"/>
  <c r="D39" i="7"/>
  <c r="P38" i="7"/>
  <c r="P37" i="7"/>
  <c r="P36" i="7"/>
  <c r="I45" i="7"/>
  <c r="H45" i="7"/>
  <c r="H46" i="7" s="1"/>
  <c r="G45" i="7"/>
  <c r="G46" i="7" s="1"/>
  <c r="F45" i="7"/>
  <c r="F46" i="7" s="1"/>
  <c r="P33" i="7"/>
  <c r="P32" i="7"/>
  <c r="I31" i="7"/>
  <c r="H31" i="7"/>
  <c r="G31" i="7"/>
  <c r="F31" i="7"/>
  <c r="E31" i="7"/>
  <c r="D31" i="7"/>
  <c r="P30" i="7"/>
  <c r="P29" i="7"/>
  <c r="P28" i="7"/>
  <c r="I27" i="7"/>
  <c r="H27" i="7"/>
  <c r="G27" i="7"/>
  <c r="F27" i="7"/>
  <c r="E27" i="7"/>
  <c r="D27" i="7"/>
  <c r="P26" i="7"/>
  <c r="P24" i="7"/>
  <c r="I23" i="7"/>
  <c r="H23" i="7"/>
  <c r="G23" i="7"/>
  <c r="F23" i="7"/>
  <c r="E23" i="7"/>
  <c r="D23" i="7"/>
  <c r="I22" i="7"/>
  <c r="H22" i="7"/>
  <c r="G22" i="7"/>
  <c r="F22" i="7"/>
  <c r="E22" i="7"/>
  <c r="D22" i="7"/>
  <c r="P22" i="7" s="1"/>
  <c r="P21" i="7"/>
  <c r="P20" i="7"/>
  <c r="I19" i="7"/>
  <c r="H19" i="7"/>
  <c r="G19" i="7"/>
  <c r="F19" i="7"/>
  <c r="E19" i="7"/>
  <c r="D19" i="7"/>
  <c r="P18" i="7"/>
  <c r="P17" i="7"/>
  <c r="P16" i="7"/>
  <c r="F43" i="7"/>
  <c r="P15" i="7"/>
  <c r="I14" i="7"/>
  <c r="H14" i="7"/>
  <c r="G14" i="7"/>
  <c r="F14" i="7"/>
  <c r="E14" i="7"/>
  <c r="D14" i="7"/>
  <c r="P14" i="7" s="1"/>
  <c r="O13" i="7"/>
  <c r="N13" i="7"/>
  <c r="M13" i="7"/>
  <c r="L13" i="7"/>
  <c r="K13" i="7"/>
  <c r="J13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O12" i="7"/>
  <c r="O34" i="7" s="1"/>
  <c r="O45" i="7" s="1"/>
  <c r="N12" i="7"/>
  <c r="M12" i="7"/>
  <c r="L12" i="7"/>
  <c r="K12" i="7"/>
  <c r="K34" i="7" s="1"/>
  <c r="J12" i="7"/>
  <c r="I43" i="7"/>
  <c r="H43" i="7"/>
  <c r="G43" i="7"/>
  <c r="E43" i="7"/>
  <c r="P10" i="7"/>
  <c r="D10" i="7"/>
  <c r="O9" i="7"/>
  <c r="N9" i="7"/>
  <c r="M9" i="7"/>
  <c r="L9" i="7"/>
  <c r="K9" i="7"/>
  <c r="J9" i="7"/>
  <c r="I9" i="7"/>
  <c r="H9" i="7"/>
  <c r="G9" i="7"/>
  <c r="F9" i="7"/>
  <c r="E9" i="7"/>
  <c r="D9" i="7"/>
  <c r="P8" i="7"/>
  <c r="I112" i="6"/>
  <c r="H112" i="6"/>
  <c r="G112" i="6"/>
  <c r="F112" i="6"/>
  <c r="E112" i="6"/>
  <c r="D112" i="6"/>
  <c r="P112" i="6" s="1"/>
  <c r="I111" i="6"/>
  <c r="H111" i="6"/>
  <c r="G111" i="6"/>
  <c r="F111" i="6"/>
  <c r="E111" i="6"/>
  <c r="D111" i="6"/>
  <c r="P110" i="6"/>
  <c r="D166" i="4" s="1"/>
  <c r="P108" i="6"/>
  <c r="P107" i="6"/>
  <c r="P106" i="6"/>
  <c r="D162" i="4" s="1"/>
  <c r="P104" i="6"/>
  <c r="D160" i="4" s="1"/>
  <c r="P102" i="6"/>
  <c r="D158" i="4" s="1"/>
  <c r="P101" i="6"/>
  <c r="P100" i="6"/>
  <c r="P98" i="6"/>
  <c r="I96" i="6"/>
  <c r="H96" i="6"/>
  <c r="G96" i="6"/>
  <c r="F96" i="6"/>
  <c r="E96" i="6"/>
  <c r="D96" i="6"/>
  <c r="P95" i="6"/>
  <c r="P94" i="6"/>
  <c r="P92" i="6"/>
  <c r="I91" i="6"/>
  <c r="H91" i="6"/>
  <c r="G91" i="6"/>
  <c r="F91" i="6"/>
  <c r="E91" i="6"/>
  <c r="P91" i="6" s="1"/>
  <c r="D91" i="6"/>
  <c r="I90" i="6"/>
  <c r="H90" i="6"/>
  <c r="G90" i="6"/>
  <c r="F90" i="6"/>
  <c r="E90" i="6"/>
  <c r="D90" i="6"/>
  <c r="P90" i="6" s="1"/>
  <c r="P88" i="6"/>
  <c r="D129" i="4" s="1"/>
  <c r="I86" i="6"/>
  <c r="H86" i="6"/>
  <c r="G86" i="6"/>
  <c r="F86" i="6"/>
  <c r="E86" i="6"/>
  <c r="D86" i="6"/>
  <c r="P84" i="6"/>
  <c r="D125" i="4" s="1"/>
  <c r="P83" i="6"/>
  <c r="P82" i="6"/>
  <c r="P80" i="6"/>
  <c r="P78" i="6"/>
  <c r="D116" i="4" s="1"/>
  <c r="P74" i="6"/>
  <c r="D112" i="4" s="1"/>
  <c r="I73" i="6"/>
  <c r="H73" i="6"/>
  <c r="G73" i="6"/>
  <c r="F73" i="6"/>
  <c r="E73" i="6"/>
  <c r="D73" i="6"/>
  <c r="P73" i="6" s="1"/>
  <c r="P72" i="6"/>
  <c r="P71" i="6"/>
  <c r="D109" i="4" s="1"/>
  <c r="P70" i="6"/>
  <c r="D108" i="4" s="1"/>
  <c r="I69" i="6"/>
  <c r="H69" i="6"/>
  <c r="G69" i="6"/>
  <c r="F69" i="6"/>
  <c r="E69" i="6"/>
  <c r="D69" i="6"/>
  <c r="I68" i="6"/>
  <c r="H68" i="6"/>
  <c r="G68" i="6"/>
  <c r="F68" i="6"/>
  <c r="E68" i="6"/>
  <c r="D68" i="6"/>
  <c r="P67" i="6"/>
  <c r="P66" i="6"/>
  <c r="D72" i="4" s="1"/>
  <c r="P64" i="6"/>
  <c r="D70" i="4" s="1"/>
  <c r="I63" i="6"/>
  <c r="H63" i="6"/>
  <c r="G63" i="6"/>
  <c r="F63" i="6"/>
  <c r="E63" i="6"/>
  <c r="D63" i="6"/>
  <c r="I62" i="6"/>
  <c r="H62" i="6"/>
  <c r="G62" i="6"/>
  <c r="P62" i="6" s="1"/>
  <c r="D68" i="4" s="1"/>
  <c r="F62" i="6"/>
  <c r="E62" i="6"/>
  <c r="D62" i="6"/>
  <c r="I60" i="6"/>
  <c r="H60" i="6"/>
  <c r="G60" i="6"/>
  <c r="F60" i="6"/>
  <c r="E60" i="6"/>
  <c r="D60" i="6"/>
  <c r="I59" i="6"/>
  <c r="H59" i="6"/>
  <c r="G59" i="6"/>
  <c r="F59" i="6"/>
  <c r="E59" i="6"/>
  <c r="D59" i="6"/>
  <c r="I58" i="6"/>
  <c r="H58" i="6"/>
  <c r="P58" i="6" s="1"/>
  <c r="D61" i="4" s="1"/>
  <c r="G58" i="6"/>
  <c r="F58" i="6"/>
  <c r="E58" i="6"/>
  <c r="D58" i="6"/>
  <c r="P57" i="6"/>
  <c r="D60" i="4" s="1"/>
  <c r="P56" i="6"/>
  <c r="P55" i="6"/>
  <c r="P54" i="6"/>
  <c r="P53" i="6"/>
  <c r="D52" i="4" s="1"/>
  <c r="P52" i="6"/>
  <c r="D51" i="4" s="1"/>
  <c r="P51" i="6"/>
  <c r="P50" i="6"/>
  <c r="P49" i="6"/>
  <c r="D48" i="4" s="1"/>
  <c r="I47" i="6"/>
  <c r="H47" i="6"/>
  <c r="G47" i="6"/>
  <c r="F47" i="6"/>
  <c r="E47" i="6"/>
  <c r="D47" i="6"/>
  <c r="P45" i="6"/>
  <c r="P43" i="6"/>
  <c r="D99" i="4" s="1"/>
  <c r="A40" i="6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P38" i="6"/>
  <c r="P37" i="6"/>
  <c r="A35" i="6"/>
  <c r="A36" i="6" s="1"/>
  <c r="A37" i="6" s="1"/>
  <c r="A38" i="6" s="1"/>
  <c r="A39" i="6" s="1"/>
  <c r="P33" i="6"/>
  <c r="I32" i="6"/>
  <c r="H32" i="6"/>
  <c r="G32" i="6"/>
  <c r="F32" i="6"/>
  <c r="E32" i="6"/>
  <c r="D32" i="6"/>
  <c r="I31" i="6"/>
  <c r="H31" i="6"/>
  <c r="G31" i="6"/>
  <c r="F31" i="6"/>
  <c r="E31" i="6"/>
  <c r="D31" i="6"/>
  <c r="I30" i="6"/>
  <c r="H30" i="6"/>
  <c r="G30" i="6"/>
  <c r="F30" i="6"/>
  <c r="E30" i="6"/>
  <c r="D30" i="6"/>
  <c r="P29" i="6"/>
  <c r="I29" i="6"/>
  <c r="H29" i="6"/>
  <c r="G29" i="6"/>
  <c r="F29" i="6"/>
  <c r="E29" i="6"/>
  <c r="D29" i="6"/>
  <c r="I28" i="6"/>
  <c r="H28" i="6"/>
  <c r="G28" i="6"/>
  <c r="P28" i="6" s="1"/>
  <c r="F28" i="6"/>
  <c r="E28" i="6"/>
  <c r="D28" i="6"/>
  <c r="P27" i="6"/>
  <c r="P25" i="6"/>
  <c r="D26" i="4" s="1"/>
  <c r="P24" i="6"/>
  <c r="P22" i="6"/>
  <c r="P21" i="6"/>
  <c r="P20" i="6"/>
  <c r="D18" i="4" s="1"/>
  <c r="A17" i="6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N16" i="6"/>
  <c r="L16" i="6"/>
  <c r="M15" i="6"/>
  <c r="N15" i="6" s="1"/>
  <c r="O15" i="6" s="1"/>
  <c r="D15" i="10" s="1"/>
  <c r="K15" i="6"/>
  <c r="L15" i="6" s="1"/>
  <c r="J15" i="6"/>
  <c r="A14" i="6"/>
  <c r="A15" i="6" s="1"/>
  <c r="A16" i="6" s="1"/>
  <c r="A13" i="6"/>
  <c r="F10" i="6"/>
  <c r="E10" i="6"/>
  <c r="P8" i="6"/>
  <c r="P8" i="10" s="1"/>
  <c r="A8" i="6"/>
  <c r="A7" i="6"/>
  <c r="A6" i="6"/>
  <c r="D173" i="5"/>
  <c r="D166" i="5"/>
  <c r="D167" i="5" s="1"/>
  <c r="D161" i="5"/>
  <c r="D159" i="5"/>
  <c r="D157" i="5"/>
  <c r="D156" i="5"/>
  <c r="D155" i="5"/>
  <c r="D153" i="5"/>
  <c r="D152" i="5"/>
  <c r="D148" i="5"/>
  <c r="D147" i="5"/>
  <c r="D140" i="5"/>
  <c r="D133" i="5"/>
  <c r="D131" i="5"/>
  <c r="D126" i="5"/>
  <c r="D124" i="5"/>
  <c r="D122" i="5"/>
  <c r="D121" i="5"/>
  <c r="D119" i="5"/>
  <c r="D118" i="5"/>
  <c r="D114" i="5"/>
  <c r="D113" i="5"/>
  <c r="D111" i="5"/>
  <c r="D110" i="5"/>
  <c r="D107" i="5"/>
  <c r="D104" i="5"/>
  <c r="D99" i="5"/>
  <c r="D97" i="5"/>
  <c r="D92" i="5"/>
  <c r="D89" i="5"/>
  <c r="D88" i="5"/>
  <c r="D87" i="5"/>
  <c r="D83" i="5"/>
  <c r="D82" i="5"/>
  <c r="D76" i="5"/>
  <c r="D67" i="5"/>
  <c r="D66" i="5"/>
  <c r="D64" i="5"/>
  <c r="D63" i="5"/>
  <c r="D59" i="5"/>
  <c r="D56" i="5"/>
  <c r="D55" i="5"/>
  <c r="D49" i="5"/>
  <c r="D48" i="5"/>
  <c r="D47" i="5"/>
  <c r="D44" i="5"/>
  <c r="D40" i="5"/>
  <c r="D38" i="5"/>
  <c r="D33" i="5"/>
  <c r="D32" i="5"/>
  <c r="D25" i="5"/>
  <c r="D23" i="5"/>
  <c r="D22" i="5"/>
  <c r="D17" i="5"/>
  <c r="D16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4" i="5"/>
  <c r="D8" i="5"/>
  <c r="A7" i="5"/>
  <c r="D171" i="4"/>
  <c r="D172" i="4" s="1"/>
  <c r="D164" i="4"/>
  <c r="D163" i="4"/>
  <c r="D157" i="4"/>
  <c r="D153" i="4"/>
  <c r="D151" i="4"/>
  <c r="D145" i="4"/>
  <c r="D139" i="4"/>
  <c r="D137" i="4"/>
  <c r="D136" i="4"/>
  <c r="D131" i="4"/>
  <c r="D124" i="4"/>
  <c r="D123" i="4"/>
  <c r="D118" i="4"/>
  <c r="D111" i="4"/>
  <c r="D110" i="4"/>
  <c r="D102" i="4"/>
  <c r="D93" i="4"/>
  <c r="D92" i="4"/>
  <c r="D87" i="4"/>
  <c r="D79" i="4"/>
  <c r="D58" i="4"/>
  <c r="D54" i="4"/>
  <c r="D53" i="4"/>
  <c r="D50" i="4"/>
  <c r="D49" i="4"/>
  <c r="D43" i="4"/>
  <c r="D30" i="4"/>
  <c r="D29" i="4"/>
  <c r="D28" i="4"/>
  <c r="D22" i="4"/>
  <c r="D20" i="4"/>
  <c r="D19" i="4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5" i="4"/>
  <c r="A14" i="4"/>
  <c r="D8" i="4"/>
  <c r="H31" i="3"/>
  <c r="H33" i="3" s="1"/>
  <c r="K28" i="3"/>
  <c r="F28" i="3" s="1"/>
  <c r="D28" i="3"/>
  <c r="O9" i="3"/>
  <c r="A9" i="3"/>
  <c r="A8" i="3"/>
  <c r="A7" i="3"/>
  <c r="E15" i="10" l="1"/>
  <c r="M28" i="3"/>
  <c r="P15" i="6"/>
  <c r="D177" i="4" s="1"/>
  <c r="A6" i="7"/>
  <c r="A6" i="8"/>
  <c r="A6" i="9"/>
  <c r="H23" i="2"/>
  <c r="J23" i="2" s="1"/>
  <c r="P41" i="6"/>
  <c r="D97" i="4" s="1"/>
  <c r="P12" i="6"/>
  <c r="P23" i="6"/>
  <c r="D21" i="4" s="1"/>
  <c r="P30" i="6"/>
  <c r="D37" i="4" s="1"/>
  <c r="P35" i="6"/>
  <c r="D90" i="4" s="1"/>
  <c r="P40" i="6"/>
  <c r="D96" i="4" s="1"/>
  <c r="P47" i="6"/>
  <c r="D45" i="4" s="1"/>
  <c r="P59" i="6"/>
  <c r="D62" i="4" s="1"/>
  <c r="D65" i="4" s="1"/>
  <c r="P75" i="6"/>
  <c r="D113" i="4" s="1"/>
  <c r="P85" i="6"/>
  <c r="D126" i="4" s="1"/>
  <c r="D133" i="4" s="1"/>
  <c r="P19" i="6"/>
  <c r="D17" i="4" s="1"/>
  <c r="P26" i="6"/>
  <c r="D27" i="4" s="1"/>
  <c r="D31" i="4" s="1"/>
  <c r="P42" i="6"/>
  <c r="D98" i="4" s="1"/>
  <c r="P61" i="6"/>
  <c r="D64" i="4" s="1"/>
  <c r="P68" i="6"/>
  <c r="D80" i="4" s="1"/>
  <c r="P77" i="6"/>
  <c r="D115" i="4" s="1"/>
  <c r="A7" i="13"/>
  <c r="A7" i="16"/>
  <c r="A7" i="15"/>
  <c r="A7" i="12"/>
  <c r="A7" i="10"/>
  <c r="A7" i="11"/>
  <c r="P18" i="6"/>
  <c r="D16" i="4" s="1"/>
  <c r="P32" i="6"/>
  <c r="D86" i="4" s="1"/>
  <c r="P63" i="6"/>
  <c r="D69" i="4" s="1"/>
  <c r="D75" i="4" s="1"/>
  <c r="P79" i="6"/>
  <c r="D117" i="4" s="1"/>
  <c r="D120" i="4" s="1"/>
  <c r="P87" i="6"/>
  <c r="D128" i="4" s="1"/>
  <c r="P89" i="6"/>
  <c r="D130" i="4" s="1"/>
  <c r="L34" i="7"/>
  <c r="L45" i="7" s="1"/>
  <c r="D34" i="5"/>
  <c r="P34" i="6"/>
  <c r="D88" i="4" s="1"/>
  <c r="P39" i="6"/>
  <c r="D94" i="4" s="1"/>
  <c r="P44" i="6"/>
  <c r="D100" i="4" s="1"/>
  <c r="P46" i="6"/>
  <c r="D104" i="4" s="1"/>
  <c r="P65" i="6"/>
  <c r="D71" i="4" s="1"/>
  <c r="P81" i="6"/>
  <c r="D119" i="4" s="1"/>
  <c r="P93" i="6"/>
  <c r="D138" i="4" s="1"/>
  <c r="D140" i="4" s="1"/>
  <c r="D22" i="3" s="1"/>
  <c r="E10" i="14"/>
  <c r="F10" i="8"/>
  <c r="E10" i="8"/>
  <c r="F10" i="9"/>
  <c r="F10" i="7"/>
  <c r="E10" i="7"/>
  <c r="G10" i="6"/>
  <c r="E114" i="6"/>
  <c r="P48" i="6"/>
  <c r="D47" i="4" s="1"/>
  <c r="O47" i="7"/>
  <c r="O103" i="6" s="1"/>
  <c r="F114" i="6"/>
  <c r="P17" i="6"/>
  <c r="D15" i="4" s="1"/>
  <c r="P31" i="6"/>
  <c r="D38" i="4" s="1"/>
  <c r="P36" i="6"/>
  <c r="D91" i="4" s="1"/>
  <c r="P60" i="6"/>
  <c r="D63" i="4" s="1"/>
  <c r="P69" i="6"/>
  <c r="D81" i="4" s="1"/>
  <c r="P76" i="6"/>
  <c r="D114" i="4" s="1"/>
  <c r="P86" i="6"/>
  <c r="D127" i="4" s="1"/>
  <c r="D114" i="6"/>
  <c r="P97" i="6"/>
  <c r="D150" i="4" s="1"/>
  <c r="N34" i="7"/>
  <c r="N45" i="7" s="1"/>
  <c r="P13" i="7"/>
  <c r="P31" i="7"/>
  <c r="I46" i="7"/>
  <c r="F34" i="8"/>
  <c r="O34" i="8"/>
  <c r="E59" i="9"/>
  <c r="E61" i="9" s="1"/>
  <c r="M50" i="9"/>
  <c r="M61" i="9" s="1"/>
  <c r="M63" i="9" s="1"/>
  <c r="P23" i="9"/>
  <c r="P26" i="9"/>
  <c r="P40" i="9"/>
  <c r="P49" i="9"/>
  <c r="P70" i="10"/>
  <c r="D103" i="5" s="1"/>
  <c r="P12" i="7"/>
  <c r="G59" i="9"/>
  <c r="G61" i="9" s="1"/>
  <c r="G62" i="9" s="1"/>
  <c r="P31" i="9"/>
  <c r="P55" i="9"/>
  <c r="H34" i="11"/>
  <c r="H45" i="11" s="1"/>
  <c r="H47" i="11" s="1"/>
  <c r="H103" i="10" s="1"/>
  <c r="P14" i="11"/>
  <c r="K43" i="11"/>
  <c r="A7" i="8"/>
  <c r="A7" i="9"/>
  <c r="G114" i="6"/>
  <c r="P111" i="6"/>
  <c r="D167" i="4" s="1"/>
  <c r="P25" i="7"/>
  <c r="J34" i="8"/>
  <c r="J36" i="8" s="1"/>
  <c r="J38" i="8" s="1"/>
  <c r="J25" i="8"/>
  <c r="P30" i="8"/>
  <c r="P35" i="9"/>
  <c r="G94" i="10"/>
  <c r="O94" i="10"/>
  <c r="A8" i="8"/>
  <c r="A8" i="9"/>
  <c r="A8" i="7"/>
  <c r="H114" i="6"/>
  <c r="P14" i="6"/>
  <c r="D176" i="4" s="1"/>
  <c r="D26" i="3" s="1"/>
  <c r="D20" i="2" s="1"/>
  <c r="P96" i="6"/>
  <c r="D146" i="4" s="1"/>
  <c r="D147" i="4" s="1"/>
  <c r="D23" i="3" s="1"/>
  <c r="A7" i="7"/>
  <c r="J34" i="7"/>
  <c r="J43" i="7" s="1"/>
  <c r="J45" i="7" s="1"/>
  <c r="I59" i="9"/>
  <c r="P24" i="9"/>
  <c r="P39" i="9"/>
  <c r="P42" i="9"/>
  <c r="P57" i="9"/>
  <c r="I114" i="6"/>
  <c r="P99" i="6"/>
  <c r="D152" i="4" s="1"/>
  <c r="P105" i="6"/>
  <c r="D161" i="4" s="1"/>
  <c r="P19" i="7"/>
  <c r="D45" i="7"/>
  <c r="E62" i="9"/>
  <c r="D10" i="14"/>
  <c r="E10" i="9"/>
  <c r="P109" i="6"/>
  <c r="D165" i="4" s="1"/>
  <c r="D43" i="7"/>
  <c r="L43" i="7"/>
  <c r="P23" i="7"/>
  <c r="P41" i="7"/>
  <c r="D34" i="8"/>
  <c r="M34" i="8"/>
  <c r="P18" i="8"/>
  <c r="K59" i="9"/>
  <c r="P15" i="9"/>
  <c r="P18" i="9"/>
  <c r="P32" i="9"/>
  <c r="P47" i="9"/>
  <c r="P56" i="9"/>
  <c r="F62" i="9"/>
  <c r="M43" i="7"/>
  <c r="P27" i="7"/>
  <c r="M34" i="7"/>
  <c r="M45" i="7" s="1"/>
  <c r="O43" i="7"/>
  <c r="J50" i="9"/>
  <c r="J61" i="9" s="1"/>
  <c r="J63" i="9" s="1"/>
  <c r="P63" i="9" s="1"/>
  <c r="P36" i="10"/>
  <c r="D86" i="5" s="1"/>
  <c r="P44" i="10"/>
  <c r="D95" i="5" s="1"/>
  <c r="P52" i="10"/>
  <c r="D46" i="5" s="1"/>
  <c r="P60" i="10"/>
  <c r="D58" i="5" s="1"/>
  <c r="P68" i="10"/>
  <c r="D75" i="5" s="1"/>
  <c r="P97" i="10"/>
  <c r="D145" i="5" s="1"/>
  <c r="D149" i="5" s="1"/>
  <c r="K24" i="3" s="1"/>
  <c r="P35" i="7"/>
  <c r="K50" i="9"/>
  <c r="K61" i="9" s="1"/>
  <c r="K63" i="9" s="1"/>
  <c r="P14" i="10"/>
  <c r="P75" i="10"/>
  <c r="D108" i="5" s="1"/>
  <c r="J34" i="11"/>
  <c r="J45" i="11" s="1"/>
  <c r="J47" i="11" s="1"/>
  <c r="P17" i="11"/>
  <c r="P19" i="11"/>
  <c r="K25" i="12"/>
  <c r="K36" i="12" s="1"/>
  <c r="K38" i="12" s="1"/>
  <c r="F63" i="13"/>
  <c r="N63" i="13"/>
  <c r="K25" i="8"/>
  <c r="K34" i="8" s="1"/>
  <c r="K36" i="8" s="1"/>
  <c r="P12" i="9"/>
  <c r="L50" i="9"/>
  <c r="L61" i="9" s="1"/>
  <c r="L63" i="9" s="1"/>
  <c r="D62" i="9"/>
  <c r="J94" i="10"/>
  <c r="P87" i="10"/>
  <c r="D123" i="5" s="1"/>
  <c r="P92" i="10"/>
  <c r="D132" i="5" s="1"/>
  <c r="P107" i="10"/>
  <c r="D158" i="5" s="1"/>
  <c r="P23" i="11"/>
  <c r="P25" i="11"/>
  <c r="P37" i="11"/>
  <c r="L25" i="8"/>
  <c r="L36" i="8" s="1"/>
  <c r="L38" i="8" s="1"/>
  <c r="D37" i="8"/>
  <c r="K94" i="10"/>
  <c r="P27" i="10"/>
  <c r="D24" i="5" s="1"/>
  <c r="D26" i="5" s="1"/>
  <c r="P35" i="10"/>
  <c r="D85" i="5" s="1"/>
  <c r="P43" i="10"/>
  <c r="D94" i="5" s="1"/>
  <c r="P51" i="10"/>
  <c r="D45" i="5" s="1"/>
  <c r="P59" i="10"/>
  <c r="D57" i="5" s="1"/>
  <c r="P67" i="10"/>
  <c r="D74" i="5" s="1"/>
  <c r="P72" i="10"/>
  <c r="D105" i="5" s="1"/>
  <c r="H94" i="10"/>
  <c r="P96" i="10"/>
  <c r="D141" i="5" s="1"/>
  <c r="D142" i="5" s="1"/>
  <c r="K23" i="3" s="1"/>
  <c r="P109" i="10"/>
  <c r="D160" i="5" s="1"/>
  <c r="P111" i="10"/>
  <c r="D162" i="5" s="1"/>
  <c r="D34" i="11"/>
  <c r="L34" i="11"/>
  <c r="L45" i="11" s="1"/>
  <c r="L47" i="11" s="1"/>
  <c r="K34" i="11"/>
  <c r="K45" i="11" s="1"/>
  <c r="K47" i="11" s="1"/>
  <c r="P29" i="11"/>
  <c r="P30" i="11"/>
  <c r="P35" i="11"/>
  <c r="P41" i="11"/>
  <c r="P42" i="11"/>
  <c r="K43" i="7"/>
  <c r="K45" i="7" s="1"/>
  <c r="M25" i="8"/>
  <c r="M36" i="8" s="1"/>
  <c r="M38" i="8" s="1"/>
  <c r="N50" i="9"/>
  <c r="N61" i="9" s="1"/>
  <c r="N63" i="9" s="1"/>
  <c r="E10" i="13"/>
  <c r="F10" i="13"/>
  <c r="F10" i="11"/>
  <c r="E10" i="15"/>
  <c r="E10" i="11"/>
  <c r="F10" i="12"/>
  <c r="E10" i="12"/>
  <c r="P17" i="10"/>
  <c r="D94" i="10"/>
  <c r="L94" i="10"/>
  <c r="P23" i="10"/>
  <c r="D18" i="5" s="1"/>
  <c r="P32" i="10"/>
  <c r="D81" i="5" s="1"/>
  <c r="P40" i="10"/>
  <c r="D91" i="5" s="1"/>
  <c r="P48" i="10"/>
  <c r="D42" i="5" s="1"/>
  <c r="D50" i="5" s="1"/>
  <c r="K19" i="3" s="1"/>
  <c r="P56" i="10"/>
  <c r="D53" i="5" s="1"/>
  <c r="D60" i="5" s="1"/>
  <c r="P64" i="10"/>
  <c r="D65" i="5" s="1"/>
  <c r="D70" i="5" s="1"/>
  <c r="P79" i="10"/>
  <c r="D112" i="5" s="1"/>
  <c r="P84" i="10"/>
  <c r="D120" i="5" s="1"/>
  <c r="D128" i="5" s="1"/>
  <c r="E34" i="11"/>
  <c r="E45" i="11" s="1"/>
  <c r="E47" i="11" s="1"/>
  <c r="M34" i="11"/>
  <c r="M45" i="11" s="1"/>
  <c r="M47" i="11" s="1"/>
  <c r="P33" i="11"/>
  <c r="N25" i="8"/>
  <c r="N36" i="8" s="1"/>
  <c r="N38" i="8" s="1"/>
  <c r="O50" i="9"/>
  <c r="O61" i="9" s="1"/>
  <c r="O63" i="9" s="1"/>
  <c r="F10" i="15"/>
  <c r="G10" i="11"/>
  <c r="G10" i="13"/>
  <c r="G10" i="12"/>
  <c r="H10" i="10"/>
  <c r="E94" i="10"/>
  <c r="M94" i="10"/>
  <c r="F103" i="10"/>
  <c r="J24" i="14"/>
  <c r="K16" i="6" s="1"/>
  <c r="F94" i="10"/>
  <c r="N94" i="10"/>
  <c r="P76" i="10"/>
  <c r="D109" i="5" s="1"/>
  <c r="G34" i="11"/>
  <c r="G45" i="11" s="1"/>
  <c r="G47" i="11" s="1"/>
  <c r="O34" i="11"/>
  <c r="O45" i="11" s="1"/>
  <c r="O47" i="11" s="1"/>
  <c r="O103" i="10" s="1"/>
  <c r="P36" i="11"/>
  <c r="K50" i="13"/>
  <c r="K61" i="13" s="1"/>
  <c r="K63" i="13" s="1"/>
  <c r="J43" i="11"/>
  <c r="P30" i="12"/>
  <c r="H50" i="13"/>
  <c r="H61" i="13" s="1"/>
  <c r="H63" i="13" s="1"/>
  <c r="P15" i="13"/>
  <c r="D24" i="14"/>
  <c r="O24" i="14" s="1"/>
  <c r="L24" i="14"/>
  <c r="M16" i="6" s="1"/>
  <c r="O16" i="14"/>
  <c r="E14" i="16" s="1"/>
  <c r="E19" i="16" s="1"/>
  <c r="E23" i="16" s="1"/>
  <c r="O17" i="14"/>
  <c r="E44" i="14"/>
  <c r="M44" i="14"/>
  <c r="G34" i="15"/>
  <c r="D43" i="11"/>
  <c r="L43" i="11"/>
  <c r="P14" i="12"/>
  <c r="D34" i="12"/>
  <c r="D25" i="12"/>
  <c r="L25" i="12"/>
  <c r="L36" i="12" s="1"/>
  <c r="L38" i="12" s="1"/>
  <c r="J50" i="13"/>
  <c r="J61" i="13" s="1"/>
  <c r="J63" i="13" s="1"/>
  <c r="P18" i="13"/>
  <c r="P34" i="13"/>
  <c r="P52" i="13"/>
  <c r="F24" i="14"/>
  <c r="N24" i="14"/>
  <c r="O16" i="6" s="1"/>
  <c r="O114" i="6" s="1"/>
  <c r="O18" i="14"/>
  <c r="O20" i="14"/>
  <c r="O46" i="14" s="1"/>
  <c r="O21" i="14"/>
  <c r="O36" i="14" s="1"/>
  <c r="I34" i="14"/>
  <c r="O52" i="15"/>
  <c r="E43" i="11"/>
  <c r="E25" i="12"/>
  <c r="E36" i="12" s="1"/>
  <c r="E38" i="12" s="1"/>
  <c r="M25" i="12"/>
  <c r="M36" i="12" s="1"/>
  <c r="M38" i="12" s="1"/>
  <c r="P17" i="12"/>
  <c r="K59" i="13"/>
  <c r="P29" i="13"/>
  <c r="P36" i="13"/>
  <c r="P45" i="13"/>
  <c r="O51" i="14"/>
  <c r="E56" i="14"/>
  <c r="O56" i="14" s="1"/>
  <c r="O53" i="14"/>
  <c r="O21" i="15"/>
  <c r="O36" i="15" s="1"/>
  <c r="F43" i="11"/>
  <c r="N43" i="11"/>
  <c r="F25" i="12"/>
  <c r="F36" i="12" s="1"/>
  <c r="F38" i="12" s="1"/>
  <c r="F34" i="12"/>
  <c r="N25" i="12"/>
  <c r="N36" i="12" s="1"/>
  <c r="N38" i="12" s="1"/>
  <c r="N103" i="10" s="1"/>
  <c r="P18" i="12"/>
  <c r="P20" i="12"/>
  <c r="P16" i="13"/>
  <c r="P22" i="13"/>
  <c r="P32" i="13"/>
  <c r="P38" i="13"/>
  <c r="P56" i="13"/>
  <c r="O29" i="14"/>
  <c r="O42" i="14"/>
  <c r="O18" i="15"/>
  <c r="O53" i="15"/>
  <c r="D56" i="15"/>
  <c r="G43" i="11"/>
  <c r="G25" i="12"/>
  <c r="G36" i="12" s="1"/>
  <c r="G38" i="12" s="1"/>
  <c r="O25" i="12"/>
  <c r="O36" i="12" s="1"/>
  <c r="O38" i="12" s="1"/>
  <c r="G34" i="12"/>
  <c r="E50" i="13"/>
  <c r="E61" i="13" s="1"/>
  <c r="E63" i="13" s="1"/>
  <c r="M50" i="13"/>
  <c r="M61" i="13" s="1"/>
  <c r="M63" i="13" s="1"/>
  <c r="P24" i="13"/>
  <c r="P40" i="13"/>
  <c r="I24" i="14"/>
  <c r="J16" i="6" s="1"/>
  <c r="O19" i="14"/>
  <c r="O29" i="15"/>
  <c r="K34" i="15"/>
  <c r="H34" i="12"/>
  <c r="P15" i="12"/>
  <c r="P24" i="12"/>
  <c r="P28" i="12"/>
  <c r="J34" i="12"/>
  <c r="F59" i="13"/>
  <c r="N59" i="13"/>
  <c r="P20" i="13"/>
  <c r="P26" i="13"/>
  <c r="P42" i="13"/>
  <c r="P53" i="13"/>
  <c r="O31" i="14"/>
  <c r="C44" i="14"/>
  <c r="O44" i="14" s="1"/>
  <c r="O41" i="14"/>
  <c r="O15" i="15"/>
  <c r="I34" i="12"/>
  <c r="P28" i="13"/>
  <c r="P44" i="13"/>
  <c r="I56" i="14"/>
  <c r="F58" i="15"/>
  <c r="O22" i="15"/>
  <c r="O58" i="15" s="1"/>
  <c r="C44" i="15"/>
  <c r="O44" i="15" s="1"/>
  <c r="O41" i="15"/>
  <c r="I56" i="15"/>
  <c r="E27" i="16"/>
  <c r="I59" i="13"/>
  <c r="C34" i="14"/>
  <c r="C34" i="15"/>
  <c r="C56" i="15"/>
  <c r="I25" i="12"/>
  <c r="I36" i="12" s="1"/>
  <c r="I38" i="12" s="1"/>
  <c r="I103" i="10" s="1"/>
  <c r="D50" i="13"/>
  <c r="D59" i="13" s="1"/>
  <c r="L50" i="13"/>
  <c r="L61" i="13" s="1"/>
  <c r="L63" i="13" s="1"/>
  <c r="O14" i="14"/>
  <c r="O22" i="14"/>
  <c r="O58" i="14" s="1"/>
  <c r="O14" i="15"/>
  <c r="G50" i="13"/>
  <c r="G61" i="13" s="1"/>
  <c r="G63" i="13" s="1"/>
  <c r="O50" i="13"/>
  <c r="O61" i="13" s="1"/>
  <c r="O63" i="13" s="1"/>
  <c r="C46" i="14"/>
  <c r="C46" i="15"/>
  <c r="O19" i="3" l="1"/>
  <c r="J47" i="7"/>
  <c r="D21" i="3"/>
  <c r="K38" i="8"/>
  <c r="P38" i="8" s="1"/>
  <c r="P36" i="8"/>
  <c r="D28" i="5"/>
  <c r="P94" i="10"/>
  <c r="D134" i="5" s="1"/>
  <c r="D135" i="5" s="1"/>
  <c r="K22" i="3" s="1"/>
  <c r="D115" i="5"/>
  <c r="K21" i="3" s="1"/>
  <c r="F24" i="3"/>
  <c r="O24" i="3"/>
  <c r="J59" i="9"/>
  <c r="G103" i="10"/>
  <c r="K20" i="3"/>
  <c r="C19" i="15"/>
  <c r="D19" i="15" s="1"/>
  <c r="E19" i="15" s="1"/>
  <c r="F19" i="15" s="1"/>
  <c r="G19" i="15" s="1"/>
  <c r="H19" i="15" s="1"/>
  <c r="I19" i="15" s="1"/>
  <c r="J19" i="15" s="1"/>
  <c r="K19" i="15" s="1"/>
  <c r="L19" i="15" s="1"/>
  <c r="M19" i="15" s="1"/>
  <c r="N19" i="15" s="1"/>
  <c r="D15" i="5"/>
  <c r="D19" i="5" s="1"/>
  <c r="J103" i="10"/>
  <c r="M47" i="7"/>
  <c r="M103" i="6" s="1"/>
  <c r="M114" i="6" s="1"/>
  <c r="D154" i="4"/>
  <c r="D24" i="3" s="1"/>
  <c r="D105" i="4"/>
  <c r="D17" i="3" s="1"/>
  <c r="D39" i="4"/>
  <c r="M59" i="13"/>
  <c r="O23" i="3"/>
  <c r="F23" i="3"/>
  <c r="K18" i="3"/>
  <c r="N43" i="7"/>
  <c r="H24" i="2"/>
  <c r="H26" i="2" s="1"/>
  <c r="E34" i="12"/>
  <c r="L34" i="8"/>
  <c r="D23" i="4"/>
  <c r="D33" i="4" s="1"/>
  <c r="O59" i="13"/>
  <c r="M43" i="11"/>
  <c r="L34" i="12"/>
  <c r="H59" i="13"/>
  <c r="J59" i="13"/>
  <c r="K103" i="10"/>
  <c r="D78" i="5"/>
  <c r="P50" i="9"/>
  <c r="P59" i="9" s="1"/>
  <c r="P25" i="8"/>
  <c r="P34" i="8" s="1"/>
  <c r="F10" i="14"/>
  <c r="G10" i="9"/>
  <c r="G10" i="7"/>
  <c r="G10" i="8"/>
  <c r="H10" i="6"/>
  <c r="N59" i="9"/>
  <c r="P16" i="6"/>
  <c r="D178" i="4" s="1"/>
  <c r="D27" i="3" s="1"/>
  <c r="D21" i="2" s="1"/>
  <c r="N47" i="7"/>
  <c r="N103" i="6" s="1"/>
  <c r="N114" i="6" s="1"/>
  <c r="P50" i="13"/>
  <c r="P59" i="13" s="1"/>
  <c r="D61" i="13"/>
  <c r="L59" i="13"/>
  <c r="O56" i="15"/>
  <c r="G59" i="13"/>
  <c r="E59" i="13"/>
  <c r="O43" i="11"/>
  <c r="D36" i="12"/>
  <c r="P25" i="12"/>
  <c r="P34" i="12" s="1"/>
  <c r="G10" i="15"/>
  <c r="H10" i="13"/>
  <c r="H10" i="12"/>
  <c r="H10" i="11"/>
  <c r="I10" i="10"/>
  <c r="L103" i="10"/>
  <c r="O34" i="12"/>
  <c r="L59" i="9"/>
  <c r="P34" i="7"/>
  <c r="O59" i="9"/>
  <c r="L47" i="7"/>
  <c r="L103" i="6" s="1"/>
  <c r="L114" i="6" s="1"/>
  <c r="D83" i="4"/>
  <c r="D20" i="3" s="1"/>
  <c r="F15" i="10"/>
  <c r="H16" i="15"/>
  <c r="H24" i="15" s="1"/>
  <c r="I16" i="10" s="1"/>
  <c r="G16" i="15"/>
  <c r="G24" i="15" s="1"/>
  <c r="H16" i="10" s="1"/>
  <c r="N16" i="15"/>
  <c r="N24" i="15" s="1"/>
  <c r="O16" i="10" s="1"/>
  <c r="F16" i="15"/>
  <c r="F24" i="15" s="1"/>
  <c r="G16" i="10" s="1"/>
  <c r="L16" i="15"/>
  <c r="L24" i="15" s="1"/>
  <c r="M16" i="10" s="1"/>
  <c r="D16" i="15"/>
  <c r="D24" i="15" s="1"/>
  <c r="E16" i="10" s="1"/>
  <c r="E114" i="10" s="1"/>
  <c r="K16" i="15"/>
  <c r="K24" i="15" s="1"/>
  <c r="L16" i="10" s="1"/>
  <c r="C16" i="15"/>
  <c r="I16" i="15"/>
  <c r="I24" i="15" s="1"/>
  <c r="J16" i="10" s="1"/>
  <c r="M16" i="15"/>
  <c r="M24" i="15" s="1"/>
  <c r="N16" i="10" s="1"/>
  <c r="J16" i="15"/>
  <c r="J24" i="15" s="1"/>
  <c r="K16" i="10" s="1"/>
  <c r="E16" i="15"/>
  <c r="E24" i="15" s="1"/>
  <c r="F16" i="10" s="1"/>
  <c r="O34" i="15"/>
  <c r="M103" i="10"/>
  <c r="K47" i="7"/>
  <c r="K103" i="6" s="1"/>
  <c r="K114" i="6" s="1"/>
  <c r="P61" i="9"/>
  <c r="P62" i="9" s="1"/>
  <c r="M34" i="12"/>
  <c r="H43" i="11"/>
  <c r="M59" i="9"/>
  <c r="D100" i="5"/>
  <c r="K17" i="3" s="1"/>
  <c r="D45" i="11"/>
  <c r="D47" i="11" s="1"/>
  <c r="P34" i="11"/>
  <c r="P43" i="11" s="1"/>
  <c r="D46" i="7"/>
  <c r="P45" i="7"/>
  <c r="O34" i="14"/>
  <c r="N34" i="12"/>
  <c r="E103" i="10"/>
  <c r="K34" i="12"/>
  <c r="N34" i="8"/>
  <c r="D55" i="4"/>
  <c r="D19" i="3" s="1"/>
  <c r="F19" i="3" s="1"/>
  <c r="D63" i="13" l="1"/>
  <c r="P63" i="13" s="1"/>
  <c r="P62" i="13" s="1"/>
  <c r="P61" i="13"/>
  <c r="D18" i="3"/>
  <c r="F20" i="3"/>
  <c r="O20" i="3"/>
  <c r="D18" i="2"/>
  <c r="O16" i="15"/>
  <c r="C24" i="15"/>
  <c r="G15" i="10"/>
  <c r="F114" i="10"/>
  <c r="P36" i="12"/>
  <c r="D38" i="12"/>
  <c r="P38" i="12" s="1"/>
  <c r="K14" i="3"/>
  <c r="J103" i="6"/>
  <c r="P47" i="7"/>
  <c r="P46" i="7" s="1"/>
  <c r="P47" i="11"/>
  <c r="F18" i="3"/>
  <c r="O18" i="3"/>
  <c r="O17" i="3"/>
  <c r="F17" i="3"/>
  <c r="I10" i="13"/>
  <c r="H10" i="15"/>
  <c r="I10" i="12"/>
  <c r="J10" i="10"/>
  <c r="I10" i="11"/>
  <c r="P37" i="8"/>
  <c r="D14" i="3"/>
  <c r="P43" i="7"/>
  <c r="O21" i="3"/>
  <c r="F21" i="3"/>
  <c r="G10" i="14"/>
  <c r="H10" i="9"/>
  <c r="H10" i="7"/>
  <c r="H10" i="8"/>
  <c r="I10" i="6"/>
  <c r="F22" i="3"/>
  <c r="O22" i="3"/>
  <c r="H10" i="14" l="1"/>
  <c r="I10" i="9"/>
  <c r="I10" i="7"/>
  <c r="I10" i="8"/>
  <c r="J10" i="6"/>
  <c r="P103" i="6"/>
  <c r="J114" i="6"/>
  <c r="H15" i="10"/>
  <c r="G114" i="10"/>
  <c r="D15" i="2"/>
  <c r="O14" i="3"/>
  <c r="F14" i="3"/>
  <c r="D16" i="10"/>
  <c r="O24" i="15"/>
  <c r="I10" i="15"/>
  <c r="J10" i="12"/>
  <c r="J10" i="13"/>
  <c r="K10" i="10"/>
  <c r="J10" i="11"/>
  <c r="D103" i="10"/>
  <c r="P103" i="10" s="1"/>
  <c r="D154" i="5" s="1"/>
  <c r="D163" i="5" s="1"/>
  <c r="F18" i="2"/>
  <c r="I10" i="14" l="1"/>
  <c r="J10" i="7"/>
  <c r="J10" i="8"/>
  <c r="J10" i="9"/>
  <c r="K10" i="6"/>
  <c r="J10" i="15"/>
  <c r="K10" i="13"/>
  <c r="K10" i="11"/>
  <c r="K10" i="12"/>
  <c r="L10" i="10"/>
  <c r="J18" i="2"/>
  <c r="P16" i="10"/>
  <c r="D172" i="5" s="1"/>
  <c r="K27" i="3" s="1"/>
  <c r="D114" i="10"/>
  <c r="I15" i="10"/>
  <c r="H114" i="10"/>
  <c r="F15" i="2"/>
  <c r="K25" i="3"/>
  <c r="D169" i="5"/>
  <c r="D159" i="4"/>
  <c r="D168" i="4" s="1"/>
  <c r="P114" i="6"/>
  <c r="J15" i="10" l="1"/>
  <c r="I114" i="10"/>
  <c r="J10" i="14"/>
  <c r="K10" i="7"/>
  <c r="K10" i="8"/>
  <c r="K10" i="9"/>
  <c r="L10" i="6"/>
  <c r="O25" i="3"/>
  <c r="F25" i="3"/>
  <c r="D25" i="3"/>
  <c r="D174" i="4"/>
  <c r="D181" i="4" s="1"/>
  <c r="D183" i="4" s="1"/>
  <c r="F27" i="3"/>
  <c r="O27" i="3"/>
  <c r="F21" i="2" s="1"/>
  <c r="J21" i="2" s="1"/>
  <c r="J15" i="2"/>
  <c r="K10" i="15"/>
  <c r="L10" i="13"/>
  <c r="M10" i="10"/>
  <c r="L10" i="11"/>
  <c r="L10" i="12"/>
  <c r="K15" i="10" l="1"/>
  <c r="J114" i="10"/>
  <c r="D31" i="3"/>
  <c r="D33" i="3" s="1"/>
  <c r="D19" i="2"/>
  <c r="D24" i="2" s="1"/>
  <c r="D26" i="2" s="1"/>
  <c r="D30" i="2" s="1"/>
  <c r="F19" i="2"/>
  <c r="K10" i="14"/>
  <c r="L10" i="7"/>
  <c r="L10" i="8"/>
  <c r="L10" i="9"/>
  <c r="M10" i="6"/>
  <c r="M10" i="13"/>
  <c r="L10" i="15"/>
  <c r="M10" i="11"/>
  <c r="M10" i="12"/>
  <c r="N10" i="10"/>
  <c r="J19" i="2" l="1"/>
  <c r="L10" i="14"/>
  <c r="M10" i="8"/>
  <c r="M10" i="9"/>
  <c r="M10" i="7"/>
  <c r="N10" i="6"/>
  <c r="N10" i="13"/>
  <c r="M10" i="15"/>
  <c r="N10" i="11"/>
  <c r="N10" i="12"/>
  <c r="O10" i="10"/>
  <c r="L15" i="10"/>
  <c r="K114" i="10"/>
  <c r="M10" i="14" l="1"/>
  <c r="N10" i="8"/>
  <c r="N10" i="9"/>
  <c r="N10" i="7"/>
  <c r="O10" i="6"/>
  <c r="M15" i="10"/>
  <c r="L114" i="10"/>
  <c r="N10" i="15"/>
  <c r="O10" i="13"/>
  <c r="O10" i="11"/>
  <c r="O10" i="12"/>
  <c r="M114" i="10" l="1"/>
  <c r="N15" i="10"/>
  <c r="N10" i="14"/>
  <c r="O10" i="9"/>
  <c r="O10" i="7"/>
  <c r="O10" i="8"/>
  <c r="O15" i="10" l="1"/>
  <c r="N114" i="10"/>
  <c r="O114" i="10" l="1"/>
  <c r="P15" i="10"/>
  <c r="P114" i="10" l="1"/>
  <c r="D171" i="5"/>
  <c r="K26" i="3" l="1"/>
  <c r="O26" i="3"/>
  <c r="D175" i="5"/>
  <c r="D177" i="5" s="1"/>
  <c r="F26" i="3" l="1"/>
  <c r="F31" i="3" s="1"/>
  <c r="F33" i="3" s="1"/>
  <c r="K31" i="3"/>
  <c r="K33" i="3" s="1"/>
  <c r="F20" i="2"/>
  <c r="M26" i="3"/>
  <c r="M31" i="3" s="1"/>
  <c r="M33" i="3" s="1"/>
  <c r="O31" i="3"/>
  <c r="O33" i="3" s="1"/>
  <c r="J20" i="2" l="1"/>
  <c r="J24" i="2" s="1"/>
  <c r="J26" i="2" s="1"/>
  <c r="J30" i="2" s="1"/>
  <c r="F24" i="2"/>
  <c r="F26" i="2" s="1"/>
  <c r="F30" i="2" s="1"/>
</calcChain>
</file>

<file path=xl/sharedStrings.xml><?xml version="1.0" encoding="utf-8"?>
<sst xmlns="http://schemas.openxmlformats.org/spreadsheetml/2006/main" count="1277" uniqueCount="418">
  <si>
    <t>FR 16(8)(c)                 SCHEDULE C</t>
  </si>
  <si>
    <t>Operating Income Summary</t>
  </si>
  <si>
    <t>Schedule</t>
  </si>
  <si>
    <t>Pages</t>
  </si>
  <si>
    <t>Description</t>
  </si>
  <si>
    <t>C-1</t>
  </si>
  <si>
    <t>C-2</t>
  </si>
  <si>
    <t>Adjusted Operating Income</t>
  </si>
  <si>
    <t>C-2.1</t>
  </si>
  <si>
    <t xml:space="preserve">Operating Revenue and Expenses by FERC Account </t>
  </si>
  <si>
    <t>C-2.2</t>
  </si>
  <si>
    <t>Monthly Operating Income by FERC Account</t>
  </si>
  <si>
    <t>C-2.3</t>
  </si>
  <si>
    <t>Taxes Other than Income Tax by Sub-Account</t>
  </si>
  <si>
    <t>Data:__X____Base Period___X___Forecasted Period</t>
  </si>
  <si>
    <t>FR 16(8)(c)1</t>
  </si>
  <si>
    <t>Type of Filing:___X____Original________Updated ________Revised</t>
  </si>
  <si>
    <t>Schedule C-1</t>
  </si>
  <si>
    <t>Workpaper Reference No(s).____________________</t>
  </si>
  <si>
    <t>Witness: Waller, Wiebe, Troup</t>
  </si>
  <si>
    <t>Base</t>
  </si>
  <si>
    <t>Forecasted</t>
  </si>
  <si>
    <t>Line</t>
  </si>
  <si>
    <t>Return at</t>
  </si>
  <si>
    <t>Proposed</t>
  </si>
  <si>
    <t>No.</t>
  </si>
  <si>
    <t>Current Rates</t>
  </si>
  <si>
    <t>Increase</t>
  </si>
  <si>
    <t>Proposed Rates</t>
  </si>
  <si>
    <t>Operating Revenue</t>
  </si>
  <si>
    <t>Operating Expenses</t>
  </si>
  <si>
    <t>Purchased Gas Cost</t>
  </si>
  <si>
    <t>Other O &amp; M Expenses</t>
  </si>
  <si>
    <t xml:space="preserve">  Depreciation Expense</t>
  </si>
  <si>
    <t xml:space="preserve">  Taxes Other than Income</t>
  </si>
  <si>
    <t>State &amp; Federal Income Taxes</t>
  </si>
  <si>
    <t>Total Operating Expenses</t>
  </si>
  <si>
    <t>Operating Income</t>
  </si>
  <si>
    <t>Rate Base</t>
  </si>
  <si>
    <t>Rate of Return</t>
  </si>
  <si>
    <t>Adjusted Operating Income Statement</t>
  </si>
  <si>
    <t>FR 16(8)(c)2</t>
  </si>
  <si>
    <t>Schedule C-2</t>
  </si>
  <si>
    <t>Base Year</t>
  </si>
  <si>
    <t>SSU</t>
  </si>
  <si>
    <t>Test Year</t>
  </si>
  <si>
    <t>Major Group</t>
  </si>
  <si>
    <t>Revenue &amp;</t>
  </si>
  <si>
    <t>Utility budget</t>
  </si>
  <si>
    <t>Sched</t>
  </si>
  <si>
    <t>Billing</t>
  </si>
  <si>
    <t>Ratemaking</t>
  </si>
  <si>
    <t>Rev. &amp; Exp.</t>
  </si>
  <si>
    <t>Classification</t>
  </si>
  <si>
    <t>Expenses</t>
  </si>
  <si>
    <t>Adjustments</t>
  </si>
  <si>
    <t>Ref.</t>
  </si>
  <si>
    <t>Adjs</t>
  </si>
  <si>
    <t>Adjusted</t>
  </si>
  <si>
    <t>D-1</t>
  </si>
  <si>
    <t>Production O&amp;M Expense</t>
  </si>
  <si>
    <t>Storage O&amp;M Expense</t>
  </si>
  <si>
    <t>Transmission O&amp;M Expense</t>
  </si>
  <si>
    <t>Distribution O&amp;M Expense</t>
  </si>
  <si>
    <t>*</t>
  </si>
  <si>
    <t>Customer Accting. &amp; Collection</t>
  </si>
  <si>
    <t>Customer Service &amp; Information</t>
  </si>
  <si>
    <t>Sales Expense</t>
  </si>
  <si>
    <t>F-4</t>
  </si>
  <si>
    <t>Admin. &amp; General Expense</t>
  </si>
  <si>
    <t>F-1, F-6, F-8, F-9, F-10, F-11</t>
  </si>
  <si>
    <t>Depreciation Expense</t>
  </si>
  <si>
    <t>Taxes - Other</t>
  </si>
  <si>
    <t>F-10</t>
  </si>
  <si>
    <t>Income Taxes</t>
  </si>
  <si>
    <t>Net Operating Income</t>
  </si>
  <si>
    <t>Data:___X____Base Period________Forecasted Period</t>
  </si>
  <si>
    <t>FR 16(8)(c)2.1</t>
  </si>
  <si>
    <t>Schedule C-2.1 B</t>
  </si>
  <si>
    <t>Account</t>
  </si>
  <si>
    <t>Unadjusted</t>
  </si>
  <si>
    <t>No. (s)</t>
  </si>
  <si>
    <t>Title</t>
  </si>
  <si>
    <t>Total Utility</t>
  </si>
  <si>
    <t>(1)</t>
  </si>
  <si>
    <t>O P E R A T I N G  R E V E N U E</t>
  </si>
  <si>
    <t xml:space="preserve">  Sales of Gas</t>
  </si>
  <si>
    <t>Residential</t>
  </si>
  <si>
    <t>Unbilled Residential</t>
  </si>
  <si>
    <t>Commercial</t>
  </si>
  <si>
    <t>Industrial</t>
  </si>
  <si>
    <t>Unbilled Commercial</t>
  </si>
  <si>
    <t>Unbilled Industrial</t>
  </si>
  <si>
    <t>Other - Public Authority</t>
  </si>
  <si>
    <t>Unbilled Public Authority</t>
  </si>
  <si>
    <t xml:space="preserve">  Total Sales of Gas</t>
  </si>
  <si>
    <t xml:space="preserve">  Other Operating Income</t>
  </si>
  <si>
    <t>Forfeited Discounts</t>
  </si>
  <si>
    <t>Misc. Service Revenues</t>
  </si>
  <si>
    <t>Revenue From Transportation of Gas of Others</t>
  </si>
  <si>
    <t>Other Gas Revenue</t>
  </si>
  <si>
    <t>Provision for Rate Refunds</t>
  </si>
  <si>
    <t xml:space="preserve">  Total Other Operating Income</t>
  </si>
  <si>
    <t>T O T A L  O P E R A T I N G  R E V E N U E</t>
  </si>
  <si>
    <t>O P E R A T I N G  E X P E N S E S</t>
  </si>
  <si>
    <t>Production Expense - Operation</t>
  </si>
  <si>
    <t>Ng. Field Meas. &amp; Reg. Station</t>
  </si>
  <si>
    <t>Production and gathering-Other</t>
  </si>
  <si>
    <t>Total Production Expense - Operation</t>
  </si>
  <si>
    <t>Production Expense - Maintenance</t>
  </si>
  <si>
    <t>Ng Main. Supervision &amp; Engineering</t>
  </si>
  <si>
    <t>Natural Gas Storage Expense - Operation</t>
  </si>
  <si>
    <t>Operation Supervision &amp; Engineering</t>
  </si>
  <si>
    <t>Maps and Records</t>
  </si>
  <si>
    <t>Wells Expense</t>
  </si>
  <si>
    <t>Lines Expense</t>
  </si>
  <si>
    <t>Compressor Station Expense</t>
  </si>
  <si>
    <t>Compressor Station Expense Fuel &amp; Power</t>
  </si>
  <si>
    <t>Measuring &amp; Regulating Station Expense</t>
  </si>
  <si>
    <t>Purification</t>
  </si>
  <si>
    <t>Other</t>
  </si>
  <si>
    <t>Storage Well Royalties</t>
  </si>
  <si>
    <t>Total Nat. Gas Storage Expense - Operation</t>
  </si>
  <si>
    <t>Natural Gas Storage Expense - Maintenance</t>
  </si>
  <si>
    <t>Structure &amp; Improvements</t>
  </si>
  <si>
    <t>Reservoirs &amp; Wells</t>
  </si>
  <si>
    <t>Compressor Station Equip.</t>
  </si>
  <si>
    <t>Measuring &amp; Regulating Station Equip.</t>
  </si>
  <si>
    <t>Purification Equipment</t>
  </si>
  <si>
    <t>Maintenance of other equipment</t>
  </si>
  <si>
    <t>840/847</t>
  </si>
  <si>
    <t>Other Storage Exp. - LNG</t>
  </si>
  <si>
    <t>Total Nat. Gas Storage Expense - Maintenance</t>
  </si>
  <si>
    <t>Transmission Expense - Operation</t>
  </si>
  <si>
    <t>Communication system expenses</t>
  </si>
  <si>
    <t>Other fuel &amp; power for compression</t>
  </si>
  <si>
    <t>Mains Expense</t>
  </si>
  <si>
    <t>Measuring &amp; Regulating Station Exp.</t>
  </si>
  <si>
    <t>Other Exp.</t>
  </si>
  <si>
    <t>Rents</t>
  </si>
  <si>
    <t>Total Transmission Expense - Operation</t>
  </si>
  <si>
    <t>Transmission Expense - Maintenance</t>
  </si>
  <si>
    <t>Structures and Improvements</t>
  </si>
  <si>
    <t>Mains</t>
  </si>
  <si>
    <t>Compressor Station Equipment</t>
  </si>
  <si>
    <t>Measuring &amp; Reg Station Equip.</t>
  </si>
  <si>
    <t>Other Equipment</t>
  </si>
  <si>
    <t>Total Transmission Expense - Maintenance</t>
  </si>
  <si>
    <t>Purchased Gas Cost - Operation</t>
  </si>
  <si>
    <t>Intercompany Gas Well-head Purchases</t>
  </si>
  <si>
    <t xml:space="preserve">      Natural gas field line purchases</t>
  </si>
  <si>
    <t xml:space="preserve">      Natural Gas City Gate Purchases</t>
  </si>
  <si>
    <t xml:space="preserve">      Transportation to City Gate</t>
  </si>
  <si>
    <t>Transmission-Operation supervision and engineering</t>
  </si>
  <si>
    <t xml:space="preserve">      Other Gas Purchases / Gas Cost Adjustments</t>
  </si>
  <si>
    <t xml:space="preserve">      PGA for Commercial</t>
  </si>
  <si>
    <t xml:space="preserve">      PGA for Industrial</t>
  </si>
  <si>
    <t xml:space="preserve">      PGA for Public Authority</t>
  </si>
  <si>
    <t xml:space="preserve">      PGA for Transportation Sales</t>
  </si>
  <si>
    <t xml:space="preserve">      Unbilled PGA Costs</t>
  </si>
  <si>
    <t xml:space="preserve">      PGA Offset to Unrecovered Gas Cost</t>
  </si>
  <si>
    <t xml:space="preserve">      Exchange Gas</t>
  </si>
  <si>
    <t xml:space="preserve">      Gas Withdrawn From Storage - Debit</t>
  </si>
  <si>
    <t xml:space="preserve">      Gas Delivered to Storage</t>
  </si>
  <si>
    <t xml:space="preserve">      Gas used for products extraction-Credit</t>
  </si>
  <si>
    <t xml:space="preserve">      Gas Used for Other Utility Operations</t>
  </si>
  <si>
    <t xml:space="preserve">      Transmission and compression of gas by others</t>
  </si>
  <si>
    <t>Total Purchased Gas Cost</t>
  </si>
  <si>
    <t>Distribution Expenses - Operation</t>
  </si>
  <si>
    <t>Supervision and Engineering</t>
  </si>
  <si>
    <t>Distribution Load Dispatching</t>
  </si>
  <si>
    <t xml:space="preserve">      Odorization</t>
  </si>
  <si>
    <t>Compressor Station Labor &amp; Expenses</t>
  </si>
  <si>
    <t>Mains &amp; Services</t>
  </si>
  <si>
    <t>Measuring and Regulating Station Exp. - Gen</t>
  </si>
  <si>
    <t>Measuring and Regulating Station Exp. - Ind.</t>
  </si>
  <si>
    <t>Measuring and Regulating Sta. Exp. - City Gate</t>
  </si>
  <si>
    <t>Meters and House Regulator Expense</t>
  </si>
  <si>
    <t>Customer Installations Expense</t>
  </si>
  <si>
    <t>Other Expense</t>
  </si>
  <si>
    <t>Total Distribution Expenses - Operation</t>
  </si>
  <si>
    <t>Distribution Expenses - Maintenance</t>
  </si>
  <si>
    <t>Services</t>
  </si>
  <si>
    <t>Meters and House Regulators</t>
  </si>
  <si>
    <t>Maintenance of Other Plant</t>
  </si>
  <si>
    <t>Total Distribution Expenses - Maintenance</t>
  </si>
  <si>
    <t>Customer Accounts Expenses - Operation</t>
  </si>
  <si>
    <t>Supervision</t>
  </si>
  <si>
    <t>Meter Reading Expenses</t>
  </si>
  <si>
    <t>Customer Records &amp; Collections</t>
  </si>
  <si>
    <t>Uncollectible Accounts</t>
  </si>
  <si>
    <t>Total Customer Accounts Expense</t>
  </si>
  <si>
    <t>Customer Service &amp; Information - Operation</t>
  </si>
  <si>
    <t>Customer Assistance Expenses</t>
  </si>
  <si>
    <t>Informational and Instructional Advertising Expenses</t>
  </si>
  <si>
    <t>Misc Cust Serv &amp; Informational Exp</t>
  </si>
  <si>
    <t>Total Customer Accounts Expenses - Operation</t>
  </si>
  <si>
    <t>Demonstrating and Selling Expenses</t>
  </si>
  <si>
    <t>Advertising Expenses</t>
  </si>
  <si>
    <t>Miscellaneous Sales Expenses</t>
  </si>
  <si>
    <t>Total Sales Expenses</t>
  </si>
  <si>
    <t>Administrative and General Expenses - Operation</t>
  </si>
  <si>
    <t>Administrative and General Salaries</t>
  </si>
  <si>
    <t>Office Supplies and Expenses</t>
  </si>
  <si>
    <t>Administrative Expense Transferred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</si>
  <si>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</si>
  <si>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</si>
  <si>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</si>
  <si>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</si>
  <si>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</si>
  <si>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</t>
  </si>
  <si>
    <t>Miscellaneous General Expense</t>
  </si>
  <si>
    <t>A&amp;G-Rents</t>
  </si>
  <si>
    <t>Total Administrative and General Exp. - Operation</t>
  </si>
  <si>
    <t>Administrative and General Expense - Maintenance</t>
  </si>
  <si>
    <t>Maintenance of general plant</t>
  </si>
  <si>
    <t>Total Administrative and Gen. Exp. - Maintenance</t>
  </si>
  <si>
    <t>Total Operation and Maintenance Expense</t>
  </si>
  <si>
    <t xml:space="preserve">Depreciation </t>
  </si>
  <si>
    <t>Amortization</t>
  </si>
  <si>
    <t>Taxes Other than Income Taxes</t>
  </si>
  <si>
    <t>4091-4101</t>
  </si>
  <si>
    <t>Provision for Federal &amp; State Income Taxes</t>
  </si>
  <si>
    <t>TOTAL OPERATING EXPENSE (incl Gas Cost)</t>
  </si>
  <si>
    <t>NET OPERATING INCOME</t>
  </si>
  <si>
    <t>Operating Revenue and Expenses by FERC Account</t>
  </si>
  <si>
    <t>Data:________Base Period___X____Forecasted Period</t>
  </si>
  <si>
    <t>Schedule C-2.1 F</t>
  </si>
  <si>
    <t>4893-4896</t>
  </si>
  <si>
    <t>Ng. Main. Supervision &amp; Engineering</t>
  </si>
  <si>
    <t>841/847</t>
  </si>
  <si>
    <t>Other Fuel &amp; Power for Compression</t>
  </si>
  <si>
    <t xml:space="preserve">      Other Gas Supply Expenses</t>
  </si>
  <si>
    <t>8950</t>
  </si>
  <si>
    <t>Maintenance of General Plant</t>
  </si>
  <si>
    <t>403-406</t>
  </si>
  <si>
    <t>Depreciation and Amortization</t>
  </si>
  <si>
    <t>T O T A L  O P E R A T I N G  E X P E N S E</t>
  </si>
  <si>
    <t>N E T  O P E R A T I N G  I N C O M E</t>
  </si>
  <si>
    <t>Monthly Jurisdictional Operating Income by FERC Account</t>
  </si>
  <si>
    <t>FR 16(8)(c)2.2</t>
  </si>
  <si>
    <t>Schedule C-2.2</t>
  </si>
  <si>
    <t>Acct</t>
  </si>
  <si>
    <t>actual</t>
  </si>
  <si>
    <t>Budgeted</t>
  </si>
  <si>
    <t>Account Discription</t>
  </si>
  <si>
    <t>Total</t>
  </si>
  <si>
    <t>$</t>
  </si>
  <si>
    <t>Provision for income taxes</t>
  </si>
  <si>
    <t>Amortization of gas plant acquisition adjustments</t>
  </si>
  <si>
    <t>Taxes other than income taxes, utility operating income</t>
  </si>
  <si>
    <t>Residential sales</t>
  </si>
  <si>
    <t>Unbilled Residential Revenue</t>
  </si>
  <si>
    <t>Commercial Revenue</t>
  </si>
  <si>
    <t>Industrial Revenue</t>
  </si>
  <si>
    <t>Unbilled Comm Revenue</t>
  </si>
  <si>
    <t>Unbilled Industrial Revenue</t>
  </si>
  <si>
    <t>Other Sales to Public Authorities</t>
  </si>
  <si>
    <t>Unbilled Public Authority Revenue</t>
  </si>
  <si>
    <t>Forfeited discounts</t>
  </si>
  <si>
    <t>Miscellaneous service revenues</t>
  </si>
  <si>
    <t>Revenue-Transportation Distribution</t>
  </si>
  <si>
    <t>Field measuring and regulating station expenses</t>
  </si>
  <si>
    <t>Natural gas field line purchases</t>
  </si>
  <si>
    <t>Natural gas city gate purchases</t>
  </si>
  <si>
    <t>Other purchases</t>
  </si>
  <si>
    <t>PGA for Residential</t>
  </si>
  <si>
    <t>PGA for Commercial</t>
  </si>
  <si>
    <t>PGA for Industrial</t>
  </si>
  <si>
    <t>PGA for Public Authorities</t>
  </si>
  <si>
    <t>Unbilled PGA Cost</t>
  </si>
  <si>
    <t>PGA Offset to Unrecovered Gas Cost</t>
  </si>
  <si>
    <t>Exchange gas</t>
  </si>
  <si>
    <t>Gas withdrawn from storage-Debit</t>
  </si>
  <si>
    <t>Gas delivered to storage-Credit</t>
  </si>
  <si>
    <t>Gas used for other utility operations-Credit</t>
  </si>
  <si>
    <t>Transmission and compression of gas by others</t>
  </si>
  <si>
    <t>Storage-Operation supervision and engineering</t>
  </si>
  <si>
    <t>Wells expenses</t>
  </si>
  <si>
    <t>Lines expenses</t>
  </si>
  <si>
    <t>Compressor station expenses</t>
  </si>
  <si>
    <t>Compressor station fuel and power</t>
  </si>
  <si>
    <t>Storage-Measuring and regulating station expenses</t>
  </si>
  <si>
    <t>Storage-Purification expenses</t>
  </si>
  <si>
    <t>Storage-Other expenses</t>
  </si>
  <si>
    <t>Storage well royalties</t>
  </si>
  <si>
    <t>Storage-Maintenance of structures and improvements</t>
  </si>
  <si>
    <t>Maintenance of compressor station equipment</t>
  </si>
  <si>
    <t>Maintenance of measuring and regulating station equipment</t>
  </si>
  <si>
    <t>Processing-Maintenance of purification equipment</t>
  </si>
  <si>
    <t>Other storage expenses-Operation labor and expenses</t>
  </si>
  <si>
    <t>Other fuel and power for Compression</t>
  </si>
  <si>
    <t>Mains expenses</t>
  </si>
  <si>
    <t>Transmission-Measuring and regulating station expenses</t>
  </si>
  <si>
    <t>Transmission-Maintenance of mains</t>
  </si>
  <si>
    <t>Transmission-Maintenance of compressor sta equipment</t>
  </si>
  <si>
    <t>Transmission-Maintenance of measuring and regulating station equipment</t>
  </si>
  <si>
    <t>Distribution-Operation supervision and engineering</t>
  </si>
  <si>
    <t>Distribution load dispatching</t>
  </si>
  <si>
    <t>Odorization</t>
  </si>
  <si>
    <t>Distribution-Compressor station labor and expenses</t>
  </si>
  <si>
    <t>Mains and Services Expenses</t>
  </si>
  <si>
    <t>Distribution-Measuring and regulating station expenses</t>
  </si>
  <si>
    <t>Distribution-Measuring and regulating station expenses-Industrial</t>
  </si>
  <si>
    <t>Distribution-Measuring and regulating station expenses-City gate check stations</t>
  </si>
  <si>
    <t>Meter and house regulator expenses</t>
  </si>
  <si>
    <t>Customer installations expenses</t>
  </si>
  <si>
    <t>Distribution-Other expenses</t>
  </si>
  <si>
    <t>Distribution-Rents</t>
  </si>
  <si>
    <t>Distribution-Maintenance supervision and engineering</t>
  </si>
  <si>
    <t>Distribution-Maintenance of structures and improvements</t>
  </si>
  <si>
    <t>Distribution-Maint of mains</t>
  </si>
  <si>
    <t>Maintenance of measuring and regulating station equipment-General</t>
  </si>
  <si>
    <t>Maintenance of measuring and regulating station equipment-Industrial</t>
  </si>
  <si>
    <t>Maintenance of measuring and regulating station equipment-City gate check stations</t>
  </si>
  <si>
    <t>Maintenance of services</t>
  </si>
  <si>
    <t>Maintenance of meters and house regulators</t>
  </si>
  <si>
    <t>Distribution-Maintenance of other equipment</t>
  </si>
  <si>
    <t>Customer accounts-Operation supervision</t>
  </si>
  <si>
    <t>Customer accounts-Meter reading expenses</t>
  </si>
  <si>
    <t>Customer accounts-Customer records and collections expenses</t>
  </si>
  <si>
    <t>Customer accounts-Uncollectible accounts</t>
  </si>
  <si>
    <t>Customer service-Operating informational and instructional advertising expense</t>
  </si>
  <si>
    <t>Customer service-Miscellaneous customer service</t>
  </si>
  <si>
    <t>Sales-Supervision</t>
  </si>
  <si>
    <t>Sales-Demonstrating and selling expenses</t>
  </si>
  <si>
    <t>Sales-Advertising expenses</t>
  </si>
  <si>
    <t>Sales-Miscellaneous sales expenses</t>
  </si>
  <si>
    <t>A&amp;G-Administrative &amp; general salaries</t>
  </si>
  <si>
    <t>A&amp;G-Office supplies &amp; expense</t>
  </si>
  <si>
    <t>A&amp;G-Administrative expense transferred-Credit</t>
  </si>
  <si>
    <t>A&amp;G-Outside services employed</t>
  </si>
  <si>
    <t>A&amp;G-Property insurance</t>
  </si>
  <si>
    <t>A&amp;G-Injuries &amp; damages</t>
  </si>
  <si>
    <t>A&amp;G-Employee pensions and benefits</t>
  </si>
  <si>
    <t>A&amp;G-Franchise requirements</t>
  </si>
  <si>
    <t>A&amp;G-Regulatory commission expenses</t>
  </si>
  <si>
    <t>Miscellaneous general expenses</t>
  </si>
  <si>
    <t>A&amp;G-Maintenance of general plant</t>
  </si>
  <si>
    <t>Operating (Income)Loss*</t>
  </si>
  <si>
    <t>*Note:  Debits are shown as positive, and credits are shown as negatives.  Includes the  Shared Services allocation.</t>
  </si>
  <si>
    <t>**Note:  Provision for Income Taxes is not a component of Operating Income but is included on this schedule to develop the 12 month total for use elsewhere in the model</t>
  </si>
  <si>
    <t>Data Sources:</t>
  </si>
  <si>
    <t>KY Revenue  Billing Unit Forecast TYE 6.30.2024.xlsx</t>
  </si>
  <si>
    <r>
      <t xml:space="preserve">Monthly Jurisdictional Operating Income by FERC Account, </t>
    </r>
    <r>
      <rPr>
        <b/>
        <sz val="12"/>
        <rFont val="Helvetica-Narrow"/>
      </rPr>
      <t>Div 002 Only</t>
    </r>
  </si>
  <si>
    <t>Mains Expenses</t>
  </si>
  <si>
    <t>Sales-Advertising expenses - Contract Labor</t>
  </si>
  <si>
    <t>A&amp;G-General advertising expense</t>
  </si>
  <si>
    <t>Allocation Factor to Kentucky</t>
  </si>
  <si>
    <t>Total Allocated Amount</t>
  </si>
  <si>
    <t>*Note:  Debits are shown as positive, and credits are shown as negatives.  Includes the Shared Services allocation.</t>
  </si>
  <si>
    <r>
      <t xml:space="preserve">Monthly Jurisdictional Operating Income by FERC Account, </t>
    </r>
    <r>
      <rPr>
        <b/>
        <sz val="12"/>
        <rFont val="Helvetica-Narrow"/>
      </rPr>
      <t>Div 012 Only</t>
    </r>
  </si>
  <si>
    <t>Meter and House Regulator Expenses</t>
  </si>
  <si>
    <t>Customer service-Miscellaneous - Building Maintenance</t>
  </si>
  <si>
    <t>Miscellaneous general expenses - Misc General Expense</t>
  </si>
  <si>
    <r>
      <t xml:space="preserve">Monthly Jurisdictional Operating Income by FERC Account, </t>
    </r>
    <r>
      <rPr>
        <b/>
        <sz val="12"/>
        <rFont val="Helvetica-Narrow"/>
      </rPr>
      <t>Div 091 Only</t>
    </r>
  </si>
  <si>
    <t>4060</t>
  </si>
  <si>
    <t>Transmission-Maintenance of me - Non-Inventory Supplies 8650-02005</t>
  </si>
  <si>
    <t>Revenue-Transportation Commercial</t>
  </si>
  <si>
    <t xml:space="preserve">Sales-Miscellaneous sales expe - Customer Relations &amp; Assist </t>
  </si>
  <si>
    <t>A&amp;G-Administrative &amp; General Salaries</t>
  </si>
  <si>
    <t>Maintenance Supervision and Engineering</t>
  </si>
  <si>
    <t>Customer accounts-Meter readin - Non-project Labor</t>
  </si>
  <si>
    <t>Sales-Demonstrating and selling</t>
  </si>
  <si>
    <t>Distribution-Measuring and regulating station expenses-Genrl</t>
  </si>
  <si>
    <t>Account 4081-Taxes Other than Income Tax by Sub-Account</t>
  </si>
  <si>
    <t>FR 16(8)(c)2.3</t>
  </si>
  <si>
    <t>Schedule C-2.3 B</t>
  </si>
  <si>
    <t>Witness: Waller</t>
  </si>
  <si>
    <t>Discription</t>
  </si>
  <si>
    <t>Div 009</t>
  </si>
  <si>
    <t>Payroll</t>
  </si>
  <si>
    <t>Payroll Tax Projects</t>
  </si>
  <si>
    <t>Ad Valorem - Accrual</t>
  </si>
  <si>
    <t>Dot Transmission User Tax</t>
  </si>
  <si>
    <t>Taxes Property and Other</t>
  </si>
  <si>
    <t>Public Service Commission Assessment</t>
  </si>
  <si>
    <t xml:space="preserve">Allocation for taxes other CSC </t>
  </si>
  <si>
    <t>Allocation from taxes other SS</t>
  </si>
  <si>
    <t>Allocation from taxes other Gen Office</t>
  </si>
  <si>
    <t>Div 002</t>
  </si>
  <si>
    <t>Ad Valorem</t>
  </si>
  <si>
    <t>Taxes Property And Other</t>
  </si>
  <si>
    <t>Total Tax Other Than Income Tax</t>
  </si>
  <si>
    <t>Allocated to Kentucky Jurisdiction (Div 009)</t>
  </si>
  <si>
    <t>Div 012</t>
  </si>
  <si>
    <t>Div 091</t>
  </si>
  <si>
    <t>Occupational Licenses</t>
  </si>
  <si>
    <t>SOURCE:</t>
  </si>
  <si>
    <t>Schedule C-2.3 F</t>
  </si>
  <si>
    <t xml:space="preserve">Payroll </t>
  </si>
  <si>
    <t>Benefit Load Projects</t>
  </si>
  <si>
    <t>SOURCES:</t>
  </si>
  <si>
    <t>Ad Valorem Accrual Forecast</t>
  </si>
  <si>
    <t>Balance</t>
  </si>
  <si>
    <t>Base Period Ad Valorem - Accrual</t>
  </si>
  <si>
    <t>C.2.3 B</t>
  </si>
  <si>
    <r>
      <t xml:space="preserve">Remove non-recurring adjustment </t>
    </r>
    <r>
      <rPr>
        <vertAlign val="superscript"/>
        <sz val="10.199999999999999"/>
        <rFont val="Helvetica-Narrow"/>
      </rPr>
      <t>(1)</t>
    </r>
  </si>
  <si>
    <r>
      <t xml:space="preserve">Ad Valorem Recovered in PRP Rates </t>
    </r>
    <r>
      <rPr>
        <sz val="11"/>
        <rFont val="Helvetica-Narrow"/>
      </rPr>
      <t>CASE NO. 2023-00231</t>
    </r>
  </si>
  <si>
    <t>Adjusted Base Period Ad Valorem</t>
  </si>
  <si>
    <t>Ending Base Period Gross Plant</t>
  </si>
  <si>
    <t>B.2 B</t>
  </si>
  <si>
    <t>Ad Valorem Rate</t>
  </si>
  <si>
    <t>Ending Forecasted Period Gross Plant</t>
  </si>
  <si>
    <t>B.2 F</t>
  </si>
  <si>
    <t>Forecasted Period Ad Valorem - Accrual</t>
  </si>
  <si>
    <r>
      <t xml:space="preserve">Note:  </t>
    </r>
    <r>
      <rPr>
        <vertAlign val="superscript"/>
        <sz val="9.35"/>
        <rFont val="Helvetica-Narrow"/>
      </rPr>
      <t xml:space="preserve">1) </t>
    </r>
    <r>
      <rPr>
        <sz val="11"/>
        <rFont val="Helvetica-Narrow"/>
        <family val="2"/>
      </rPr>
      <t>Adjustment to remove non-recurring true-up in Feb 2024 related to prior years settlement (2020-2022).</t>
    </r>
  </si>
  <si>
    <t>Atmos Energy Corporation, Kentucky/Mid-States Division</t>
  </si>
  <si>
    <t xml:space="preserve">Kentucky Jurisdiction Case No. 2024-00276 </t>
  </si>
  <si>
    <t>Base Period: Twelve Months Ended December 31, 2024</t>
  </si>
  <si>
    <t>Forecasted Test Period:  Twelve Months Ended March 31, 2026</t>
  </si>
  <si>
    <t>KMD Trial Balance - Jun''23-Jun''24.xlsx</t>
  </si>
  <si>
    <t>KY Plant Data-2024.xlsx</t>
  </si>
  <si>
    <t>O&amp;M Detail - TME Jun-24.xlsx</t>
  </si>
  <si>
    <t>Gas Cost by FERC 2024.xlsx</t>
  </si>
  <si>
    <t>SSU Trial Balance - TME June 2024.xlsx</t>
  </si>
  <si>
    <t>Income Statement_Report-9220 Accts.xlsx</t>
  </si>
  <si>
    <t>Income Statement - Taxes Other Historical 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</si>
</sst>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0%"/>
    <numFmt numFmtId="168" formatCode="0_);\(0\)"/>
    <numFmt numFmtId="169" formatCode="0.000%"/>
    <numFmt numFmtId="170" formatCode="0000"/>
    <numFmt numFmtId="171" formatCode="000.0"/>
    <numFmt numFmtId="172" formatCode="[$-409]mmm\-yy;@"/>
    <numFmt numFmtId="173" formatCode="0.000000%"/>
  </numFmts>
  <fonts count="20">
    <font>
      <sz val="12"/>
      <name val="Helvetica-Narrow"/>
      <family val="2"/>
    </font>
    <font>
      <b/>
      <sz val="12"/>
      <name val="Helvetica-Narrow"/>
      <family val="2"/>
    </font>
    <font>
      <u/>
      <sz val="12"/>
      <name val="Helvetica-Narrow"/>
      <family val="2"/>
    </font>
    <font>
      <sz val="12"/>
      <name val="Times New Roman"/>
      <family val="1"/>
    </font>
    <font>
      <b/>
      <sz val="9"/>
      <name val="Helvetica-Narrow"/>
      <family val="2"/>
    </font>
    <font>
      <sz val="9"/>
      <name val="Helvetica-Narrow"/>
      <family val="2"/>
    </font>
    <font>
      <sz val="12"/>
      <name val="Helvetica-Narrow"/>
    </font>
    <font>
      <u/>
      <sz val="12"/>
      <name val="Helvetica-Narrow"/>
    </font>
    <font>
      <u val="double"/>
      <sz val="12"/>
      <name val="Helvetica-Narrow"/>
    </font>
    <font>
      <b/>
      <sz val="12"/>
      <name val="Helvetica-Narrow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vertAlign val="superscript"/>
      <sz val="10.199999999999999"/>
      <name val="Helvetica-Narrow"/>
    </font>
    <font>
      <sz val="11"/>
      <name val="Helvetica-Narrow"/>
    </font>
    <font>
      <sz val="11"/>
      <name val="Helvetica-Narrow"/>
      <family val="2"/>
    </font>
    <font>
      <vertAlign val="superscript"/>
      <sz val="9.35"/>
      <name val="Helvetica-Narrow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Helvetica-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37" fontId="0" fillId="0" borderId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40" fontId="12" fillId="2" borderId="0">
      <alignment horizontal="right"/>
    </xf>
  </cellStyleXfs>
  <cellXfs count="189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 applyProtection="1">
      <protection locked="0"/>
    </xf>
    <xf numFmtId="37" fontId="2" fillId="0" borderId="0" xfId="0" applyFont="1"/>
    <xf numFmtId="37" fontId="4" fillId="0" borderId="0" xfId="0" quotePrefix="1" applyFont="1"/>
    <xf numFmtId="37" fontId="5" fillId="0" borderId="0" xfId="0" quotePrefix="1" applyFont="1"/>
    <xf numFmtId="37" fontId="6" fillId="0" borderId="0" xfId="0" applyFont="1"/>
    <xf numFmtId="37" fontId="6" fillId="0" borderId="0" xfId="0" applyFont="1" applyAlignment="1" applyProtection="1">
      <alignment horizontal="center"/>
      <protection locked="0"/>
    </xf>
    <xf numFmtId="37" fontId="6" fillId="0" borderId="0" xfId="0" applyFont="1" applyAlignment="1" applyProtection="1">
      <alignment horizontal="centerContinuous"/>
      <protection locked="0"/>
    </xf>
    <xf numFmtId="37" fontId="6" fillId="0" borderId="0" xfId="0" applyFont="1" applyAlignment="1">
      <alignment horizontal="centerContinuous"/>
    </xf>
    <xf numFmtId="37" fontId="6" fillId="0" borderId="0" xfId="0" applyFont="1" applyAlignment="1" applyProtection="1">
      <alignment horizontal="left"/>
    </xf>
    <xf numFmtId="37" fontId="6" fillId="0" borderId="0" xfId="0" applyFont="1" applyAlignment="1">
      <alignment horizontal="right"/>
    </xf>
    <xf numFmtId="37" fontId="6" fillId="0" borderId="0" xfId="0" applyFont="1" applyAlignment="1" applyProtection="1">
      <alignment horizontal="right"/>
      <protection locked="0"/>
    </xf>
    <xf numFmtId="37" fontId="6" fillId="0" borderId="2" xfId="0" applyFont="1" applyBorder="1" applyAlignment="1" applyProtection="1">
      <alignment horizontal="left"/>
    </xf>
    <xf numFmtId="37" fontId="6" fillId="0" borderId="2" xfId="0" applyFont="1" applyBorder="1"/>
    <xf numFmtId="37" fontId="6" fillId="0" borderId="0" xfId="0" applyFont="1" applyAlignment="1" applyProtection="1">
      <alignment horizontal="left"/>
      <protection locked="0"/>
    </xf>
    <xf numFmtId="37" fontId="6" fillId="0" borderId="2" xfId="0" applyFont="1" applyBorder="1" applyAlignment="1" applyProtection="1">
      <alignment horizontal="left"/>
      <protection locked="0"/>
    </xf>
    <xf numFmtId="37" fontId="6" fillId="0" borderId="2" xfId="0" applyFont="1" applyBorder="1" applyAlignment="1" applyProtection="1">
      <alignment horizontal="center"/>
      <protection locked="0"/>
    </xf>
    <xf numFmtId="37" fontId="6" fillId="0" borderId="0" xfId="0" applyFont="1" applyProtection="1">
      <protection locked="0"/>
    </xf>
    <xf numFmtId="37" fontId="7" fillId="0" borderId="0" xfId="0" applyFont="1" applyAlignment="1" applyProtection="1">
      <alignment horizontal="left"/>
      <protection locked="0"/>
    </xf>
    <xf numFmtId="170" fontId="6" fillId="0" borderId="0" xfId="0" applyNumberFormat="1" applyFont="1" applyAlignment="1" applyProtection="1">
      <alignment horizontal="center"/>
      <protection locked="0"/>
    </xf>
    <xf numFmtId="37" fontId="6" fillId="0" borderId="0" xfId="0" applyFont="1" applyAlignment="1" applyProtection="1">
      <alignment horizontal="left" indent="2"/>
      <protection locked="0"/>
    </xf>
    <xf numFmtId="10" fontId="6" fillId="0" borderId="0" xfId="3" applyNumberFormat="1" applyFont="1"/>
    <xf numFmtId="37" fontId="6" fillId="0" borderId="0" xfId="0" applyFont="1" applyAlignment="1">
      <alignment horizontal="center"/>
    </xf>
    <xf numFmtId="166" fontId="6" fillId="0" borderId="0" xfId="1" applyNumberFormat="1" applyFont="1" applyFill="1" applyProtection="1">
      <protection locked="0"/>
    </xf>
    <xf numFmtId="37" fontId="8" fillId="0" borderId="0" xfId="0" applyFont="1" applyProtection="1"/>
    <xf numFmtId="37" fontId="7" fillId="0" borderId="0" xfId="0" applyFont="1" applyAlignment="1" applyProtection="1">
      <alignment horizontal="left" indent="1"/>
      <protection locked="0"/>
    </xf>
    <xf numFmtId="166" fontId="6" fillId="0" borderId="0" xfId="1" applyNumberFormat="1" applyFont="1" applyFill="1"/>
    <xf numFmtId="170" fontId="6" fillId="0" borderId="0" xfId="0" applyNumberFormat="1" applyFont="1" applyAlignment="1" applyProtection="1">
      <alignment horizontal="center"/>
    </xf>
    <xf numFmtId="37" fontId="6" fillId="0" borderId="0" xfId="0" applyFont="1" applyAlignment="1" applyProtection="1">
      <alignment horizontal="left" indent="1"/>
      <protection locked="0"/>
    </xf>
    <xf numFmtId="164" fontId="6" fillId="0" borderId="0" xfId="2" applyNumberFormat="1" applyFont="1" applyFill="1" applyProtection="1"/>
    <xf numFmtId="166" fontId="6" fillId="0" borderId="0" xfId="1" applyNumberFormat="1" applyFont="1" applyFill="1" applyProtection="1"/>
    <xf numFmtId="164" fontId="6" fillId="0" borderId="1" xfId="2" applyNumberFormat="1" applyFont="1" applyFill="1" applyBorder="1" applyProtection="1"/>
    <xf numFmtId="166" fontId="6" fillId="0" borderId="0" xfId="1" applyNumberFormat="1" applyFont="1" applyFill="1" applyBorder="1" applyProtection="1"/>
    <xf numFmtId="170" fontId="6" fillId="0" borderId="0" xfId="0" applyNumberFormat="1" applyFont="1" applyAlignment="1">
      <alignment horizontal="center"/>
    </xf>
    <xf numFmtId="37" fontId="6" fillId="0" borderId="0" xfId="0" applyFont="1" applyAlignment="1" applyProtection="1">
      <alignment horizontal="left" indent="2"/>
    </xf>
    <xf numFmtId="37" fontId="6" fillId="0" borderId="0" xfId="0" quotePrefix="1" applyFont="1" applyAlignment="1">
      <alignment horizontal="center"/>
    </xf>
    <xf numFmtId="166" fontId="6" fillId="0" borderId="1" xfId="1" applyNumberFormat="1" applyFont="1" applyFill="1" applyBorder="1" applyProtection="1"/>
    <xf numFmtId="164" fontId="6" fillId="0" borderId="0" xfId="2" applyNumberFormat="1" applyFont="1" applyFill="1" applyBorder="1" applyProtection="1"/>
    <xf numFmtId="37" fontId="6" fillId="0" borderId="0" xfId="0" applyFont="1" applyProtection="1"/>
    <xf numFmtId="169" fontId="6" fillId="0" borderId="0" xfId="3" applyNumberFormat="1" applyFont="1"/>
    <xf numFmtId="171" fontId="6" fillId="0" borderId="0" xfId="0" applyNumberFormat="1" applyFont="1" applyAlignment="1" applyProtection="1">
      <alignment horizontal="center"/>
      <protection locked="0"/>
    </xf>
    <xf numFmtId="37" fontId="2" fillId="0" borderId="0" xfId="0" applyFont="1" applyAlignment="1" applyProtection="1">
      <alignment horizontal="left"/>
      <protection locked="0"/>
    </xf>
    <xf numFmtId="37" fontId="2" fillId="0" borderId="0" xfId="0" applyFont="1" applyAlignment="1" applyProtection="1">
      <alignment horizontal="left" indent="1"/>
      <protection locked="0"/>
    </xf>
    <xf numFmtId="37" fontId="9" fillId="0" borderId="0" xfId="0" applyFont="1"/>
    <xf numFmtId="43" fontId="10" fillId="0" borderId="0" xfId="1" applyFont="1"/>
    <xf numFmtId="43" fontId="10" fillId="0" borderId="0" xfId="1" applyFont="1" applyFill="1"/>
    <xf numFmtId="37" fontId="2" fillId="0" borderId="0" xfId="0" applyFont="1" applyAlignment="1">
      <alignment horizontal="centerContinuous"/>
    </xf>
    <xf numFmtId="5" fontId="11" fillId="0" borderId="0" xfId="1" applyNumberFormat="1" applyFont="1" applyFill="1" applyBorder="1"/>
    <xf numFmtId="169" fontId="11" fillId="0" borderId="0" xfId="3" applyNumberFormat="1" applyFont="1" applyFill="1"/>
    <xf numFmtId="37" fontId="1" fillId="0" borderId="0" xfId="0" applyFont="1" applyAlignment="1" applyProtection="1">
      <alignment horizontal="left"/>
    </xf>
    <xf numFmtId="164" fontId="0" fillId="0" borderId="0" xfId="2" applyNumberFormat="1" applyFont="1"/>
    <xf numFmtId="164" fontId="0" fillId="0" borderId="4" xfId="2" applyNumberFormat="1" applyFont="1" applyBorder="1"/>
    <xf numFmtId="164" fontId="0" fillId="0" borderId="0" xfId="2" quotePrefix="1" applyNumberFormat="1" applyFont="1"/>
    <xf numFmtId="10" fontId="0" fillId="0" borderId="0" xfId="3" applyNumberFormat="1" applyFont="1"/>
    <xf numFmtId="37" fontId="15" fillId="0" borderId="0" xfId="0" applyFont="1"/>
    <xf numFmtId="37" fontId="0" fillId="0" borderId="0" xfId="0" applyAlignment="1">
      <alignment horizontal="center"/>
    </xf>
    <xf numFmtId="37" fontId="0" fillId="0" borderId="1" xfId="0" applyBorder="1" applyAlignment="1">
      <alignment horizontal="center"/>
    </xf>
    <xf numFmtId="37" fontId="0" fillId="0" borderId="1" xfId="0" applyBorder="1"/>
    <xf numFmtId="37" fontId="0" fillId="0" borderId="0" xfId="0" applyAlignment="1">
      <alignment horizontal="left" indent="1"/>
    </xf>
    <xf numFmtId="37" fontId="0" fillId="0" borderId="0" xfId="0" applyAlignment="1">
      <alignment horizontal="centerContinuous"/>
    </xf>
    <xf numFmtId="37" fontId="0" fillId="0" borderId="0" xfId="0" applyAlignment="1" applyProtection="1">
      <alignment horizontal="left"/>
    </xf>
    <xf numFmtId="37" fontId="0" fillId="0" borderId="0" xfId="0" applyAlignment="1">
      <alignment horizontal="right"/>
    </xf>
    <xf numFmtId="37" fontId="0" fillId="0" borderId="0" xfId="0" applyAlignment="1" applyProtection="1">
      <alignment horizontal="right"/>
      <protection locked="0"/>
    </xf>
    <xf numFmtId="37" fontId="0" fillId="0" borderId="1" xfId="0" applyBorder="1" applyAlignment="1" applyProtection="1">
      <alignment horizontal="left"/>
    </xf>
    <xf numFmtId="37" fontId="0" fillId="0" borderId="2" xfId="0" applyBorder="1"/>
    <xf numFmtId="37" fontId="0" fillId="0" borderId="2" xfId="0" applyBorder="1" applyAlignment="1" applyProtection="1">
      <alignment horizontal="right"/>
      <protection locked="0"/>
    </xf>
    <xf numFmtId="37" fontId="0" fillId="0" borderId="6" xfId="0" applyBorder="1"/>
    <xf numFmtId="37" fontId="0" fillId="0" borderId="0" xfId="0" applyAlignment="1" applyProtection="1">
      <alignment horizontal="center"/>
      <protection locked="0"/>
    </xf>
    <xf numFmtId="37" fontId="0" fillId="0" borderId="7" xfId="0" applyBorder="1"/>
    <xf numFmtId="37" fontId="0" fillId="0" borderId="2" xfId="0" applyBorder="1" applyAlignment="1" applyProtection="1">
      <alignment horizontal="left"/>
      <protection locked="0"/>
    </xf>
    <xf numFmtId="37" fontId="0" fillId="0" borderId="2" xfId="0" applyBorder="1" applyAlignment="1">
      <alignment horizontal="center"/>
    </xf>
    <xf numFmtId="37" fontId="0" fillId="0" borderId="12" xfId="0" applyBorder="1" applyAlignment="1">
      <alignment horizontal="center"/>
    </xf>
    <xf numFmtId="172" fontId="0" fillId="0" borderId="8" xfId="0" applyNumberFormat="1" applyBorder="1" applyAlignment="1" applyProtection="1">
      <alignment horizontal="center"/>
      <protection locked="0"/>
    </xf>
    <xf numFmtId="37" fontId="0" fillId="0" borderId="0" xfId="0" applyAlignment="1" applyProtection="1">
      <alignment horizontal="left"/>
      <protection locked="0"/>
    </xf>
    <xf numFmtId="37" fontId="0" fillId="0" borderId="9" xfId="0" applyBorder="1" applyAlignment="1" applyProtection="1">
      <alignment horizontal="center"/>
      <protection locked="0"/>
    </xf>
    <xf numFmtId="17" fontId="0" fillId="0" borderId="8" xfId="0" applyNumberFormat="1" applyBorder="1" applyAlignment="1">
      <alignment horizontal="center"/>
    </xf>
    <xf numFmtId="37" fontId="0" fillId="0" borderId="0" xfId="0" applyAlignment="1" applyProtection="1">
      <alignment horizontal="center"/>
    </xf>
    <xf numFmtId="164" fontId="0" fillId="0" borderId="0" xfId="2" applyNumberFormat="1" applyFont="1" applyFill="1"/>
    <xf numFmtId="166" fontId="0" fillId="0" borderId="0" xfId="1" applyNumberFormat="1" applyFont="1" applyFill="1"/>
    <xf numFmtId="9" fontId="0" fillId="0" borderId="0" xfId="3" applyFont="1" applyFill="1"/>
    <xf numFmtId="167" fontId="0" fillId="0" borderId="0" xfId="3" applyNumberFormat="1" applyFont="1" applyFill="1"/>
    <xf numFmtId="164" fontId="0" fillId="0" borderId="11" xfId="2" applyNumberFormat="1" applyFont="1" applyFill="1" applyBorder="1"/>
    <xf numFmtId="164" fontId="0" fillId="0" borderId="0" xfId="2" applyNumberFormat="1" applyFont="1" applyFill="1" applyBorder="1"/>
    <xf numFmtId="40" fontId="17" fillId="0" borderId="0" xfId="5" applyFont="1" applyFill="1" applyAlignment="1">
      <alignment horizontal="left"/>
    </xf>
    <xf numFmtId="37" fontId="0" fillId="0" borderId="11" xfId="0" applyBorder="1" applyAlignment="1" applyProtection="1">
      <alignment horizontal="center"/>
      <protection locked="0"/>
    </xf>
    <xf numFmtId="166" fontId="0" fillId="0" borderId="0" xfId="1" applyNumberFormat="1" applyFont="1" applyFill="1" applyAlignment="1">
      <alignment horizontal="right"/>
    </xf>
    <xf numFmtId="10" fontId="0" fillId="0" borderId="0" xfId="3" applyNumberFormat="1" applyFont="1" applyFill="1"/>
    <xf numFmtId="37" fontId="0" fillId="0" borderId="0" xfId="0" applyAlignment="1">
      <alignment horizontal="left"/>
    </xf>
    <xf numFmtId="37" fontId="0" fillId="0" borderId="2" xfId="0" applyBorder="1" applyAlignment="1" applyProtection="1">
      <alignment horizontal="left"/>
    </xf>
    <xf numFmtId="37" fontId="0" fillId="0" borderId="4" xfId="0" applyBorder="1"/>
    <xf numFmtId="37" fontId="0" fillId="0" borderId="4" xfId="0" applyBorder="1" applyAlignment="1" applyProtection="1">
      <alignment horizontal="left"/>
      <protection locked="0"/>
    </xf>
    <xf numFmtId="37" fontId="0" fillId="0" borderId="4" xfId="0" applyBorder="1" applyAlignment="1">
      <alignment horizontal="center"/>
    </xf>
    <xf numFmtId="37" fontId="0" fillId="0" borderId="1" xfId="0" applyBorder="1" applyAlignment="1" applyProtection="1">
      <alignment horizontal="left"/>
      <protection locked="0"/>
    </xf>
    <xf numFmtId="172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37" fontId="10" fillId="0" borderId="0" xfId="0" applyFont="1"/>
    <xf numFmtId="37" fontId="0" fillId="0" borderId="0" xfId="0" quotePrefix="1"/>
    <xf numFmtId="0" fontId="0" fillId="0" borderId="0" xfId="0" quotePrefix="1" applyNumberFormat="1" applyAlignment="1">
      <alignment horizontal="center"/>
    </xf>
    <xf numFmtId="0" fontId="10" fillId="0" borderId="0" xfId="4"/>
    <xf numFmtId="5" fontId="0" fillId="0" borderId="3" xfId="0" applyNumberFormat="1" applyBorder="1"/>
    <xf numFmtId="10" fontId="0" fillId="0" borderId="1" xfId="3" applyNumberFormat="1" applyFont="1" applyFill="1" applyBorder="1"/>
    <xf numFmtId="10" fontId="0" fillId="0" borderId="0" xfId="3" applyNumberFormat="1" applyFont="1" applyFill="1" applyBorder="1"/>
    <xf numFmtId="5" fontId="0" fillId="0" borderId="0" xfId="0" applyNumberFormat="1"/>
    <xf numFmtId="173" fontId="0" fillId="0" borderId="0" xfId="3" applyNumberFormat="1" applyFont="1" applyFill="1"/>
    <xf numFmtId="39" fontId="0" fillId="0" borderId="0" xfId="0" applyNumberFormat="1" applyAlignment="1">
      <alignment horizontal="center"/>
    </xf>
    <xf numFmtId="39" fontId="0" fillId="0" borderId="0" xfId="0" applyNumberFormat="1"/>
    <xf numFmtId="37" fontId="0" fillId="0" borderId="6" xfId="0" applyBorder="1" applyAlignment="1">
      <alignment horizontal="center"/>
    </xf>
    <xf numFmtId="37" fontId="0" fillId="0" borderId="4" xfId="0" applyBorder="1" applyAlignment="1" applyProtection="1">
      <alignment horizontal="center"/>
      <protection locked="0"/>
    </xf>
    <xf numFmtId="37" fontId="0" fillId="0" borderId="10" xfId="0" applyBorder="1" applyAlignment="1">
      <alignment horizontal="center"/>
    </xf>
    <xf numFmtId="37" fontId="0" fillId="0" borderId="7" xfId="0" applyBorder="1" applyAlignment="1">
      <alignment horizontal="center"/>
    </xf>
    <xf numFmtId="37" fontId="0" fillId="0" borderId="1" xfId="0" applyBorder="1" applyAlignment="1" applyProtection="1">
      <alignment horizontal="center"/>
      <protection locked="0"/>
    </xf>
    <xf numFmtId="37" fontId="0" fillId="0" borderId="8" xfId="0" applyBorder="1" applyAlignment="1">
      <alignment horizontal="center"/>
    </xf>
    <xf numFmtId="170" fontId="0" fillId="0" borderId="0" xfId="0" applyNumberFormat="1" applyAlignment="1">
      <alignment horizontal="left"/>
    </xf>
    <xf numFmtId="37" fontId="18" fillId="0" borderId="0" xfId="0" applyFont="1"/>
    <xf numFmtId="168" fontId="0" fillId="0" borderId="0" xfId="0" applyNumberFormat="1"/>
    <xf numFmtId="170" fontId="0" fillId="0" borderId="0" xfId="0" applyNumberFormat="1" applyAlignment="1" applyProtection="1">
      <alignment horizontal="left"/>
      <protection locked="0"/>
    </xf>
    <xf numFmtId="166" fontId="0" fillId="0" borderId="0" xfId="1" applyNumberFormat="1" applyFont="1" applyFill="1" applyAlignment="1">
      <alignment horizontal="center"/>
    </xf>
    <xf numFmtId="0" fontId="0" fillId="0" borderId="0" xfId="0" applyNumberFormat="1" applyAlignment="1">
      <alignment horizontal="left"/>
    </xf>
    <xf numFmtId="166" fontId="0" fillId="0" borderId="0" xfId="1" applyNumberFormat="1" applyFont="1" applyFill="1" applyAlignment="1">
      <alignment horizontal="left"/>
    </xf>
    <xf numFmtId="166" fontId="0" fillId="0" borderId="0" xfId="0" applyNumberFormat="1"/>
    <xf numFmtId="43" fontId="0" fillId="0" borderId="0" xfId="1" applyFont="1" applyFill="1"/>
    <xf numFmtId="37" fontId="9" fillId="0" borderId="0" xfId="0" applyFont="1" applyAlignment="1">
      <alignment horizontal="left"/>
    </xf>
    <xf numFmtId="170" fontId="9" fillId="0" borderId="0" xfId="0" applyNumberFormat="1" applyFont="1" applyAlignment="1" applyProtection="1">
      <alignment horizontal="left"/>
      <protection locked="0"/>
    </xf>
    <xf numFmtId="0" fontId="9" fillId="0" borderId="0" xfId="0" applyNumberFormat="1" applyFont="1" applyAlignment="1">
      <alignment horizontal="center"/>
    </xf>
    <xf numFmtId="37" fontId="0" fillId="2" borderId="0" xfId="0" applyFill="1"/>
    <xf numFmtId="37" fontId="0" fillId="3" borderId="0" xfId="0" applyFill="1"/>
    <xf numFmtId="37" fontId="0" fillId="0" borderId="0" xfId="0" applyAlignment="1" applyProtection="1">
      <alignment horizontal="centerContinuous"/>
      <protection locked="0"/>
    </xf>
    <xf numFmtId="37" fontId="0" fillId="0" borderId="1" xfId="0" applyBorder="1" applyAlignment="1">
      <alignment horizontal="right"/>
    </xf>
    <xf numFmtId="37" fontId="0" fillId="0" borderId="2" xfId="0" applyBorder="1" applyAlignment="1" applyProtection="1">
      <alignment horizontal="center"/>
      <protection locked="0"/>
    </xf>
    <xf numFmtId="37" fontId="0" fillId="0" borderId="0" xfId="0" applyProtection="1">
      <protection locked="0"/>
    </xf>
    <xf numFmtId="10" fontId="0" fillId="0" borderId="0" xfId="3" applyNumberFormat="1" applyFont="1" applyBorder="1"/>
    <xf numFmtId="170" fontId="0" fillId="0" borderId="0" xfId="0" applyNumberFormat="1" applyAlignment="1" applyProtection="1">
      <alignment horizontal="center"/>
      <protection locked="0"/>
    </xf>
    <xf numFmtId="37" fontId="0" fillId="0" borderId="0" xfId="0" applyAlignment="1" applyProtection="1">
      <alignment horizontal="left" indent="2"/>
      <protection locked="0"/>
    </xf>
    <xf numFmtId="164" fontId="0" fillId="0" borderId="0" xfId="2" applyNumberFormat="1" applyFont="1" applyFill="1" applyBorder="1" applyProtection="1"/>
    <xf numFmtId="166" fontId="0" fillId="0" borderId="0" xfId="1" applyNumberFormat="1" applyFont="1" applyFill="1" applyBorder="1" applyProtection="1"/>
    <xf numFmtId="166" fontId="0" fillId="0" borderId="1" xfId="1" applyNumberFormat="1" applyFont="1" applyFill="1" applyBorder="1" applyProtection="1"/>
    <xf numFmtId="164" fontId="0" fillId="0" borderId="0" xfId="2" applyNumberFormat="1" applyFont="1" applyFill="1" applyProtection="1"/>
    <xf numFmtId="164" fontId="0" fillId="0" borderId="4" xfId="2" applyNumberFormat="1" applyFont="1" applyFill="1" applyBorder="1" applyProtection="1"/>
    <xf numFmtId="170" fontId="0" fillId="0" borderId="0" xfId="0" applyNumberFormat="1" applyAlignment="1" applyProtection="1">
      <alignment horizontal="center"/>
    </xf>
    <xf numFmtId="37" fontId="0" fillId="0" borderId="0" xfId="0" applyAlignment="1" applyProtection="1">
      <alignment horizontal="left" indent="1"/>
      <protection locked="0"/>
    </xf>
    <xf numFmtId="166" fontId="0" fillId="0" borderId="0" xfId="1" applyNumberFormat="1" applyFont="1" applyFill="1" applyProtection="1"/>
    <xf numFmtId="164" fontId="0" fillId="0" borderId="1" xfId="2" applyNumberFormat="1" applyFont="1" applyFill="1" applyBorder="1" applyProtection="1"/>
    <xf numFmtId="37" fontId="0" fillId="0" borderId="0" xfId="0" applyProtection="1"/>
    <xf numFmtId="170" fontId="0" fillId="0" borderId="0" xfId="0" applyNumberFormat="1" applyAlignment="1">
      <alignment horizontal="center"/>
    </xf>
    <xf numFmtId="37" fontId="0" fillId="0" borderId="0" xfId="0" applyAlignment="1" applyProtection="1">
      <alignment horizontal="left" indent="2"/>
    </xf>
    <xf numFmtId="37" fontId="0" fillId="0" borderId="0" xfId="0" quotePrefix="1" applyAlignment="1">
      <alignment horizontal="center"/>
    </xf>
    <xf numFmtId="37" fontId="0" fillId="0" borderId="1" xfId="0" applyBorder="1" applyProtection="1"/>
    <xf numFmtId="170" fontId="0" fillId="0" borderId="0" xfId="0" quotePrefix="1" applyNumberFormat="1" applyAlignment="1" applyProtection="1">
      <alignment horizontal="center"/>
      <protection locked="0"/>
    </xf>
    <xf numFmtId="171" fontId="0" fillId="0" borderId="0" xfId="0" applyNumberFormat="1" applyAlignment="1" applyProtection="1">
      <alignment horizontal="center"/>
      <protection locked="0"/>
    </xf>
    <xf numFmtId="164" fontId="0" fillId="0" borderId="0" xfId="2" applyNumberFormat="1" applyFont="1" applyFill="1" applyProtection="1">
      <protection locked="0"/>
    </xf>
    <xf numFmtId="164" fontId="0" fillId="0" borderId="5" xfId="2" applyNumberFormat="1" applyFont="1" applyFill="1" applyBorder="1" applyProtection="1"/>
    <xf numFmtId="37" fontId="6" fillId="0" borderId="1" xfId="0" applyFont="1" applyBorder="1" applyAlignment="1">
      <alignment horizontal="right"/>
    </xf>
    <xf numFmtId="164" fontId="6" fillId="0" borderId="4" xfId="2" applyNumberFormat="1" applyFont="1" applyFill="1" applyBorder="1" applyProtection="1"/>
    <xf numFmtId="164" fontId="6" fillId="0" borderId="0" xfId="2" applyNumberFormat="1" applyFont="1" applyFill="1" applyProtection="1">
      <protection locked="0"/>
    </xf>
    <xf numFmtId="164" fontId="8" fillId="0" borderId="0" xfId="2" applyNumberFormat="1" applyFont="1" applyFill="1" applyProtection="1"/>
    <xf numFmtId="164" fontId="6" fillId="0" borderId="5" xfId="2" applyNumberFormat="1" applyFont="1" applyFill="1" applyBorder="1" applyProtection="1"/>
    <xf numFmtId="37" fontId="0" fillId="0" borderId="2" xfId="0" applyBorder="1" applyAlignment="1" applyProtection="1">
      <alignment horizontal="center"/>
    </xf>
    <xf numFmtId="37" fontId="0" fillId="0" borderId="4" xfId="0" applyBorder="1" applyAlignment="1" applyProtection="1">
      <alignment horizontal="center"/>
    </xf>
    <xf numFmtId="168" fontId="0" fillId="0" borderId="0" xfId="0" applyNumberFormat="1" applyAlignment="1" applyProtection="1">
      <alignment horizontal="center"/>
      <protection locked="0"/>
    </xf>
    <xf numFmtId="168" fontId="0" fillId="0" borderId="0" xfId="0" applyNumberFormat="1" applyAlignment="1">
      <alignment horizontal="center"/>
    </xf>
    <xf numFmtId="10" fontId="0" fillId="0" borderId="0" xfId="0" applyNumberFormat="1" applyProtection="1"/>
    <xf numFmtId="37" fontId="0" fillId="0" borderId="0" xfId="0" applyAlignment="1" applyProtection="1">
      <alignment horizontal="left" indent="1"/>
    </xf>
    <xf numFmtId="166" fontId="0" fillId="0" borderId="0" xfId="1" applyNumberFormat="1" applyFont="1" applyFill="1" applyProtection="1">
      <protection locked="0"/>
    </xf>
    <xf numFmtId="166" fontId="0" fillId="0" borderId="0" xfId="1" quotePrefix="1" applyNumberFormat="1" applyFont="1" applyFill="1" applyProtection="1"/>
    <xf numFmtId="166" fontId="0" fillId="0" borderId="0" xfId="1" quotePrefix="1" applyNumberFormat="1" applyFont="1" applyFill="1" applyProtection="1">
      <protection locked="0"/>
    </xf>
    <xf numFmtId="169" fontId="0" fillId="0" borderId="0" xfId="0" applyNumberFormat="1" applyProtection="1"/>
    <xf numFmtId="166" fontId="0" fillId="0" borderId="0" xfId="1" applyNumberFormat="1" applyFont="1" applyProtection="1"/>
    <xf numFmtId="37" fontId="0" fillId="0" borderId="2" xfId="0" applyBorder="1" applyProtection="1"/>
    <xf numFmtId="37" fontId="0" fillId="0" borderId="2" xfId="0" applyBorder="1" applyProtection="1">
      <protection locked="0"/>
    </xf>
    <xf numFmtId="37" fontId="0" fillId="0" borderId="1" xfId="0" applyBorder="1" applyProtection="1">
      <protection locked="0"/>
    </xf>
    <xf numFmtId="164" fontId="0" fillId="0" borderId="0" xfId="2" applyNumberFormat="1" applyFont="1" applyProtection="1"/>
    <xf numFmtId="164" fontId="0" fillId="0" borderId="3" xfId="2" applyNumberFormat="1" applyFont="1" applyBorder="1" applyProtection="1"/>
    <xf numFmtId="37" fontId="0" fillId="0" borderId="0" xfId="0" quotePrefix="1" applyProtection="1"/>
    <xf numFmtId="37" fontId="0" fillId="0" borderId="0" xfId="0" applyAlignment="1" applyProtection="1">
      <alignment horizontal="right"/>
    </xf>
    <xf numFmtId="37" fontId="0" fillId="0" borderId="2" xfId="0" applyBorder="1" applyAlignment="1" applyProtection="1">
      <alignment horizontal="right"/>
    </xf>
    <xf numFmtId="165" fontId="0" fillId="0" borderId="0" xfId="3" applyNumberFormat="1" applyFont="1" applyProtection="1"/>
    <xf numFmtId="167" fontId="6" fillId="0" borderId="0" xfId="0" applyNumberFormat="1" applyFont="1" applyProtection="1"/>
    <xf numFmtId="167" fontId="0" fillId="0" borderId="0" xfId="0" applyNumberFormat="1" applyProtection="1"/>
    <xf numFmtId="166" fontId="0" fillId="0" borderId="0" xfId="1" applyNumberFormat="1" applyFont="1"/>
    <xf numFmtId="166" fontId="0" fillId="0" borderId="2" xfId="1" applyNumberFormat="1" applyFont="1" applyFill="1" applyBorder="1" applyProtection="1"/>
    <xf numFmtId="166" fontId="0" fillId="0" borderId="1" xfId="1" applyNumberFormat="1" applyFont="1" applyBorder="1" applyProtection="1"/>
    <xf numFmtId="165" fontId="19" fillId="0" borderId="0" xfId="3" applyNumberFormat="1" applyFont="1" applyProtection="1"/>
    <xf numFmtId="164" fontId="0" fillId="0" borderId="3" xfId="2" applyNumberFormat="1" applyFont="1" applyFill="1" applyBorder="1" applyProtection="1"/>
    <xf numFmtId="37" fontId="1" fillId="0" borderId="0" xfId="0" applyFont="1" applyAlignment="1">
      <alignment horizontal="center"/>
    </xf>
    <xf numFmtId="37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37" fontId="0" fillId="0" borderId="0" xfId="0" applyAlignment="1" applyProtection="1">
      <alignment horizontal="center"/>
      <protection locked="0"/>
    </xf>
    <xf numFmtId="37" fontId="6" fillId="0" borderId="0" xfId="0" applyFont="1" applyAlignment="1" applyProtection="1">
      <alignment horizontal="center"/>
      <protection locked="0"/>
    </xf>
  </cellXfs>
  <cellStyles count="6">
    <cellStyle name="Comma" xfId="1" builtinId="3"/>
    <cellStyle name="Currency" xfId="2" builtinId="4"/>
    <cellStyle name="Normal" xfId="0" builtinId="0"/>
    <cellStyle name="Normal_C.2.2 B" xfId="4" xr:uid="{E5E458BF-CCBC-4192-94E8-141F3387E514}"/>
    <cellStyle name="Output Amounts" xfId="5" xr:uid="{E6BEE359-5653-486F-B160-4989312C360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BA72-C61D-45BB-B495-BD9156A7A462}">
  <sheetPr>
    <tabColor rgb="FF92D050"/>
  </sheetPr>
  <dimension ref="A1:C20"/>
  <sheetViews>
    <sheetView tabSelected="1" view="pageBreakPreview" zoomScale="80" zoomScaleNormal="100" zoomScaleSheetLayoutView="80" workbookViewId="0">
      <selection activeCell="A40" sqref="A40"/>
    </sheetView>
  </sheetViews>
  <sheetFormatPr defaultRowHeight="15"/>
  <cols>
    <col min="1" max="1" width="13.109375" customWidth="1"/>
    <col min="3" max="3" width="51.21875" customWidth="1"/>
  </cols>
  <sheetData>
    <row r="1" spans="1:3">
      <c r="A1" s="185" t="s">
        <v>407</v>
      </c>
      <c r="B1" s="185"/>
      <c r="C1" s="185"/>
    </row>
    <row r="2" spans="1:3">
      <c r="A2" s="185" t="s">
        <v>408</v>
      </c>
      <c r="B2" s="185"/>
      <c r="C2" s="185"/>
    </row>
    <row r="3" spans="1:3">
      <c r="A3" s="185" t="s">
        <v>409</v>
      </c>
      <c r="B3" s="185"/>
      <c r="C3" s="185"/>
    </row>
    <row r="4" spans="1:3">
      <c r="A4" s="185" t="s">
        <v>410</v>
      </c>
      <c r="B4" s="185"/>
      <c r="C4" s="185"/>
    </row>
    <row r="9" spans="1:3" ht="15.75">
      <c r="A9" s="186" t="s">
        <v>0</v>
      </c>
      <c r="B9" s="186"/>
      <c r="C9" s="186"/>
    </row>
    <row r="11" spans="1:3" ht="15.75">
      <c r="A11" s="184" t="s">
        <v>1</v>
      </c>
      <c r="B11" s="184"/>
      <c r="C11" s="184"/>
    </row>
    <row r="14" spans="1:3">
      <c r="A14" s="57" t="s">
        <v>2</v>
      </c>
      <c r="B14" s="57" t="s">
        <v>3</v>
      </c>
      <c r="C14" s="58" t="s">
        <v>4</v>
      </c>
    </row>
    <row r="15" spans="1:3">
      <c r="A15" s="56"/>
    </row>
    <row r="16" spans="1:3">
      <c r="A16" s="59" t="s">
        <v>5</v>
      </c>
      <c r="B16" s="56">
        <v>1</v>
      </c>
      <c r="C16" t="s">
        <v>1</v>
      </c>
    </row>
    <row r="17" spans="1:3">
      <c r="A17" s="59" t="s">
        <v>6</v>
      </c>
      <c r="B17" s="56">
        <v>1</v>
      </c>
      <c r="C17" t="s">
        <v>7</v>
      </c>
    </row>
    <row r="18" spans="1:3">
      <c r="A18" s="59" t="s">
        <v>8</v>
      </c>
      <c r="B18" s="56">
        <v>10</v>
      </c>
      <c r="C18" t="s">
        <v>9</v>
      </c>
    </row>
    <row r="19" spans="1:3">
      <c r="A19" s="59" t="s">
        <v>10</v>
      </c>
      <c r="B19" s="56">
        <v>10</v>
      </c>
      <c r="C19" t="s">
        <v>11</v>
      </c>
    </row>
    <row r="20" spans="1:3">
      <c r="A20" s="59" t="s">
        <v>12</v>
      </c>
      <c r="B20" s="56">
        <v>2</v>
      </c>
      <c r="C20" t="s">
        <v>13</v>
      </c>
    </row>
  </sheetData>
  <mergeCells count="6">
    <mergeCell ref="A11:C11"/>
    <mergeCell ref="A1:C1"/>
    <mergeCell ref="A2:C2"/>
    <mergeCell ref="A3:C3"/>
    <mergeCell ref="A4:C4"/>
    <mergeCell ref="A9:C9"/>
  </mergeCells>
  <printOptions horizontalCentered="1"/>
  <pageMargins left="0.75" right="0.75" top="1" bottom="1" header="0.25" footer="0.5"/>
  <pageSetup orientation="portrait" r:id="rId1"/>
  <headerFooter alignWithMargins="0">
    <oddHeader>&amp;R&amp;8CASE NO. 2024-00276 
FR 16(8)(c)
ATTACHMENT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56F1-6E80-4683-88F0-FA55EFEC9430}">
  <sheetPr>
    <tabColor rgb="FF92D050"/>
  </sheetPr>
  <dimension ref="A1:Y131"/>
  <sheetViews>
    <sheetView view="pageBreakPreview" zoomScale="80" zoomScaleNormal="100" zoomScaleSheetLayoutView="80" workbookViewId="0">
      <selection sqref="A1:P1"/>
    </sheetView>
  </sheetViews>
  <sheetFormatPr defaultColWidth="7.109375" defaultRowHeight="15"/>
  <cols>
    <col min="1" max="1" width="4.6640625" customWidth="1"/>
    <col min="2" max="2" width="9.109375" customWidth="1"/>
    <col min="3" max="3" width="38.77734375" customWidth="1"/>
    <col min="4" max="4" width="12.44140625" customWidth="1"/>
    <col min="5" max="6" width="11.109375" customWidth="1"/>
    <col min="7" max="7" width="11.77734375" bestFit="1" customWidth="1"/>
    <col min="8" max="8" width="11.33203125" bestFit="1" customWidth="1"/>
    <col min="9" max="9" width="12.44140625" customWidth="1"/>
    <col min="10" max="10" width="12.5546875" customWidth="1"/>
    <col min="11" max="11" width="11.33203125" bestFit="1" customWidth="1"/>
    <col min="12" max="13" width="12.44140625" bestFit="1" customWidth="1"/>
    <col min="14" max="14" width="11.33203125" bestFit="1" customWidth="1"/>
    <col min="15" max="15" width="12.44140625" customWidth="1"/>
    <col min="16" max="16" width="13.44140625" bestFit="1" customWidth="1"/>
    <col min="17" max="17" width="12.44140625" customWidth="1"/>
    <col min="18" max="18" width="10" customWidth="1"/>
    <col min="19" max="19" width="13.109375" customWidth="1"/>
    <col min="20" max="20" width="11.21875" customWidth="1"/>
  </cols>
  <sheetData>
    <row r="1" spans="1:19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9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R2" s="96"/>
      <c r="S2" s="96"/>
    </row>
    <row r="3" spans="1:19">
      <c r="A3" s="185" t="s">
        <v>239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R3" s="96"/>
      <c r="S3" s="96"/>
    </row>
    <row r="4" spans="1:19">
      <c r="A4" s="185" t="s">
        <v>410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R4" s="96"/>
      <c r="S4" s="96"/>
    </row>
    <row r="5" spans="1:19">
      <c r="A5" s="56"/>
      <c r="B5" s="56"/>
      <c r="C5" s="56"/>
      <c r="D5" s="105"/>
      <c r="E5" s="106"/>
      <c r="F5" s="105"/>
      <c r="G5" s="106"/>
      <c r="H5" s="106"/>
      <c r="I5" s="106"/>
      <c r="J5" s="106"/>
      <c r="K5" s="106"/>
      <c r="L5" s="105"/>
      <c r="M5" s="106"/>
      <c r="N5" s="105"/>
      <c r="O5" s="106"/>
      <c r="P5" s="56"/>
      <c r="R5" s="96"/>
      <c r="S5" s="96"/>
    </row>
    <row r="6" spans="1:19">
      <c r="A6" s="61" t="str">
        <f>'C.2.1 F'!A6</f>
        <v>Data:________Base Period___X____Forecasted Period</v>
      </c>
      <c r="P6" s="62" t="s">
        <v>240</v>
      </c>
      <c r="R6" s="96"/>
      <c r="S6" s="96"/>
    </row>
    <row r="7" spans="1:19">
      <c r="A7" s="61" t="str">
        <f>'C.2.1 F'!A7</f>
        <v>Type of Filing:___X____Original________Updated ________Revised</v>
      </c>
      <c r="P7" s="63" t="s">
        <v>241</v>
      </c>
      <c r="R7" s="96"/>
      <c r="S7" s="96"/>
    </row>
    <row r="8" spans="1:19">
      <c r="A8" s="64" t="str">
        <f>'C.2.1 F'!A8</f>
        <v>Workpaper Reference No(s).____________________</v>
      </c>
      <c r="P8" s="66" t="str">
        <f>'C.2.2 B 09'!P8</f>
        <v>Witness: Waller, Wiebe, Troup</v>
      </c>
      <c r="R8" s="96"/>
      <c r="S8" s="96"/>
    </row>
    <row r="9" spans="1:19">
      <c r="A9" s="107" t="s">
        <v>22</v>
      </c>
      <c r="B9" s="92" t="s">
        <v>242</v>
      </c>
      <c r="C9" s="108"/>
      <c r="D9" s="92" t="s">
        <v>21</v>
      </c>
      <c r="E9" s="56" t="s">
        <v>21</v>
      </c>
      <c r="F9" s="56" t="s">
        <v>21</v>
      </c>
      <c r="G9" s="56" t="s">
        <v>21</v>
      </c>
      <c r="H9" s="56" t="s">
        <v>21</v>
      </c>
      <c r="I9" s="56" t="s">
        <v>21</v>
      </c>
      <c r="J9" s="56" t="s">
        <v>21</v>
      </c>
      <c r="K9" s="56" t="s">
        <v>21</v>
      </c>
      <c r="L9" s="56" t="s">
        <v>21</v>
      </c>
      <c r="M9" s="56" t="s">
        <v>21</v>
      </c>
      <c r="N9" s="56" t="s">
        <v>21</v>
      </c>
      <c r="O9" s="56" t="s">
        <v>21</v>
      </c>
      <c r="P9" s="109"/>
      <c r="Q9" s="56"/>
      <c r="R9" s="96"/>
      <c r="S9" s="96"/>
    </row>
    <row r="10" spans="1:19">
      <c r="A10" s="110" t="s">
        <v>25</v>
      </c>
      <c r="B10" s="57" t="s">
        <v>25</v>
      </c>
      <c r="C10" s="111" t="s">
        <v>245</v>
      </c>
      <c r="D10" s="94">
        <v>45748</v>
      </c>
      <c r="E10" s="94">
        <f>EOMONTH(D10,0)+1</f>
        <v>45778</v>
      </c>
      <c r="F10" s="94">
        <f t="shared" ref="F10:O10" si="0">EOMONTH(E10,0)+1</f>
        <v>45809</v>
      </c>
      <c r="G10" s="94">
        <f t="shared" si="0"/>
        <v>45839</v>
      </c>
      <c r="H10" s="94">
        <f t="shared" si="0"/>
        <v>45870</v>
      </c>
      <c r="I10" s="94">
        <f t="shared" si="0"/>
        <v>45901</v>
      </c>
      <c r="J10" s="94">
        <f t="shared" si="0"/>
        <v>45931</v>
      </c>
      <c r="K10" s="94">
        <f t="shared" si="0"/>
        <v>45962</v>
      </c>
      <c r="L10" s="94">
        <f t="shared" si="0"/>
        <v>45992</v>
      </c>
      <c r="M10" s="94">
        <f t="shared" si="0"/>
        <v>46023</v>
      </c>
      <c r="N10" s="94">
        <f t="shared" si="0"/>
        <v>46054</v>
      </c>
      <c r="O10" s="94">
        <f t="shared" si="0"/>
        <v>46082</v>
      </c>
      <c r="P10" s="112" t="s">
        <v>246</v>
      </c>
      <c r="Q10" s="56"/>
      <c r="R10" s="56"/>
      <c r="S10" s="56"/>
    </row>
    <row r="11" spans="1:19">
      <c r="D11" s="77" t="s">
        <v>247</v>
      </c>
      <c r="E11" s="77" t="s">
        <v>247</v>
      </c>
      <c r="F11" s="77" t="s">
        <v>247</v>
      </c>
      <c r="G11" s="77" t="s">
        <v>247</v>
      </c>
      <c r="H11" s="77" t="s">
        <v>247</v>
      </c>
      <c r="I11" s="77" t="s">
        <v>247</v>
      </c>
      <c r="J11" s="77" t="s">
        <v>247</v>
      </c>
      <c r="K11" s="77" t="s">
        <v>247</v>
      </c>
      <c r="L11" s="77" t="s">
        <v>247</v>
      </c>
      <c r="M11" s="77" t="s">
        <v>247</v>
      </c>
      <c r="N11" s="77" t="s">
        <v>247</v>
      </c>
      <c r="O11" s="77" t="s">
        <v>247</v>
      </c>
      <c r="P11" s="77" t="s">
        <v>247</v>
      </c>
      <c r="Q11" s="77"/>
    </row>
    <row r="12" spans="1:19">
      <c r="A12" s="56">
        <v>1</v>
      </c>
      <c r="B12" s="95">
        <v>4091</v>
      </c>
      <c r="C12" s="74" t="s">
        <v>222</v>
      </c>
      <c r="D12" s="27">
        <v>433764.93256654608</v>
      </c>
      <c r="E12" s="27">
        <v>433764.93256654608</v>
      </c>
      <c r="F12" s="27">
        <v>433764.93256654608</v>
      </c>
      <c r="G12" s="27">
        <v>433764.93256654608</v>
      </c>
      <c r="H12" s="27">
        <v>433764.93256654608</v>
      </c>
      <c r="I12" s="27">
        <v>433764.93256654608</v>
      </c>
      <c r="J12" s="27">
        <v>433764.93256654608</v>
      </c>
      <c r="K12" s="27">
        <v>433764.93256654608</v>
      </c>
      <c r="L12" s="27">
        <v>433764.93256654608</v>
      </c>
      <c r="M12" s="27">
        <v>433764.93256654608</v>
      </c>
      <c r="N12" s="27">
        <v>433764.93256654608</v>
      </c>
      <c r="O12" s="27">
        <v>433764.93256654608</v>
      </c>
      <c r="P12">
        <f>SUM(D12:O12)</f>
        <v>5205179.1907985518</v>
      </c>
    </row>
    <row r="13" spans="1:19">
      <c r="A13" s="56">
        <f>A12+1</f>
        <v>2</v>
      </c>
      <c r="B13" s="95"/>
      <c r="C13" s="7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9">
      <c r="A14" s="56">
        <f t="shared" ref="A14:A77" si="1">A13+1</f>
        <v>3</v>
      </c>
      <c r="B14" s="95">
        <v>4030</v>
      </c>
      <c r="C14" t="s">
        <v>71</v>
      </c>
      <c r="D14" s="6">
        <v>1800717.4980324502</v>
      </c>
      <c r="E14" s="6">
        <v>1793546.8226818223</v>
      </c>
      <c r="F14" s="6">
        <v>1801437.7585772944</v>
      </c>
      <c r="G14" s="6">
        <v>1805346.4163844755</v>
      </c>
      <c r="H14" s="6">
        <v>1811695.688274957</v>
      </c>
      <c r="I14" s="6">
        <v>1842066.7300508693</v>
      </c>
      <c r="J14" s="6">
        <v>1845194.2550665631</v>
      </c>
      <c r="K14" s="6">
        <v>1848611.7502433585</v>
      </c>
      <c r="L14" s="6">
        <v>1851950.9033438631</v>
      </c>
      <c r="M14" s="6">
        <v>1855800.5832719903</v>
      </c>
      <c r="N14" s="6">
        <v>1859508.1448704656</v>
      </c>
      <c r="O14" s="6">
        <v>1863193.5845583656</v>
      </c>
      <c r="P14">
        <f t="shared" ref="P14:P23" si="2">SUM(D14:O14)</f>
        <v>21979070.135356475</v>
      </c>
    </row>
    <row r="15" spans="1:19">
      <c r="A15" s="56">
        <f t="shared" si="1"/>
        <v>4</v>
      </c>
      <c r="B15" s="95">
        <v>4060</v>
      </c>
      <c r="C15" t="s">
        <v>249</v>
      </c>
      <c r="D15" s="6">
        <f>'C.2.2 B 09'!O15</f>
        <v>4108.7299999999996</v>
      </c>
      <c r="E15" s="6">
        <f>D15</f>
        <v>4108.7299999999996</v>
      </c>
      <c r="F15" s="6">
        <f t="shared" ref="F15:O15" si="3">E15</f>
        <v>4108.7299999999996</v>
      </c>
      <c r="G15" s="6">
        <f t="shared" si="3"/>
        <v>4108.7299999999996</v>
      </c>
      <c r="H15" s="6">
        <f t="shared" si="3"/>
        <v>4108.7299999999996</v>
      </c>
      <c r="I15" s="6">
        <f t="shared" si="3"/>
        <v>4108.7299999999996</v>
      </c>
      <c r="J15" s="6">
        <f t="shared" si="3"/>
        <v>4108.7299999999996</v>
      </c>
      <c r="K15" s="6">
        <f t="shared" si="3"/>
        <v>4108.7299999999996</v>
      </c>
      <c r="L15" s="6">
        <f t="shared" si="3"/>
        <v>4108.7299999999996</v>
      </c>
      <c r="M15" s="6">
        <f t="shared" si="3"/>
        <v>4108.7299999999996</v>
      </c>
      <c r="N15" s="6">
        <f t="shared" si="3"/>
        <v>4108.7299999999996</v>
      </c>
      <c r="O15" s="6">
        <f t="shared" si="3"/>
        <v>4108.7299999999996</v>
      </c>
      <c r="P15">
        <f t="shared" si="2"/>
        <v>49304.75999999998</v>
      </c>
    </row>
    <row r="16" spans="1:19">
      <c r="A16" s="56">
        <f t="shared" si="1"/>
        <v>5</v>
      </c>
      <c r="B16" s="95">
        <v>4081</v>
      </c>
      <c r="C16" t="s">
        <v>250</v>
      </c>
      <c r="D16" s="6">
        <f>'C.2.3 F'!C24</f>
        <v>1153487.9356844095</v>
      </c>
      <c r="E16" s="6">
        <f>'C.2.3 F'!D24</f>
        <v>1134256.9356844095</v>
      </c>
      <c r="F16" s="6">
        <f>'C.2.3 F'!E24</f>
        <v>1134206.9356844095</v>
      </c>
      <c r="G16" s="6">
        <f>'C.2.3 F'!F24</f>
        <v>1208396.9356844095</v>
      </c>
      <c r="H16" s="6">
        <f>'C.2.3 F'!G24</f>
        <v>1134424.9356844095</v>
      </c>
      <c r="I16" s="6">
        <f>'C.2.3 F'!H24</f>
        <v>1134308.9356844095</v>
      </c>
      <c r="J16" s="6">
        <f>'C.2.3 F'!I24</f>
        <v>1135076.9465005316</v>
      </c>
      <c r="K16" s="6">
        <f>'C.2.3 F'!J24</f>
        <v>1157579.3465005315</v>
      </c>
      <c r="L16" s="6">
        <f>'C.2.3 F'!K24</f>
        <v>1135463.9465005316</v>
      </c>
      <c r="M16" s="6">
        <f>'C.2.3 F'!L24</f>
        <v>1135578.9065005316</v>
      </c>
      <c r="N16" s="6">
        <f>'C.2.3 F'!M24</f>
        <v>1135491.9065005316</v>
      </c>
      <c r="O16" s="6">
        <f>'C.2.3 F'!N24</f>
        <v>1205268.9065005316</v>
      </c>
      <c r="P16">
        <f t="shared" si="2"/>
        <v>13803542.573109645</v>
      </c>
    </row>
    <row r="17" spans="1:18">
      <c r="A17" s="56">
        <f t="shared" si="1"/>
        <v>6</v>
      </c>
      <c r="B17" s="95">
        <v>4800</v>
      </c>
      <c r="C17" s="113" t="s">
        <v>251</v>
      </c>
      <c r="D17" s="6">
        <v>-8538618.3919688705</v>
      </c>
      <c r="E17" s="6">
        <v>-5934429.0411818093</v>
      </c>
      <c r="F17" s="6">
        <v>-4292695.357756936</v>
      </c>
      <c r="G17" s="6">
        <v>-4063744.3259086246</v>
      </c>
      <c r="H17" s="6">
        <v>-4114450.8999801613</v>
      </c>
      <c r="I17" s="6">
        <v>-4113391.3245159043</v>
      </c>
      <c r="J17" s="6">
        <v>-5114451.1981932959</v>
      </c>
      <c r="K17" s="6">
        <v>-9311834.6008788608</v>
      </c>
      <c r="L17" s="6">
        <v>-13607654.429036487</v>
      </c>
      <c r="M17" s="6">
        <v>-15837596.794330386</v>
      </c>
      <c r="N17" s="6">
        <v>-16032940.521572027</v>
      </c>
      <c r="O17" s="6">
        <v>-12089948.515114415</v>
      </c>
      <c r="P17" s="6">
        <f t="shared" si="2"/>
        <v>-103051755.40043777</v>
      </c>
    </row>
    <row r="18" spans="1:18">
      <c r="A18" s="56">
        <f t="shared" si="1"/>
        <v>7</v>
      </c>
      <c r="B18" s="95">
        <v>4805</v>
      </c>
      <c r="C18" s="113" t="s">
        <v>252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8">
      <c r="A19" s="56">
        <f t="shared" si="1"/>
        <v>8</v>
      </c>
      <c r="B19" s="95">
        <v>4811</v>
      </c>
      <c r="C19" s="113" t="s">
        <v>253</v>
      </c>
      <c r="D19" s="6">
        <v>-4271267.0598839633</v>
      </c>
      <c r="E19" s="6">
        <v>-3061246.5196948908</v>
      </c>
      <c r="F19" s="6">
        <v>-2273715.0112157352</v>
      </c>
      <c r="G19" s="6">
        <v>-2150099.1898706001</v>
      </c>
      <c r="H19" s="6">
        <v>-2200779.2252973286</v>
      </c>
      <c r="I19" s="6">
        <v>-2188343.7497986248</v>
      </c>
      <c r="J19" s="6">
        <v>-2638127.7950633024</v>
      </c>
      <c r="K19" s="6">
        <v>-4615856.0679500345</v>
      </c>
      <c r="L19" s="6">
        <v>-6633460.0328641133</v>
      </c>
      <c r="M19" s="6">
        <v>-7709055.9460917469</v>
      </c>
      <c r="N19" s="6">
        <v>-7751955.211258404</v>
      </c>
      <c r="O19" s="6">
        <v>-5949916.2813429879</v>
      </c>
      <c r="P19" s="6">
        <f t="shared" si="2"/>
        <v>-51443822.090331733</v>
      </c>
    </row>
    <row r="20" spans="1:18">
      <c r="A20" s="56">
        <f t="shared" si="1"/>
        <v>9</v>
      </c>
      <c r="B20" s="95">
        <v>4812</v>
      </c>
      <c r="C20" t="s">
        <v>254</v>
      </c>
      <c r="D20" s="6">
        <v>-398734.0562752682</v>
      </c>
      <c r="E20" s="6">
        <v>-434239.92035322788</v>
      </c>
      <c r="F20" s="6">
        <v>-214018.24013641232</v>
      </c>
      <c r="G20" s="6">
        <v>-156849.16043032488</v>
      </c>
      <c r="H20" s="6">
        <v>-209344.87904652458</v>
      </c>
      <c r="I20" s="6">
        <v>-211452.45708092599</v>
      </c>
      <c r="J20" s="6">
        <v>-229724.52537608048</v>
      </c>
      <c r="K20" s="6">
        <v>-386089.61645008845</v>
      </c>
      <c r="L20" s="6">
        <v>-609267.2365059834</v>
      </c>
      <c r="M20" s="6">
        <v>-931775.83748187381</v>
      </c>
      <c r="N20" s="6">
        <v>-800144.01077890326</v>
      </c>
      <c r="O20" s="6">
        <v>-548992.10211124248</v>
      </c>
      <c r="P20" s="6">
        <f t="shared" si="2"/>
        <v>-5130632.042026856</v>
      </c>
    </row>
    <row r="21" spans="1:18">
      <c r="A21" s="56">
        <f t="shared" si="1"/>
        <v>10</v>
      </c>
      <c r="B21" s="95">
        <v>4815</v>
      </c>
      <c r="C21" t="s">
        <v>255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8">
      <c r="A22" s="56">
        <f t="shared" si="1"/>
        <v>11</v>
      </c>
      <c r="B22" s="95">
        <v>4816</v>
      </c>
      <c r="C22" t="s">
        <v>256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8" ht="15.75">
      <c r="A23" s="56">
        <f t="shared" si="1"/>
        <v>12</v>
      </c>
      <c r="B23" s="95">
        <v>4820</v>
      </c>
      <c r="C23" t="s">
        <v>257</v>
      </c>
      <c r="D23" s="6">
        <v>-586216.14950195607</v>
      </c>
      <c r="E23" s="6">
        <v>-395282.61200473981</v>
      </c>
      <c r="F23" s="6">
        <v>-266073.25023361092</v>
      </c>
      <c r="G23" s="6">
        <v>-253300.73556073743</v>
      </c>
      <c r="H23" s="6">
        <v>-262664.8307945116</v>
      </c>
      <c r="I23" s="6">
        <v>-266255.81316582358</v>
      </c>
      <c r="J23" s="6">
        <v>-342380.32556798274</v>
      </c>
      <c r="K23" s="6">
        <v>-663240.92247675231</v>
      </c>
      <c r="L23" s="6">
        <v>-990426.2268730551</v>
      </c>
      <c r="M23" s="6">
        <v>-1156161.777829519</v>
      </c>
      <c r="N23" s="6">
        <v>-1154012.0925884186</v>
      </c>
      <c r="O23" s="6">
        <v>-862494.29439180915</v>
      </c>
      <c r="P23" s="6">
        <f t="shared" si="2"/>
        <v>-7198509.0309889168</v>
      </c>
      <c r="R23" s="44"/>
    </row>
    <row r="24" spans="1:18" ht="15.75">
      <c r="A24" s="56">
        <f t="shared" si="1"/>
        <v>13</v>
      </c>
      <c r="B24" s="95">
        <v>4825</v>
      </c>
      <c r="C24" t="s">
        <v>258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R24" s="44"/>
    </row>
    <row r="25" spans="1:18">
      <c r="A25" s="56">
        <f t="shared" si="1"/>
        <v>14</v>
      </c>
      <c r="B25" s="95">
        <v>4870</v>
      </c>
      <c r="C25" t="s">
        <v>259</v>
      </c>
      <c r="D25" s="6">
        <v>-41096.213952947801</v>
      </c>
      <c r="E25" s="6">
        <v>-30593.507387147787</v>
      </c>
      <c r="F25" s="6">
        <v>-21780.060594189254</v>
      </c>
      <c r="G25" s="6">
        <v>-16033.312756770089</v>
      </c>
      <c r="H25" s="6">
        <v>-15171.878621207807</v>
      </c>
      <c r="I25" s="6">
        <v>-15548.307366768042</v>
      </c>
      <c r="J25" s="6">
        <v>-15485.738062021457</v>
      </c>
      <c r="K25" s="6">
        <v>-18793.22858503829</v>
      </c>
      <c r="L25" s="6">
        <v>-33240.004271835103</v>
      </c>
      <c r="M25" s="6">
        <v>-47958.341037120852</v>
      </c>
      <c r="N25" s="6">
        <v>-55753.086848952247</v>
      </c>
      <c r="O25" s="6">
        <v>-56008.220481848206</v>
      </c>
      <c r="P25" s="6">
        <f t="shared" ref="P25:P58" si="4">SUM(D25:O25)</f>
        <v>-367461.89996584691</v>
      </c>
    </row>
    <row r="26" spans="1:18">
      <c r="A26" s="56">
        <f t="shared" si="1"/>
        <v>15</v>
      </c>
      <c r="B26" s="95">
        <v>4880</v>
      </c>
      <c r="C26" t="s">
        <v>260</v>
      </c>
      <c r="D26" s="6">
        <v>-3438</v>
      </c>
      <c r="E26" s="6">
        <v>-3844</v>
      </c>
      <c r="F26" s="6">
        <v>-3004</v>
      </c>
      <c r="G26" s="6">
        <v>-3387</v>
      </c>
      <c r="H26" s="6">
        <v>-3698</v>
      </c>
      <c r="I26" s="6">
        <v>-4212</v>
      </c>
      <c r="J26" s="6">
        <v>-9928</v>
      </c>
      <c r="K26" s="6">
        <v>-8550</v>
      </c>
      <c r="L26" s="6">
        <v>-4906</v>
      </c>
      <c r="M26" s="6">
        <v>-5587</v>
      </c>
      <c r="N26" s="6">
        <v>-4026</v>
      </c>
      <c r="O26" s="6">
        <v>-4332</v>
      </c>
      <c r="P26" s="6">
        <f t="shared" si="4"/>
        <v>-58912</v>
      </c>
    </row>
    <row r="27" spans="1:18">
      <c r="A27" s="56">
        <f t="shared" si="1"/>
        <v>16</v>
      </c>
      <c r="B27" s="95">
        <v>4893</v>
      </c>
      <c r="C27" t="s">
        <v>358</v>
      </c>
      <c r="D27" s="6">
        <v>-1618311.9266338667</v>
      </c>
      <c r="E27" s="6">
        <v>-1551715.143285552</v>
      </c>
      <c r="F27" s="6">
        <v>-1480646.1344903917</v>
      </c>
      <c r="G27" s="6">
        <v>-1499945.5921710199</v>
      </c>
      <c r="H27" s="6">
        <v>-1747368.4696693199</v>
      </c>
      <c r="I27" s="6">
        <v>-1803741.8972384203</v>
      </c>
      <c r="J27" s="6">
        <v>-1813304.3260601205</v>
      </c>
      <c r="K27" s="6">
        <v>-2093702.4031728203</v>
      </c>
      <c r="L27" s="6">
        <v>-1829667.1091907201</v>
      </c>
      <c r="M27" s="6">
        <v>-1797547.4766375204</v>
      </c>
      <c r="N27" s="6">
        <v>-1703648.5195111167</v>
      </c>
      <c r="O27" s="6">
        <v>-1631321.7571991333</v>
      </c>
      <c r="P27" s="6">
        <f t="shared" si="4"/>
        <v>-20570920.755260002</v>
      </c>
      <c r="Q27" s="114"/>
    </row>
    <row r="28" spans="1:18">
      <c r="A28" s="56">
        <f t="shared" si="1"/>
        <v>17</v>
      </c>
      <c r="B28" s="95">
        <v>4950</v>
      </c>
      <c r="C28" t="s">
        <v>100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f t="shared" si="4"/>
        <v>0</v>
      </c>
    </row>
    <row r="29" spans="1:18">
      <c r="A29" s="56">
        <f t="shared" si="1"/>
        <v>18</v>
      </c>
      <c r="B29" s="95">
        <v>4960</v>
      </c>
      <c r="C29" t="s">
        <v>101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f t="shared" si="4"/>
        <v>0</v>
      </c>
    </row>
    <row r="30" spans="1:18">
      <c r="A30" s="56">
        <f t="shared" si="1"/>
        <v>19</v>
      </c>
      <c r="B30" s="95">
        <v>7560</v>
      </c>
      <c r="C30" t="s">
        <v>262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6">
        <f t="shared" si="4"/>
        <v>0</v>
      </c>
    </row>
    <row r="31" spans="1:18">
      <c r="A31" s="56">
        <f t="shared" si="1"/>
        <v>20</v>
      </c>
      <c r="B31" s="95">
        <v>7590</v>
      </c>
      <c r="C31" t="s">
        <v>107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6">
        <f t="shared" si="4"/>
        <v>0</v>
      </c>
    </row>
    <row r="32" spans="1:18">
      <c r="A32" s="56">
        <f t="shared" si="1"/>
        <v>21</v>
      </c>
      <c r="B32" s="95">
        <v>8001</v>
      </c>
      <c r="C32" t="s">
        <v>149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4"/>
        <v>0</v>
      </c>
    </row>
    <row r="33" spans="1:25">
      <c r="A33" s="56">
        <f t="shared" si="1"/>
        <v>22</v>
      </c>
      <c r="B33" s="95">
        <v>8010</v>
      </c>
      <c r="C33" t="s">
        <v>263</v>
      </c>
      <c r="D33" s="6">
        <v>2392.2353989883945</v>
      </c>
      <c r="E33" s="6">
        <v>9695.5092340658739</v>
      </c>
      <c r="F33" s="6">
        <v>5356.248442850926</v>
      </c>
      <c r="G33" s="6">
        <v>11388.053916785808</v>
      </c>
      <c r="H33" s="6">
        <v>25711.99214086193</v>
      </c>
      <c r="I33" s="6">
        <v>22511.040293101021</v>
      </c>
      <c r="J33" s="6">
        <v>12900.051477855282</v>
      </c>
      <c r="K33" s="6">
        <v>14314.648711103817</v>
      </c>
      <c r="L33" s="6">
        <v>6943.7432737872487</v>
      </c>
      <c r="M33" s="6">
        <v>2771.7733792058793</v>
      </c>
      <c r="N33" s="6">
        <v>812.895959528155</v>
      </c>
      <c r="O33" s="6">
        <v>819.12708376433841</v>
      </c>
      <c r="P33" s="6">
        <f t="shared" si="4"/>
        <v>115617.31931189865</v>
      </c>
    </row>
    <row r="34" spans="1:25">
      <c r="A34" s="56">
        <f t="shared" si="1"/>
        <v>23</v>
      </c>
      <c r="B34" s="95">
        <v>8040</v>
      </c>
      <c r="C34" t="s">
        <v>264</v>
      </c>
      <c r="D34" s="6">
        <v>-2962681.8835864738</v>
      </c>
      <c r="E34" s="6">
        <v>7241766.7148213433</v>
      </c>
      <c r="F34" s="6">
        <v>3637630.9424782344</v>
      </c>
      <c r="G34" s="6">
        <v>3432006.5675532129</v>
      </c>
      <c r="H34" s="6">
        <v>5557101.3397973115</v>
      </c>
      <c r="I34" s="6">
        <v>5209154.2813560218</v>
      </c>
      <c r="J34" s="6">
        <v>3972976.7247486087</v>
      </c>
      <c r="K34" s="6">
        <v>5170480.0513902707</v>
      </c>
      <c r="L34" s="6">
        <v>3654146.1864816826</v>
      </c>
      <c r="M34" s="6">
        <v>3496942.0590484953</v>
      </c>
      <c r="N34" s="6">
        <v>10365699.115389695</v>
      </c>
      <c r="O34" s="6">
        <v>1451315.0263003816</v>
      </c>
      <c r="P34" s="6">
        <f t="shared" si="4"/>
        <v>50226537.125778787</v>
      </c>
    </row>
    <row r="35" spans="1:25">
      <c r="A35" s="56">
        <f t="shared" si="1"/>
        <v>24</v>
      </c>
      <c r="B35" s="95">
        <v>8050</v>
      </c>
      <c r="C35" t="s">
        <v>265</v>
      </c>
      <c r="D35" s="6">
        <v>-1461.1344274390467</v>
      </c>
      <c r="E35" s="6">
        <v>-2783.4368672428927</v>
      </c>
      <c r="F35" s="6">
        <v>-4485.6729369928053</v>
      </c>
      <c r="G35" s="6">
        <v>-1652.5663330203988</v>
      </c>
      <c r="H35" s="6">
        <v>-1908.8429177711903</v>
      </c>
      <c r="I35" s="6">
        <v>-4753.7249088861308</v>
      </c>
      <c r="J35" s="6">
        <v>-3080.3583591098104</v>
      </c>
      <c r="K35" s="6">
        <v>-4125.2777178395518</v>
      </c>
      <c r="L35" s="6">
        <v>-569.15425487271318</v>
      </c>
      <c r="M35" s="6">
        <v>-1013.6243658622542</v>
      </c>
      <c r="N35" s="6">
        <v>-1386.4188246916717</v>
      </c>
      <c r="O35" s="6">
        <v>-2310.5276399906093</v>
      </c>
      <c r="P35" s="6">
        <f t="shared" si="4"/>
        <v>-29530.739553719075</v>
      </c>
    </row>
    <row r="36" spans="1:25">
      <c r="A36" s="56">
        <f t="shared" si="1"/>
        <v>25</v>
      </c>
      <c r="B36" s="95">
        <v>8051</v>
      </c>
      <c r="C36" t="s">
        <v>266</v>
      </c>
      <c r="D36" s="6">
        <v>7348868.7780498629</v>
      </c>
      <c r="E36" s="6">
        <v>2526507.2647477356</v>
      </c>
      <c r="F36" s="6">
        <v>938913.71039392403</v>
      </c>
      <c r="G36" s="6">
        <v>851205.85815589526</v>
      </c>
      <c r="H36" s="6">
        <v>808272.92341491766</v>
      </c>
      <c r="I36" s="6">
        <v>779081.43920389086</v>
      </c>
      <c r="J36" s="6">
        <v>761033.75543437933</v>
      </c>
      <c r="K36" s="6">
        <v>2934393.2984820888</v>
      </c>
      <c r="L36" s="6">
        <v>7222024.8034515465</v>
      </c>
      <c r="M36" s="6">
        <v>9161194.9515829794</v>
      </c>
      <c r="N36" s="6">
        <v>12230934.341586756</v>
      </c>
      <c r="O36" s="6">
        <v>7828588.7980813561</v>
      </c>
      <c r="P36" s="6">
        <f t="shared" si="4"/>
        <v>53391019.922585331</v>
      </c>
    </row>
    <row r="37" spans="1:25">
      <c r="A37" s="56">
        <f t="shared" si="1"/>
        <v>26</v>
      </c>
      <c r="B37" s="95">
        <v>8052</v>
      </c>
      <c r="C37" t="s">
        <v>267</v>
      </c>
      <c r="D37" s="6">
        <v>3872293.0740290727</v>
      </c>
      <c r="E37" s="6">
        <v>1738664.8926217211</v>
      </c>
      <c r="F37" s="6">
        <v>853916.68048756209</v>
      </c>
      <c r="G37" s="6">
        <v>833874.61991046753</v>
      </c>
      <c r="H37" s="6">
        <v>779131.81628043065</v>
      </c>
      <c r="I37" s="6">
        <v>958882.60186201369</v>
      </c>
      <c r="J37" s="6">
        <v>912191.3714219518</v>
      </c>
      <c r="K37" s="6">
        <v>1679487.981380956</v>
      </c>
      <c r="L37" s="6">
        <v>3635988.278797783</v>
      </c>
      <c r="M37" s="6">
        <v>4690423.6841393113</v>
      </c>
      <c r="N37" s="6">
        <v>6184507.0206662659</v>
      </c>
      <c r="O37" s="6">
        <v>4010654.398837043</v>
      </c>
      <c r="P37" s="6">
        <f t="shared" si="4"/>
        <v>30150016.420434579</v>
      </c>
    </row>
    <row r="38" spans="1:25">
      <c r="A38" s="56">
        <f t="shared" si="1"/>
        <v>27</v>
      </c>
      <c r="B38" s="95">
        <v>8053</v>
      </c>
      <c r="C38" t="s">
        <v>268</v>
      </c>
      <c r="D38" s="6">
        <v>611528.09489093989</v>
      </c>
      <c r="E38" s="6">
        <v>646299.63686935254</v>
      </c>
      <c r="F38" s="6">
        <v>152037.08966203858</v>
      </c>
      <c r="G38" s="6">
        <v>116548.28861741979</v>
      </c>
      <c r="H38" s="6">
        <v>184295.61125946941</v>
      </c>
      <c r="I38" s="6">
        <v>134074.56780891994</v>
      </c>
      <c r="J38" s="6">
        <v>111742.92495899252</v>
      </c>
      <c r="K38" s="6">
        <v>261600.11065928824</v>
      </c>
      <c r="L38" s="6">
        <v>523724.54634179367</v>
      </c>
      <c r="M38" s="6">
        <v>634034.40588218661</v>
      </c>
      <c r="N38" s="6">
        <v>871468.36841725977</v>
      </c>
      <c r="O38" s="6">
        <v>624742.5190823056</v>
      </c>
      <c r="P38" s="6">
        <f t="shared" si="4"/>
        <v>4872096.1644499665</v>
      </c>
    </row>
    <row r="39" spans="1:25">
      <c r="A39" s="56">
        <f t="shared" si="1"/>
        <v>28</v>
      </c>
      <c r="B39" s="95">
        <v>8054</v>
      </c>
      <c r="C39" t="s">
        <v>269</v>
      </c>
      <c r="D39" s="6">
        <v>652716.05933110032</v>
      </c>
      <c r="E39" s="6">
        <v>372905.41117045801</v>
      </c>
      <c r="F39" s="6">
        <v>142386.67422737443</v>
      </c>
      <c r="G39" s="6">
        <v>133236.88877797822</v>
      </c>
      <c r="H39" s="6">
        <v>140434.62029677219</v>
      </c>
      <c r="I39" s="6">
        <v>109731.36174340738</v>
      </c>
      <c r="J39" s="6">
        <v>129064.1570537137</v>
      </c>
      <c r="K39" s="6">
        <v>289860.64102266362</v>
      </c>
      <c r="L39" s="6">
        <v>596119.72493371472</v>
      </c>
      <c r="M39" s="6">
        <v>738776.9827066483</v>
      </c>
      <c r="N39" s="6">
        <v>1020484.0780388243</v>
      </c>
      <c r="O39" s="6">
        <v>674149.49162062781</v>
      </c>
      <c r="P39" s="6">
        <f t="shared" si="4"/>
        <v>4999866.0909232832</v>
      </c>
    </row>
    <row r="40" spans="1:25">
      <c r="A40" s="56">
        <f t="shared" si="1"/>
        <v>29</v>
      </c>
      <c r="B40" s="95">
        <v>8058</v>
      </c>
      <c r="C40" t="s">
        <v>270</v>
      </c>
      <c r="D40" s="6">
        <v>-5501382.6875122106</v>
      </c>
      <c r="E40" s="6">
        <v>-1169607.3408574194</v>
      </c>
      <c r="F40" s="6">
        <v>-69742.263125539292</v>
      </c>
      <c r="G40" s="6">
        <v>-204111.63292187272</v>
      </c>
      <c r="H40" s="6">
        <v>-16184.837645018688</v>
      </c>
      <c r="I40" s="6">
        <v>-61726.271513189051</v>
      </c>
      <c r="J40" s="6">
        <v>1186151.8258768858</v>
      </c>
      <c r="K40" s="6">
        <v>3056854.0232360521</v>
      </c>
      <c r="L40" s="6">
        <v>1554082.2742554243</v>
      </c>
      <c r="M40" s="6">
        <v>1258249.9531684937</v>
      </c>
      <c r="N40" s="6">
        <v>-4069934.0214233235</v>
      </c>
      <c r="O40" s="6">
        <v>-1726577.6833039485</v>
      </c>
      <c r="P40" s="6">
        <f t="shared" si="4"/>
        <v>-5763928.6617656648</v>
      </c>
    </row>
    <row r="41" spans="1:25">
      <c r="A41" s="56">
        <f t="shared" si="1"/>
        <v>30</v>
      </c>
      <c r="B41" s="95">
        <v>8059</v>
      </c>
      <c r="C41" t="s">
        <v>271</v>
      </c>
      <c r="D41" s="6">
        <v>-14818360.694813848</v>
      </c>
      <c r="E41" s="6">
        <v>-11782098.642874213</v>
      </c>
      <c r="F41" s="6">
        <v>-2307328.8353607138</v>
      </c>
      <c r="G41" s="6">
        <v>-1936783.1796804625</v>
      </c>
      <c r="H41" s="6">
        <v>-3287655.6062094197</v>
      </c>
      <c r="I41" s="6">
        <v>-3328361.2959347693</v>
      </c>
      <c r="J41" s="6">
        <v>-2999905.3766228189</v>
      </c>
      <c r="K41" s="6">
        <v>-4841050.6580040734</v>
      </c>
      <c r="L41" s="6">
        <v>-10519603.765255352</v>
      </c>
      <c r="M41" s="6">
        <v>-10296435.942995055</v>
      </c>
      <c r="N41" s="6">
        <v>-26100673.088167638</v>
      </c>
      <c r="O41" s="6">
        <v>-17439099.88311417</v>
      </c>
      <c r="P41" s="6">
        <f t="shared" si="4"/>
        <v>-109657356.96903254</v>
      </c>
    </row>
    <row r="42" spans="1:25">
      <c r="A42" s="56">
        <f t="shared" si="1"/>
        <v>31</v>
      </c>
      <c r="B42" s="95">
        <v>8060</v>
      </c>
      <c r="C42" t="s">
        <v>272</v>
      </c>
      <c r="D42" s="6">
        <v>2540275.8388131224</v>
      </c>
      <c r="E42" s="6">
        <v>-16889.735671983635</v>
      </c>
      <c r="F42" s="6">
        <v>-1886793.8036643991</v>
      </c>
      <c r="G42" s="6">
        <v>-1785590.4774341478</v>
      </c>
      <c r="H42" s="6">
        <v>-2234709.8959931321</v>
      </c>
      <c r="I42" s="6">
        <v>-2006648.096798202</v>
      </c>
      <c r="J42" s="6">
        <v>-966436.68172165973</v>
      </c>
      <c r="K42" s="6">
        <v>-761940.86032155622</v>
      </c>
      <c r="L42" s="6">
        <v>413719.0869677373</v>
      </c>
      <c r="M42" s="6">
        <v>1394794.1905072532</v>
      </c>
      <c r="N42" s="6">
        <v>2812528.9528627833</v>
      </c>
      <c r="O42" s="6">
        <v>2375656.7752858484</v>
      </c>
      <c r="P42" s="6">
        <f t="shared" si="4"/>
        <v>-122034.7071683351</v>
      </c>
    </row>
    <row r="43" spans="1:25">
      <c r="A43" s="56">
        <f t="shared" si="1"/>
        <v>32</v>
      </c>
      <c r="B43" s="95">
        <v>8081</v>
      </c>
      <c r="C43" t="s">
        <v>273</v>
      </c>
      <c r="D43" s="6">
        <v>8643191.9644360151</v>
      </c>
      <c r="E43" s="6">
        <v>56992.714218291592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4812.1683844253384</v>
      </c>
      <c r="L43" s="6">
        <v>2872877.5602441221</v>
      </c>
      <c r="M43" s="6">
        <v>2441321.0254288334</v>
      </c>
      <c r="N43" s="6">
        <v>8021213.1602572314</v>
      </c>
      <c r="O43" s="6">
        <v>8758530.4442911725</v>
      </c>
      <c r="P43" s="6">
        <f t="shared" si="4"/>
        <v>30798939.037260093</v>
      </c>
    </row>
    <row r="44" spans="1:25">
      <c r="A44" s="56">
        <f t="shared" si="1"/>
        <v>33</v>
      </c>
      <c r="B44" s="95">
        <v>8082</v>
      </c>
      <c r="C44" t="s">
        <v>274</v>
      </c>
      <c r="D44" s="6">
        <v>-5971.9020944245503</v>
      </c>
      <c r="E44" s="6">
        <v>-768379.28496600315</v>
      </c>
      <c r="F44" s="6">
        <v>-2176562.7143320246</v>
      </c>
      <c r="G44" s="6">
        <v>-1641671.422766333</v>
      </c>
      <c r="H44" s="6">
        <v>-3049335.5624691406</v>
      </c>
      <c r="I44" s="6">
        <v>-2431227.0630959338</v>
      </c>
      <c r="J44" s="6">
        <v>-1897749.6671765391</v>
      </c>
      <c r="K44" s="6">
        <v>-2235278.5895124665</v>
      </c>
      <c r="L44" s="6">
        <v>-111411.1169727416</v>
      </c>
      <c r="M44" s="6">
        <v>-14204.091088256617</v>
      </c>
      <c r="N44" s="6">
        <v>-20256.972136331606</v>
      </c>
      <c r="O44" s="6">
        <v>-62576.765732113548</v>
      </c>
      <c r="P44" s="6">
        <f t="shared" si="4"/>
        <v>-14414625.152342308</v>
      </c>
    </row>
    <row r="45" spans="1:25">
      <c r="A45" s="56">
        <f t="shared" si="1"/>
        <v>34</v>
      </c>
      <c r="B45" s="95">
        <v>8120</v>
      </c>
      <c r="C45" t="s">
        <v>275</v>
      </c>
      <c r="D45" s="6">
        <v>-1804.3559278113401</v>
      </c>
      <c r="E45" s="6">
        <v>-2140.1867921110052</v>
      </c>
      <c r="F45" s="6">
        <v>2542.0253674812011</v>
      </c>
      <c r="G45" s="6">
        <v>3506.1583146576436</v>
      </c>
      <c r="H45" s="6">
        <v>-226.13697759402393</v>
      </c>
      <c r="I45" s="6">
        <v>-124.58184452432263</v>
      </c>
      <c r="J45" s="6">
        <v>-262.2826096432679</v>
      </c>
      <c r="K45" s="6">
        <v>-1401.482323826775</v>
      </c>
      <c r="L45" s="6">
        <v>787.91812750033739</v>
      </c>
      <c r="M45" s="6">
        <v>-378.05917572415154</v>
      </c>
      <c r="N45" s="6">
        <v>-9377.6821900046743</v>
      </c>
      <c r="O45" s="6">
        <v>706.80130351085575</v>
      </c>
      <c r="P45" s="6">
        <f t="shared" si="4"/>
        <v>-8171.864728089522</v>
      </c>
    </row>
    <row r="46" spans="1:25">
      <c r="A46" s="56">
        <f t="shared" si="1"/>
        <v>35</v>
      </c>
      <c r="B46" s="95">
        <v>8580</v>
      </c>
      <c r="C46" t="s">
        <v>276</v>
      </c>
      <c r="D46" s="6">
        <v>6602615.5762740579</v>
      </c>
      <c r="E46" s="6">
        <v>5261696.1621057419</v>
      </c>
      <c r="F46" s="6">
        <v>2732183.8353730445</v>
      </c>
      <c r="G46" s="6">
        <v>1922303.024743964</v>
      </c>
      <c r="H46" s="6">
        <v>2990796.5756512894</v>
      </c>
      <c r="I46" s="6">
        <v>2539324.8590886681</v>
      </c>
      <c r="J46" s="6">
        <v>1881295.3076536632</v>
      </c>
      <c r="K46" s="6">
        <v>2652788.517070136</v>
      </c>
      <c r="L46" s="6">
        <v>3683897.4595156377</v>
      </c>
      <c r="M46" s="6">
        <v>2975824.6100853845</v>
      </c>
      <c r="N46" s="6">
        <v>4922062.354659427</v>
      </c>
      <c r="O46" s="6">
        <v>4917665.803525107</v>
      </c>
      <c r="P46" s="6">
        <f t="shared" si="4"/>
        <v>43082454.085746109</v>
      </c>
    </row>
    <row r="47" spans="1:25">
      <c r="A47" s="56">
        <f t="shared" si="1"/>
        <v>36</v>
      </c>
      <c r="B47" s="95">
        <v>8140</v>
      </c>
      <c r="C47" t="s">
        <v>277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>
        <f t="shared" si="4"/>
        <v>0</v>
      </c>
      <c r="Y47" s="115"/>
    </row>
    <row r="48" spans="1:25">
      <c r="A48" s="56">
        <f t="shared" si="1"/>
        <v>37</v>
      </c>
      <c r="B48" s="95">
        <v>8160</v>
      </c>
      <c r="C48" t="s">
        <v>278</v>
      </c>
      <c r="D48" s="27">
        <v>2891.5776269170383</v>
      </c>
      <c r="E48" s="27">
        <v>2905.7033277648247</v>
      </c>
      <c r="F48" s="27">
        <v>2930.6398287930929</v>
      </c>
      <c r="G48" s="27">
        <v>2862.4588214947416</v>
      </c>
      <c r="H48" s="27">
        <v>2898.3529314637935</v>
      </c>
      <c r="I48" s="27">
        <v>3077.2614693771238</v>
      </c>
      <c r="J48" s="27">
        <v>3042.0999959852502</v>
      </c>
      <c r="K48" s="27">
        <v>2886.1148349336131</v>
      </c>
      <c r="L48" s="27">
        <v>3069.9238532057925</v>
      </c>
      <c r="M48" s="27">
        <v>2915.5971803797238</v>
      </c>
      <c r="N48" s="27">
        <v>2701.1121199325607</v>
      </c>
      <c r="O48" s="27">
        <v>2982.7141211635721</v>
      </c>
      <c r="P48">
        <f t="shared" si="4"/>
        <v>35163.556111411126</v>
      </c>
      <c r="Y48" s="115"/>
    </row>
    <row r="49" spans="1:25">
      <c r="A49" s="56">
        <f t="shared" si="1"/>
        <v>38</v>
      </c>
      <c r="B49" s="95">
        <v>8170</v>
      </c>
      <c r="C49" t="s">
        <v>279</v>
      </c>
      <c r="D49" s="27">
        <v>1910.9356724206832</v>
      </c>
      <c r="E49" s="27">
        <v>1926.3992621006123</v>
      </c>
      <c r="F49" s="27">
        <v>1891.4729292168827</v>
      </c>
      <c r="G49" s="27">
        <v>1864.5165288756373</v>
      </c>
      <c r="H49" s="27">
        <v>1798.0584113335856</v>
      </c>
      <c r="I49" s="27">
        <v>1875.4589748267781</v>
      </c>
      <c r="J49" s="27">
        <v>1945.6797054492504</v>
      </c>
      <c r="K49" s="27">
        <v>1885.3039046239155</v>
      </c>
      <c r="L49" s="27">
        <v>1934.1575796449417</v>
      </c>
      <c r="M49" s="27">
        <v>2002.4276776444394</v>
      </c>
      <c r="N49" s="27">
        <v>1819.0942930431911</v>
      </c>
      <c r="O49" s="27">
        <v>1928.0695403550808</v>
      </c>
      <c r="P49">
        <f t="shared" si="4"/>
        <v>22781.574479535</v>
      </c>
      <c r="Y49" s="115"/>
    </row>
    <row r="50" spans="1:25">
      <c r="A50" s="56">
        <f t="shared" si="1"/>
        <v>39</v>
      </c>
      <c r="B50" s="95">
        <v>8180</v>
      </c>
      <c r="C50" t="s">
        <v>280</v>
      </c>
      <c r="D50" s="27">
        <v>3725.9663352892239</v>
      </c>
      <c r="E50" s="27">
        <v>3854.4864748173159</v>
      </c>
      <c r="F50" s="27">
        <v>3516.6269598444833</v>
      </c>
      <c r="G50" s="27">
        <v>3656.8665914707699</v>
      </c>
      <c r="H50" s="27">
        <v>3419.2795251252301</v>
      </c>
      <c r="I50" s="27">
        <v>3641.4324064532593</v>
      </c>
      <c r="J50" s="27">
        <v>3958.2048305256176</v>
      </c>
      <c r="K50" s="27">
        <v>3719.2899319698972</v>
      </c>
      <c r="L50" s="27">
        <v>3886.7800859627896</v>
      </c>
      <c r="M50" s="27">
        <v>4153.2162380897662</v>
      </c>
      <c r="N50" s="27">
        <v>3525.2634448253584</v>
      </c>
      <c r="O50" s="27">
        <v>3719.0160864185809</v>
      </c>
      <c r="P50">
        <f t="shared" si="4"/>
        <v>44776.428910792289</v>
      </c>
      <c r="Y50" s="115"/>
    </row>
    <row r="51" spans="1:25">
      <c r="A51" s="56">
        <f t="shared" si="1"/>
        <v>40</v>
      </c>
      <c r="B51" s="95">
        <v>8190</v>
      </c>
      <c r="C51" t="s">
        <v>281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>
        <f t="shared" si="4"/>
        <v>0</v>
      </c>
      <c r="Y51" s="115"/>
    </row>
    <row r="52" spans="1:25">
      <c r="A52" s="56">
        <f t="shared" si="1"/>
        <v>41</v>
      </c>
      <c r="B52" s="95">
        <v>8200</v>
      </c>
      <c r="C52" t="s">
        <v>282</v>
      </c>
      <c r="D52" s="27">
        <v>804.30156483703263</v>
      </c>
      <c r="E52" s="27">
        <v>784.72122299025375</v>
      </c>
      <c r="F52" s="27">
        <v>840.97398787316297</v>
      </c>
      <c r="G52" s="27">
        <v>784.30191310824171</v>
      </c>
      <c r="H52" s="27">
        <v>784.64773877503171</v>
      </c>
      <c r="I52" s="27">
        <v>798.25163533312593</v>
      </c>
      <c r="J52" s="27">
        <v>774.70193427914433</v>
      </c>
      <c r="K52" s="27">
        <v>787.13455916491671</v>
      </c>
      <c r="L52" s="27">
        <v>792.13100221139939</v>
      </c>
      <c r="M52" s="27">
        <v>780.53630591367846</v>
      </c>
      <c r="N52" s="27">
        <v>780.55649430341134</v>
      </c>
      <c r="O52" s="27">
        <v>823.76730933313161</v>
      </c>
      <c r="P52">
        <f t="shared" si="4"/>
        <v>9536.025668122531</v>
      </c>
      <c r="Y52" s="115"/>
    </row>
    <row r="53" spans="1:25">
      <c r="A53" s="56">
        <f t="shared" si="1"/>
        <v>42</v>
      </c>
      <c r="B53" s="95">
        <v>8210</v>
      </c>
      <c r="C53" t="s">
        <v>283</v>
      </c>
      <c r="D53" s="27">
        <v>7004.2548457918601</v>
      </c>
      <c r="E53" s="27">
        <v>7154.4384348523445</v>
      </c>
      <c r="F53" s="27">
        <v>6771.0824234776765</v>
      </c>
      <c r="G53" s="27">
        <v>6859.2764813487429</v>
      </c>
      <c r="H53" s="27">
        <v>6490.6257787074383</v>
      </c>
      <c r="I53" s="27">
        <v>6859.9541943990625</v>
      </c>
      <c r="J53" s="27">
        <v>7288.8027092296397</v>
      </c>
      <c r="K53" s="27">
        <v>6962.2460265381451</v>
      </c>
      <c r="L53" s="27">
        <v>7242.975168976307</v>
      </c>
      <c r="M53" s="27">
        <v>7616.0254008148013</v>
      </c>
      <c r="N53" s="27">
        <v>6653.8170715233791</v>
      </c>
      <c r="O53" s="27">
        <v>7036.4470771810647</v>
      </c>
      <c r="P53">
        <f t="shared" si="4"/>
        <v>83939.945612840456</v>
      </c>
      <c r="Y53" s="115"/>
    </row>
    <row r="54" spans="1:25">
      <c r="A54" s="56">
        <f t="shared" si="1"/>
        <v>43</v>
      </c>
      <c r="B54" s="95">
        <v>8240</v>
      </c>
      <c r="C54" t="s">
        <v>284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>
        <f t="shared" si="4"/>
        <v>0</v>
      </c>
      <c r="Y54" s="115"/>
    </row>
    <row r="55" spans="1:25">
      <c r="A55" s="56">
        <f t="shared" si="1"/>
        <v>44</v>
      </c>
      <c r="B55" s="95">
        <v>8250</v>
      </c>
      <c r="C55" t="s">
        <v>285</v>
      </c>
      <c r="D55" s="27">
        <v>902.13319571862939</v>
      </c>
      <c r="E55" s="27">
        <v>915.13973104473814</v>
      </c>
      <c r="F55" s="27">
        <v>879.78113377582463</v>
      </c>
      <c r="G55" s="27">
        <v>867.09706989111783</v>
      </c>
      <c r="H55" s="27">
        <v>896.2738589368081</v>
      </c>
      <c r="I55" s="27">
        <v>883.49346058811545</v>
      </c>
      <c r="J55" s="27">
        <v>925.57187954705944</v>
      </c>
      <c r="K55" s="27">
        <v>860.37572447149364</v>
      </c>
      <c r="L55" s="27">
        <v>789.16350155485259</v>
      </c>
      <c r="M55" s="27">
        <v>840.80072020487546</v>
      </c>
      <c r="N55" s="27">
        <v>837.37183905798315</v>
      </c>
      <c r="O55" s="27">
        <v>884.74894604215683</v>
      </c>
      <c r="P55">
        <f t="shared" si="4"/>
        <v>10481.951060833655</v>
      </c>
      <c r="Y55" s="115"/>
    </row>
    <row r="56" spans="1:25">
      <c r="A56" s="56">
        <f t="shared" si="1"/>
        <v>45</v>
      </c>
      <c r="B56" s="95">
        <v>8310</v>
      </c>
      <c r="C56" t="s">
        <v>286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>
        <f t="shared" si="4"/>
        <v>0</v>
      </c>
      <c r="R56" s="116"/>
      <c r="Y56" s="115"/>
    </row>
    <row r="57" spans="1:25">
      <c r="A57" s="56">
        <f t="shared" si="1"/>
        <v>46</v>
      </c>
      <c r="B57" s="95">
        <v>8340</v>
      </c>
      <c r="C57" t="s">
        <v>287</v>
      </c>
      <c r="D57" s="27">
        <v>3860.075927675156</v>
      </c>
      <c r="E57" s="27">
        <v>4006.7976091948326</v>
      </c>
      <c r="F57" s="27">
        <v>3619.3150682799524</v>
      </c>
      <c r="G57" s="27">
        <v>3790.4027968217815</v>
      </c>
      <c r="H57" s="27">
        <v>3534.2001975837234</v>
      </c>
      <c r="I57" s="27">
        <v>3770.3069137186189</v>
      </c>
      <c r="J57" s="27">
        <v>4123.1933200151498</v>
      </c>
      <c r="K57" s="27">
        <v>3856.8040203196629</v>
      </c>
      <c r="L57" s="27">
        <v>4033.1565420066031</v>
      </c>
      <c r="M57" s="27">
        <v>4328.4279964965535</v>
      </c>
      <c r="N57" s="27">
        <v>3647.7039968321815</v>
      </c>
      <c r="O57" s="27">
        <v>3845.6296000962993</v>
      </c>
      <c r="P57">
        <f t="shared" si="4"/>
        <v>46416.013989040512</v>
      </c>
      <c r="R57" s="116"/>
      <c r="Y57" s="115"/>
    </row>
    <row r="58" spans="1:25">
      <c r="A58" s="56">
        <f t="shared" si="1"/>
        <v>47</v>
      </c>
      <c r="B58" s="95">
        <v>8350</v>
      </c>
      <c r="C58" t="s">
        <v>288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>
        <f t="shared" si="4"/>
        <v>0</v>
      </c>
      <c r="R58" s="116"/>
      <c r="Y58" s="115"/>
    </row>
    <row r="59" spans="1:25">
      <c r="A59" s="56">
        <f t="shared" si="1"/>
        <v>48</v>
      </c>
      <c r="B59" s="95">
        <v>8360</v>
      </c>
      <c r="C59" t="s">
        <v>289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>
        <f t="shared" ref="P59:P111" si="5">SUM(D59:O59)</f>
        <v>0</v>
      </c>
      <c r="R59" s="116"/>
      <c r="Y59" s="115"/>
    </row>
    <row r="60" spans="1:25">
      <c r="A60" s="56">
        <f t="shared" si="1"/>
        <v>49</v>
      </c>
      <c r="B60" s="95">
        <v>8370</v>
      </c>
      <c r="C60" t="s">
        <v>129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>
        <f t="shared" si="5"/>
        <v>0</v>
      </c>
      <c r="R60" s="116"/>
      <c r="Y60" s="115"/>
    </row>
    <row r="61" spans="1:25">
      <c r="A61" s="56">
        <f t="shared" si="1"/>
        <v>50</v>
      </c>
      <c r="B61" s="95">
        <v>8410</v>
      </c>
      <c r="C61" t="s">
        <v>290</v>
      </c>
      <c r="D61" s="27">
        <v>19409.14164907037</v>
      </c>
      <c r="E61" s="27">
        <v>20098.935535699573</v>
      </c>
      <c r="F61" s="27">
        <v>18227.355317802998</v>
      </c>
      <c r="G61" s="27">
        <v>19034.585459504196</v>
      </c>
      <c r="H61" s="27">
        <v>17818.373137500083</v>
      </c>
      <c r="I61" s="27">
        <v>19086.65354395752</v>
      </c>
      <c r="J61" s="27">
        <v>20700.275071307376</v>
      </c>
      <c r="K61" s="27">
        <v>19333.838491909799</v>
      </c>
      <c r="L61" s="27">
        <v>20198.117793982688</v>
      </c>
      <c r="M61" s="27">
        <v>21629.067864582528</v>
      </c>
      <c r="N61" s="27">
        <v>18333.626687065193</v>
      </c>
      <c r="O61" s="27">
        <v>19372.867153345778</v>
      </c>
      <c r="P61">
        <f t="shared" si="5"/>
        <v>233242.8377057281</v>
      </c>
      <c r="R61" s="116"/>
      <c r="Y61" s="115"/>
    </row>
    <row r="62" spans="1:25">
      <c r="A62" s="56">
        <f t="shared" si="1"/>
        <v>51</v>
      </c>
      <c r="B62" s="95">
        <v>8500</v>
      </c>
      <c r="C62" t="s">
        <v>153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>
        <f t="shared" si="5"/>
        <v>0</v>
      </c>
      <c r="R62" s="116"/>
      <c r="Y62" s="115"/>
    </row>
    <row r="63" spans="1:25">
      <c r="A63" s="56">
        <f t="shared" si="1"/>
        <v>52</v>
      </c>
      <c r="B63" s="95">
        <v>8520</v>
      </c>
      <c r="C63" t="s">
        <v>134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>
        <f t="shared" si="5"/>
        <v>0</v>
      </c>
      <c r="R63" s="116"/>
      <c r="Y63" s="115"/>
    </row>
    <row r="64" spans="1:25">
      <c r="A64" s="56">
        <f t="shared" si="1"/>
        <v>53</v>
      </c>
      <c r="B64" s="95">
        <v>8550</v>
      </c>
      <c r="C64" t="s">
        <v>291</v>
      </c>
      <c r="D64" s="27">
        <v>42.031451372536431</v>
      </c>
      <c r="E64" s="27">
        <v>42.637441219356148</v>
      </c>
      <c r="F64" s="27">
        <v>40.990042399799833</v>
      </c>
      <c r="G64" s="27">
        <v>40.399076878404173</v>
      </c>
      <c r="H64" s="27">
        <v>41.758457949625907</v>
      </c>
      <c r="I64" s="27">
        <v>41.163004091743197</v>
      </c>
      <c r="J64" s="27">
        <v>43.123487342664035</v>
      </c>
      <c r="K64" s="27">
        <v>40.085921454677724</v>
      </c>
      <c r="L64" s="27">
        <v>36.768059858567504</v>
      </c>
      <c r="M64" s="27">
        <v>39.173898879902445</v>
      </c>
      <c r="N64" s="27">
        <v>39.01414325637392</v>
      </c>
      <c r="O64" s="27">
        <v>41.221498642282846</v>
      </c>
      <c r="P64">
        <f t="shared" si="5"/>
        <v>488.36648334593411</v>
      </c>
      <c r="R64" s="116"/>
      <c r="Y64" s="115"/>
    </row>
    <row r="65" spans="1:25">
      <c r="A65" s="56">
        <f t="shared" si="1"/>
        <v>54</v>
      </c>
      <c r="B65" s="95">
        <v>8560</v>
      </c>
      <c r="C65" t="s">
        <v>292</v>
      </c>
      <c r="D65" s="27">
        <v>12008.803300361351</v>
      </c>
      <c r="E65" s="27">
        <v>12361.182526479864</v>
      </c>
      <c r="F65" s="27">
        <v>11523.560024243292</v>
      </c>
      <c r="G65" s="27">
        <v>11800.393494387394</v>
      </c>
      <c r="H65" s="27">
        <v>11133.728393986734</v>
      </c>
      <c r="I65" s="27">
        <v>11811.825627203551</v>
      </c>
      <c r="J65" s="27">
        <v>13021.938593455523</v>
      </c>
      <c r="K65" s="27">
        <v>12371.47915462034</v>
      </c>
      <c r="L65" s="27">
        <v>12872.736192965704</v>
      </c>
      <c r="M65" s="27">
        <v>13162.538652291238</v>
      </c>
      <c r="N65" s="27">
        <v>11395.393281825243</v>
      </c>
      <c r="O65" s="27">
        <v>12035.155183626854</v>
      </c>
      <c r="P65">
        <f t="shared" si="5"/>
        <v>145498.73442544707</v>
      </c>
      <c r="R65" s="116"/>
      <c r="Y65" s="115"/>
    </row>
    <row r="66" spans="1:25">
      <c r="A66" s="56">
        <f t="shared" si="1"/>
        <v>55</v>
      </c>
      <c r="B66" s="95">
        <v>8570</v>
      </c>
      <c r="C66" t="s">
        <v>293</v>
      </c>
      <c r="D66" s="27">
        <v>1021.5312365342729</v>
      </c>
      <c r="E66" s="27">
        <v>1040.1442298360885</v>
      </c>
      <c r="F66" s="27">
        <v>990.02998305280357</v>
      </c>
      <c r="G66" s="27">
        <v>985.28114272975245</v>
      </c>
      <c r="H66" s="27">
        <v>1002.0639776304283</v>
      </c>
      <c r="I66" s="27">
        <v>999.99737111114666</v>
      </c>
      <c r="J66" s="27">
        <v>1055.0183168270778</v>
      </c>
      <c r="K66" s="27">
        <v>981.72981319384371</v>
      </c>
      <c r="L66" s="27">
        <v>921.61468949607161</v>
      </c>
      <c r="M66" s="27">
        <v>983.256844885585</v>
      </c>
      <c r="N66" s="27">
        <v>950.96011124300185</v>
      </c>
      <c r="O66" s="27">
        <v>1004.4031423170235</v>
      </c>
      <c r="P66">
        <f t="shared" si="5"/>
        <v>11936.030858857095</v>
      </c>
      <c r="R66" s="116"/>
      <c r="Y66" s="115"/>
    </row>
    <row r="67" spans="1:25">
      <c r="A67" s="56">
        <f>A66+1</f>
        <v>56</v>
      </c>
      <c r="B67" s="95">
        <v>8630</v>
      </c>
      <c r="C67" t="s">
        <v>294</v>
      </c>
      <c r="D67" s="27">
        <v>1905.6958975764533</v>
      </c>
      <c r="E67" s="27">
        <v>1978.1314951648062</v>
      </c>
      <c r="F67" s="27">
        <v>1786.8337325198302</v>
      </c>
      <c r="G67" s="27">
        <v>1871.2986986284648</v>
      </c>
      <c r="H67" s="27">
        <v>1744.8130409718674</v>
      </c>
      <c r="I67" s="27">
        <v>1861.3774839411312</v>
      </c>
      <c r="J67" s="27">
        <v>2035.5953463329795</v>
      </c>
      <c r="K67" s="27">
        <v>1904.0805769088181</v>
      </c>
      <c r="L67" s="27">
        <v>1991.1447392214168</v>
      </c>
      <c r="M67" s="27">
        <v>2136.9184519762935</v>
      </c>
      <c r="N67" s="27">
        <v>1800.849173068731</v>
      </c>
      <c r="O67" s="27">
        <v>1898.5638339285097</v>
      </c>
      <c r="P67">
        <f t="shared" si="5"/>
        <v>22915.302470239301</v>
      </c>
      <c r="R67" s="116"/>
      <c r="Y67" s="115"/>
    </row>
    <row r="68" spans="1:25">
      <c r="A68" s="56">
        <f t="shared" si="1"/>
        <v>57</v>
      </c>
      <c r="B68" s="95">
        <v>8640</v>
      </c>
      <c r="C68" t="s">
        <v>295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>
        <f t="shared" si="5"/>
        <v>0</v>
      </c>
      <c r="R68" s="116"/>
      <c r="Y68" s="115"/>
    </row>
    <row r="69" spans="1:25">
      <c r="A69" s="56">
        <f t="shared" si="1"/>
        <v>58</v>
      </c>
      <c r="B69" s="95">
        <v>8650</v>
      </c>
      <c r="C69" t="s">
        <v>296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>
        <f t="shared" si="5"/>
        <v>0</v>
      </c>
      <c r="R69" s="116"/>
      <c r="Y69" s="115"/>
    </row>
    <row r="70" spans="1:25">
      <c r="A70" s="56">
        <f t="shared" si="1"/>
        <v>59</v>
      </c>
      <c r="B70" s="95">
        <v>8700</v>
      </c>
      <c r="C70" t="s">
        <v>297</v>
      </c>
      <c r="D70" s="27">
        <v>170816.22153946036</v>
      </c>
      <c r="E70" s="27">
        <v>179422.01270866772</v>
      </c>
      <c r="F70" s="27">
        <v>184214.0700679571</v>
      </c>
      <c r="G70" s="27">
        <v>178404.28768281237</v>
      </c>
      <c r="H70" s="27">
        <v>182952.8876102441</v>
      </c>
      <c r="I70" s="27">
        <v>179742.28304185552</v>
      </c>
      <c r="J70" s="27">
        <v>179512.60880838882</v>
      </c>
      <c r="K70" s="27">
        <v>183519.47369607163</v>
      </c>
      <c r="L70" s="27">
        <v>198693.31960609334</v>
      </c>
      <c r="M70" s="27">
        <v>172171.46639381145</v>
      </c>
      <c r="N70" s="27">
        <v>160408.16151224292</v>
      </c>
      <c r="O70" s="27">
        <v>170848.67962365603</v>
      </c>
      <c r="P70">
        <f t="shared" si="5"/>
        <v>2140705.472291261</v>
      </c>
      <c r="R70" s="116"/>
      <c r="Y70" s="115"/>
    </row>
    <row r="71" spans="1:25">
      <c r="A71" s="56">
        <f t="shared" si="1"/>
        <v>60</v>
      </c>
      <c r="B71" s="95">
        <v>8710</v>
      </c>
      <c r="C71" t="s">
        <v>298</v>
      </c>
      <c r="D71" s="27">
        <v>-3.5706286323075394</v>
      </c>
      <c r="E71" s="27">
        <v>-3.6221082892616638</v>
      </c>
      <c r="F71" s="27">
        <v>-3.4821595317990339</v>
      </c>
      <c r="G71" s="27">
        <v>-3.431956211606749</v>
      </c>
      <c r="H71" s="27">
        <v>-3.5474374718682675</v>
      </c>
      <c r="I71" s="27">
        <v>-3.4968528614219285</v>
      </c>
      <c r="J71" s="27">
        <v>-3.6633985647061897</v>
      </c>
      <c r="K71" s="27">
        <v>-3.4053532348879707</v>
      </c>
      <c r="L71" s="27">
        <v>-3.1234964056268826</v>
      </c>
      <c r="M71" s="27">
        <v>-3.3278756838526702</v>
      </c>
      <c r="N71" s="27">
        <v>-3.3143042275998931</v>
      </c>
      <c r="O71" s="27">
        <v>-3.5018220525911707</v>
      </c>
      <c r="P71">
        <f t="shared" si="5"/>
        <v>-41.487393167529959</v>
      </c>
      <c r="R71" s="116"/>
      <c r="Y71" s="115"/>
    </row>
    <row r="72" spans="1:25">
      <c r="A72" s="56">
        <f t="shared" si="1"/>
        <v>61</v>
      </c>
      <c r="B72" s="95">
        <v>8711</v>
      </c>
      <c r="C72" t="s">
        <v>299</v>
      </c>
      <c r="D72" s="27">
        <v>11188.62414070239</v>
      </c>
      <c r="E72" s="27">
        <v>10582.344597901445</v>
      </c>
      <c r="F72" s="27">
        <v>12310.237754697191</v>
      </c>
      <c r="G72" s="27">
        <v>10860.971471224088</v>
      </c>
      <c r="H72" s="27">
        <v>10791.368821203132</v>
      </c>
      <c r="I72" s="27">
        <v>11096.391328388017</v>
      </c>
      <c r="J72" s="27">
        <v>10243.530684490954</v>
      </c>
      <c r="K72" s="27">
        <v>10946.340182887201</v>
      </c>
      <c r="L72" s="27">
        <v>11377.322541576703</v>
      </c>
      <c r="M72" s="27">
        <v>10754.781310961289</v>
      </c>
      <c r="N72" s="27">
        <v>10938.473243824963</v>
      </c>
      <c r="O72" s="27">
        <v>11729.087102502514</v>
      </c>
      <c r="P72">
        <f t="shared" si="5"/>
        <v>132819.4731803599</v>
      </c>
      <c r="R72" s="116"/>
      <c r="Y72" s="115"/>
    </row>
    <row r="73" spans="1:25">
      <c r="A73" s="56">
        <f t="shared" si="1"/>
        <v>62</v>
      </c>
      <c r="B73" s="95">
        <v>8720</v>
      </c>
      <c r="C73" t="s">
        <v>300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>
        <f t="shared" si="5"/>
        <v>0</v>
      </c>
      <c r="R73" s="116"/>
      <c r="Y73" s="115"/>
    </row>
    <row r="74" spans="1:25">
      <c r="A74" s="56">
        <f t="shared" si="1"/>
        <v>63</v>
      </c>
      <c r="B74" s="95">
        <v>8740</v>
      </c>
      <c r="C74" t="s">
        <v>301</v>
      </c>
      <c r="D74" s="27">
        <v>546046.16723545408</v>
      </c>
      <c r="E74" s="27">
        <v>584678.41560632759</v>
      </c>
      <c r="F74" s="27">
        <v>591788.99290183361</v>
      </c>
      <c r="G74" s="27">
        <v>579022.8140919935</v>
      </c>
      <c r="H74" s="27">
        <v>603469.25501316704</v>
      </c>
      <c r="I74" s="27">
        <v>564263.30704244587</v>
      </c>
      <c r="J74" s="27">
        <v>551149.35044299893</v>
      </c>
      <c r="K74" s="27">
        <v>578319.74132690567</v>
      </c>
      <c r="L74" s="27">
        <v>624971.84878871904</v>
      </c>
      <c r="M74" s="27">
        <v>539049.49905147136</v>
      </c>
      <c r="N74" s="27">
        <v>510054.9476251576</v>
      </c>
      <c r="O74" s="27">
        <v>530170.04813293333</v>
      </c>
      <c r="P74">
        <f t="shared" si="5"/>
        <v>6802984.387259407</v>
      </c>
      <c r="R74" s="116"/>
      <c r="Y74" s="115"/>
    </row>
    <row r="75" spans="1:25">
      <c r="A75" s="56">
        <f t="shared" si="1"/>
        <v>64</v>
      </c>
      <c r="B75" s="95">
        <v>8750</v>
      </c>
      <c r="C75" t="s">
        <v>302</v>
      </c>
      <c r="D75" s="27">
        <v>113094.94578149966</v>
      </c>
      <c r="E75" s="27">
        <v>116763.9777628638</v>
      </c>
      <c r="F75" s="27">
        <v>108081.33258191435</v>
      </c>
      <c r="G75" s="27">
        <v>111321.80576333321</v>
      </c>
      <c r="H75" s="27">
        <v>105368.98665385912</v>
      </c>
      <c r="I75" s="27">
        <v>111283.37534171635</v>
      </c>
      <c r="J75" s="27">
        <v>119522.79156948515</v>
      </c>
      <c r="K75" s="27">
        <v>113242.77227663735</v>
      </c>
      <c r="L75" s="27">
        <v>118752.56592475025</v>
      </c>
      <c r="M75" s="27">
        <v>124366.27500191238</v>
      </c>
      <c r="N75" s="27">
        <v>106801.49070006843</v>
      </c>
      <c r="O75" s="27">
        <v>112934.72315327417</v>
      </c>
      <c r="P75">
        <f t="shared" si="5"/>
        <v>1361535.0425113144</v>
      </c>
      <c r="R75" s="116"/>
      <c r="Y75" s="115"/>
    </row>
    <row r="76" spans="1:25">
      <c r="A76" s="56">
        <f t="shared" si="1"/>
        <v>65</v>
      </c>
      <c r="B76" s="95">
        <v>8760</v>
      </c>
      <c r="C76" t="s">
        <v>303</v>
      </c>
      <c r="D76" s="27">
        <v>44.06239841122563</v>
      </c>
      <c r="E76" s="27">
        <v>41.674783059460495</v>
      </c>
      <c r="F76" s="27">
        <v>48.479472870229756</v>
      </c>
      <c r="G76" s="27">
        <v>42.772055444878717</v>
      </c>
      <c r="H76" s="27">
        <v>42.497950277242985</v>
      </c>
      <c r="I76" s="27">
        <v>43.699172435298919</v>
      </c>
      <c r="J76" s="27">
        <v>40.34048552187047</v>
      </c>
      <c r="K76" s="27">
        <v>43.108249612977474</v>
      </c>
      <c r="L76" s="27">
        <v>44.805519639924185</v>
      </c>
      <c r="M76" s="27">
        <v>42.353863441106789</v>
      </c>
      <c r="N76" s="27">
        <v>43.077268484388469</v>
      </c>
      <c r="O76" s="27">
        <v>46.190818675404152</v>
      </c>
      <c r="P76">
        <f t="shared" si="5"/>
        <v>523.06203787400796</v>
      </c>
      <c r="R76" s="116"/>
      <c r="Y76" s="115"/>
    </row>
    <row r="77" spans="1:25">
      <c r="A77" s="56">
        <f t="shared" si="1"/>
        <v>66</v>
      </c>
      <c r="B77" s="95">
        <v>8770</v>
      </c>
      <c r="C77" t="s">
        <v>304</v>
      </c>
      <c r="D77" s="27">
        <v>469.50614004735519</v>
      </c>
      <c r="E77" s="27">
        <v>476.24249471419671</v>
      </c>
      <c r="F77" s="27">
        <v>458.47099693098033</v>
      </c>
      <c r="G77" s="27">
        <v>451.35948021348139</v>
      </c>
      <c r="H77" s="27">
        <v>466.47074498334297</v>
      </c>
      <c r="I77" s="27">
        <v>460.39438458881466</v>
      </c>
      <c r="J77" s="27">
        <v>491.30490468387524</v>
      </c>
      <c r="K77" s="27">
        <v>457.53815582924904</v>
      </c>
      <c r="L77" s="27">
        <v>421.1977372482994</v>
      </c>
      <c r="M77" s="27">
        <v>437.74070539912378</v>
      </c>
      <c r="N77" s="27">
        <v>435.96481666805278</v>
      </c>
      <c r="O77" s="27">
        <v>461.04458064974835</v>
      </c>
      <c r="P77">
        <f t="shared" si="5"/>
        <v>5487.2351419565202</v>
      </c>
      <c r="R77" s="116"/>
      <c r="Y77" s="115"/>
    </row>
    <row r="78" spans="1:25">
      <c r="A78" s="56">
        <f t="shared" ref="A78:A114" si="6">A77+1</f>
        <v>67</v>
      </c>
      <c r="B78" s="95">
        <v>8780</v>
      </c>
      <c r="C78" t="s">
        <v>305</v>
      </c>
      <c r="D78" s="27">
        <v>78175.440746013672</v>
      </c>
      <c r="E78" s="27">
        <v>81050.199380520469</v>
      </c>
      <c r="F78" s="27">
        <v>73408.601449761292</v>
      </c>
      <c r="G78" s="27">
        <v>76697.593299536165</v>
      </c>
      <c r="H78" s="27">
        <v>71871.797478657478</v>
      </c>
      <c r="I78" s="27">
        <v>76577.308743386908</v>
      </c>
      <c r="J78" s="27">
        <v>83089.375786397926</v>
      </c>
      <c r="K78" s="27">
        <v>77847.327801357693</v>
      </c>
      <c r="L78" s="27">
        <v>81158.34510236654</v>
      </c>
      <c r="M78" s="27">
        <v>86974.101863537755</v>
      </c>
      <c r="N78" s="27">
        <v>73849.900907081261</v>
      </c>
      <c r="O78" s="27">
        <v>77770.937515540922</v>
      </c>
      <c r="P78">
        <f t="shared" si="5"/>
        <v>938470.93007415812</v>
      </c>
      <c r="R78" s="116"/>
      <c r="Y78" s="115"/>
    </row>
    <row r="79" spans="1:25">
      <c r="A79" s="56">
        <f t="shared" si="6"/>
        <v>68</v>
      </c>
      <c r="B79" s="95">
        <v>8790</v>
      </c>
      <c r="C79" t="s">
        <v>306</v>
      </c>
      <c r="D79" s="27">
        <v>21.683006031984089</v>
      </c>
      <c r="E79" s="27">
        <v>20.508065948350517</v>
      </c>
      <c r="F79" s="27">
        <v>23.856638325997142</v>
      </c>
      <c r="G79" s="27">
        <v>21.048031193313022</v>
      </c>
      <c r="H79" s="27">
        <v>20.913144663810591</v>
      </c>
      <c r="I79" s="27">
        <v>21.504263355439601</v>
      </c>
      <c r="J79" s="27">
        <v>19.851461165151626</v>
      </c>
      <c r="K79" s="27">
        <v>21.213471578713062</v>
      </c>
      <c r="L79" s="27">
        <v>22.048694298291927</v>
      </c>
      <c r="M79" s="27">
        <v>20.842239859493933</v>
      </c>
      <c r="N79" s="27">
        <v>21.198225835805388</v>
      </c>
      <c r="O79" s="27">
        <v>22.730396802592313</v>
      </c>
      <c r="P79">
        <f t="shared" si="5"/>
        <v>257.39763905894324</v>
      </c>
      <c r="R79" s="116"/>
      <c r="Y79" s="115"/>
    </row>
    <row r="80" spans="1:25">
      <c r="A80" s="56">
        <f t="shared" si="6"/>
        <v>69</v>
      </c>
      <c r="B80" s="95">
        <v>8800</v>
      </c>
      <c r="C80" t="s">
        <v>307</v>
      </c>
      <c r="D80" s="27">
        <v>258.94229774166314</v>
      </c>
      <c r="E80" s="27">
        <v>247.55245134435472</v>
      </c>
      <c r="F80" s="27">
        <v>285.33411359890061</v>
      </c>
      <c r="G80" s="27">
        <v>253.64517080710419</v>
      </c>
      <c r="H80" s="27">
        <v>252.12046560947746</v>
      </c>
      <c r="I80" s="27">
        <v>258.88193110871606</v>
      </c>
      <c r="J80" s="27">
        <v>238.26771650360914</v>
      </c>
      <c r="K80" s="27">
        <v>253.63233222264392</v>
      </c>
      <c r="L80" s="27">
        <v>263.0560399822063</v>
      </c>
      <c r="M80" s="27">
        <v>249.44393902093617</v>
      </c>
      <c r="N80" s="27">
        <v>253.46165927972925</v>
      </c>
      <c r="O80" s="27">
        <v>270.85361306063658</v>
      </c>
      <c r="P80">
        <f t="shared" si="5"/>
        <v>3085.1917302799775</v>
      </c>
      <c r="Y80" s="115"/>
    </row>
    <row r="81" spans="1:25">
      <c r="A81" s="56">
        <f t="shared" si="6"/>
        <v>70</v>
      </c>
      <c r="B81" s="95">
        <v>8810</v>
      </c>
      <c r="C81" t="s">
        <v>308</v>
      </c>
      <c r="D81" s="27">
        <v>8611.8088766777328</v>
      </c>
      <c r="E81" s="27">
        <v>5950.0033650751211</v>
      </c>
      <c r="F81" s="27">
        <v>4663.2012679721483</v>
      </c>
      <c r="G81" s="27">
        <v>4209.0622827193038</v>
      </c>
      <c r="H81" s="27">
        <v>5270.3110461280739</v>
      </c>
      <c r="I81" s="27">
        <v>4652.0731706542392</v>
      </c>
      <c r="J81" s="27">
        <v>9479.8406818659387</v>
      </c>
      <c r="K81" s="27">
        <v>7121.5667755348877</v>
      </c>
      <c r="L81" s="27">
        <v>4541.8571771161696</v>
      </c>
      <c r="M81" s="27">
        <v>6413.327150935369</v>
      </c>
      <c r="N81" s="27">
        <v>6286.5291913936162</v>
      </c>
      <c r="O81" s="27">
        <v>7823.0103857111353</v>
      </c>
      <c r="P81">
        <f t="shared" si="5"/>
        <v>75022.591371783739</v>
      </c>
      <c r="Y81" s="115"/>
    </row>
    <row r="82" spans="1:25">
      <c r="A82" s="56">
        <f t="shared" si="6"/>
        <v>71</v>
      </c>
      <c r="B82" s="95">
        <v>8850</v>
      </c>
      <c r="C82" t="s">
        <v>309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>
        <f t="shared" si="5"/>
        <v>0</v>
      </c>
      <c r="Y82" s="115"/>
    </row>
    <row r="83" spans="1:25">
      <c r="A83" s="56">
        <f t="shared" si="6"/>
        <v>72</v>
      </c>
      <c r="B83" s="95">
        <v>8860</v>
      </c>
      <c r="C83" t="s">
        <v>310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>
        <f t="shared" si="5"/>
        <v>0</v>
      </c>
      <c r="Y83" s="115"/>
    </row>
    <row r="84" spans="1:25">
      <c r="A84" s="56">
        <f t="shared" si="6"/>
        <v>73</v>
      </c>
      <c r="B84" s="95">
        <v>8870</v>
      </c>
      <c r="C84" t="s">
        <v>311</v>
      </c>
      <c r="D84" s="27">
        <v>11932.410710073898</v>
      </c>
      <c r="E84" s="27">
        <v>12495.840322465723</v>
      </c>
      <c r="F84" s="27">
        <v>12057.510347842384</v>
      </c>
      <c r="G84" s="27">
        <v>12091.900676804291</v>
      </c>
      <c r="H84" s="27">
        <v>12408.65578089164</v>
      </c>
      <c r="I84" s="27">
        <v>12030.898436389665</v>
      </c>
      <c r="J84" s="27">
        <v>11832.189151809247</v>
      </c>
      <c r="K84" s="27">
        <v>12082.960667636722</v>
      </c>
      <c r="L84" s="27">
        <v>13027.393139505401</v>
      </c>
      <c r="M84" s="27">
        <v>12048.62048633592</v>
      </c>
      <c r="N84" s="27">
        <v>11020.166630858463</v>
      </c>
      <c r="O84" s="27">
        <v>11451.324657493018</v>
      </c>
      <c r="P84">
        <f t="shared" si="5"/>
        <v>144479.87100810636</v>
      </c>
      <c r="R84" s="18"/>
      <c r="Y84" s="115"/>
    </row>
    <row r="85" spans="1:25">
      <c r="A85" s="56">
        <f t="shared" si="6"/>
        <v>74</v>
      </c>
      <c r="B85" s="95">
        <v>8890</v>
      </c>
      <c r="C85" s="97" t="s">
        <v>312</v>
      </c>
      <c r="D85" s="27">
        <v>11004.895297147854</v>
      </c>
      <c r="E85" s="27">
        <v>12046.648096893447</v>
      </c>
      <c r="F85" s="27">
        <v>13841.649161897009</v>
      </c>
      <c r="G85" s="27">
        <v>12525.28151333483</v>
      </c>
      <c r="H85" s="27">
        <v>15267.939641442519</v>
      </c>
      <c r="I85" s="27">
        <v>11204.662345590014</v>
      </c>
      <c r="J85" s="27">
        <v>9318.1869140163126</v>
      </c>
      <c r="K85" s="27">
        <v>12417.956066352646</v>
      </c>
      <c r="L85" s="27">
        <v>15045.399742695225</v>
      </c>
      <c r="M85" s="27">
        <v>8819.454175068633</v>
      </c>
      <c r="N85" s="27">
        <v>9406.3629770193293</v>
      </c>
      <c r="O85" s="27">
        <v>9691.3462252574755</v>
      </c>
      <c r="P85">
        <f t="shared" si="5"/>
        <v>140589.78215671532</v>
      </c>
      <c r="Y85" s="115"/>
    </row>
    <row r="86" spans="1:25">
      <c r="A86" s="56">
        <f t="shared" si="6"/>
        <v>75</v>
      </c>
      <c r="B86" s="95">
        <v>8900</v>
      </c>
      <c r="C86" t="s">
        <v>313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>
        <f t="shared" si="5"/>
        <v>0</v>
      </c>
      <c r="Y86" s="115"/>
    </row>
    <row r="87" spans="1:25">
      <c r="A87" s="56">
        <f t="shared" si="6"/>
        <v>76</v>
      </c>
      <c r="B87" s="95">
        <v>8910</v>
      </c>
      <c r="C87" t="s">
        <v>314</v>
      </c>
      <c r="D87" s="27">
        <v>11.190211686402494</v>
      </c>
      <c r="E87" s="27">
        <v>11.615552199374982</v>
      </c>
      <c r="F87" s="27">
        <v>10.492255212770338</v>
      </c>
      <c r="G87" s="27">
        <v>10.988231959134989</v>
      </c>
      <c r="H87" s="27">
        <v>10.245510475465334</v>
      </c>
      <c r="I87" s="27">
        <v>10.929974766747319</v>
      </c>
      <c r="J87" s="27">
        <v>11.952978889386518</v>
      </c>
      <c r="K87" s="27">
        <v>11.180726552790544</v>
      </c>
      <c r="L87" s="27">
        <v>11.691965732040652</v>
      </c>
      <c r="M87" s="27">
        <v>12.547946324807004</v>
      </c>
      <c r="N87" s="27">
        <v>10.574553625030051</v>
      </c>
      <c r="O87" s="27">
        <v>11.148332338242653</v>
      </c>
      <c r="P87">
        <f t="shared" si="5"/>
        <v>134.5582397621929</v>
      </c>
      <c r="Y87" s="115"/>
    </row>
    <row r="88" spans="1:25">
      <c r="A88" s="56">
        <f t="shared" si="6"/>
        <v>77</v>
      </c>
      <c r="B88" s="95">
        <v>8920</v>
      </c>
      <c r="C88" t="s">
        <v>315</v>
      </c>
      <c r="D88" s="27">
        <v>14.779946987474904</v>
      </c>
      <c r="E88" s="27">
        <v>15.341733521057431</v>
      </c>
      <c r="F88" s="27">
        <v>13.858091354271547</v>
      </c>
      <c r="G88" s="27">
        <v>14.51317369084587</v>
      </c>
      <c r="H88" s="27">
        <v>13.532192770848161</v>
      </c>
      <c r="I88" s="27">
        <v>14.436228031616279</v>
      </c>
      <c r="J88" s="27">
        <v>15.787404141979614</v>
      </c>
      <c r="K88" s="27">
        <v>14.767419094716264</v>
      </c>
      <c r="L88" s="27">
        <v>15.442659937248164</v>
      </c>
      <c r="M88" s="27">
        <v>16.573232632201474</v>
      </c>
      <c r="N88" s="27">
        <v>13.966790474935184</v>
      </c>
      <c r="O88" s="27">
        <v>14.724633061070405</v>
      </c>
      <c r="P88">
        <f t="shared" si="5"/>
        <v>177.72350569826528</v>
      </c>
      <c r="Y88" s="115"/>
    </row>
    <row r="89" spans="1:25">
      <c r="A89" s="56">
        <f t="shared" si="6"/>
        <v>78</v>
      </c>
      <c r="B89" s="95">
        <v>8930</v>
      </c>
      <c r="C89" t="s">
        <v>316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>
        <f t="shared" si="5"/>
        <v>0</v>
      </c>
      <c r="Y89" s="115"/>
    </row>
    <row r="90" spans="1:25">
      <c r="A90" s="56">
        <f t="shared" si="6"/>
        <v>79</v>
      </c>
      <c r="B90" s="95">
        <v>8940</v>
      </c>
      <c r="C90" t="s">
        <v>317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>
        <f t="shared" si="5"/>
        <v>0</v>
      </c>
      <c r="Y90" s="115"/>
    </row>
    <row r="91" spans="1:25">
      <c r="A91" s="56">
        <f t="shared" si="6"/>
        <v>80</v>
      </c>
      <c r="B91" s="95">
        <v>9010</v>
      </c>
      <c r="C91" t="s">
        <v>318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>
        <f t="shared" si="5"/>
        <v>0</v>
      </c>
      <c r="Y91" s="115"/>
    </row>
    <row r="92" spans="1:25">
      <c r="A92" s="56">
        <f t="shared" si="6"/>
        <v>81</v>
      </c>
      <c r="B92" s="95">
        <v>9020</v>
      </c>
      <c r="C92" t="s">
        <v>319</v>
      </c>
      <c r="D92" s="27">
        <v>62228.031727132533</v>
      </c>
      <c r="E92" s="27">
        <v>63769.074087601381</v>
      </c>
      <c r="F92" s="27">
        <v>59667.0400035161</v>
      </c>
      <c r="G92" s="27">
        <v>60472.669629899647</v>
      </c>
      <c r="H92" s="27">
        <v>59635.951729786626</v>
      </c>
      <c r="I92" s="27">
        <v>60930.346263211388</v>
      </c>
      <c r="J92" s="27">
        <v>64972.930757755545</v>
      </c>
      <c r="K92" s="27">
        <v>60710.92662463239</v>
      </c>
      <c r="L92" s="27">
        <v>59480.621049393216</v>
      </c>
      <c r="M92" s="27">
        <v>63547.752823831353</v>
      </c>
      <c r="N92" s="27">
        <v>58370.162197163729</v>
      </c>
      <c r="O92" s="27">
        <v>61502.82637388786</v>
      </c>
      <c r="P92">
        <f t="shared" si="5"/>
        <v>735288.33326781169</v>
      </c>
      <c r="Y92" s="115"/>
    </row>
    <row r="93" spans="1:25">
      <c r="A93" s="56">
        <f t="shared" si="6"/>
        <v>82</v>
      </c>
      <c r="B93" s="95">
        <v>9030</v>
      </c>
      <c r="C93" t="s">
        <v>320</v>
      </c>
      <c r="D93" s="27">
        <v>84664.1919096809</v>
      </c>
      <c r="E93" s="27">
        <v>92168.814807750678</v>
      </c>
      <c r="F93" s="27">
        <v>98437.749475719</v>
      </c>
      <c r="G93" s="27">
        <v>93081.326250861151</v>
      </c>
      <c r="H93" s="27">
        <v>107376.74086386545</v>
      </c>
      <c r="I93" s="27">
        <v>85621.439703591517</v>
      </c>
      <c r="J93" s="27">
        <v>77868.270181750122</v>
      </c>
      <c r="K93" s="27">
        <v>93397.052610007668</v>
      </c>
      <c r="L93" s="27">
        <v>109451.98793854323</v>
      </c>
      <c r="M93" s="27">
        <v>75269.49397416327</v>
      </c>
      <c r="N93" s="27">
        <v>74006.942563040735</v>
      </c>
      <c r="O93" s="27">
        <v>76459.429030121173</v>
      </c>
      <c r="P93">
        <f t="shared" si="5"/>
        <v>1067803.4393090948</v>
      </c>
      <c r="Y93" s="115"/>
    </row>
    <row r="94" spans="1:25">
      <c r="A94" s="56">
        <f t="shared" si="6"/>
        <v>83</v>
      </c>
      <c r="B94" s="95">
        <v>9040</v>
      </c>
      <c r="C94" t="s">
        <v>321</v>
      </c>
      <c r="D94" s="6">
        <f>-1%*SUM(D17,D19,D23,D36,D37,D39)</f>
        <v>15222.236899447529</v>
      </c>
      <c r="E94" s="6">
        <f t="shared" ref="E94:O94" si="7">-1%*SUM(E17,E19,E23,E36,E37,E39)</f>
        <v>47528.806043415265</v>
      </c>
      <c r="F94" s="6">
        <f t="shared" si="7"/>
        <v>48972.665540974216</v>
      </c>
      <c r="G94" s="6">
        <f t="shared" si="7"/>
        <v>46488.268844956227</v>
      </c>
      <c r="H94" s="6">
        <f t="shared" si="7"/>
        <v>48500.555960798803</v>
      </c>
      <c r="I94" s="6">
        <f t="shared" si="7"/>
        <v>47202.954846710418</v>
      </c>
      <c r="J94" s="6">
        <f t="shared" si="7"/>
        <v>62926.700349145372</v>
      </c>
      <c r="K94" s="6">
        <f t="shared" si="7"/>
        <v>96871.896704199389</v>
      </c>
      <c r="L94" s="6">
        <f t="shared" si="7"/>
        <v>97774.078815906105</v>
      </c>
      <c r="M94" s="6">
        <f t="shared" si="7"/>
        <v>101124.18899822715</v>
      </c>
      <c r="N94" s="6">
        <f t="shared" si="7"/>
        <v>55029.823851270026</v>
      </c>
      <c r="O94" s="6">
        <f t="shared" si="7"/>
        <v>63889.664023101854</v>
      </c>
      <c r="P94">
        <f t="shared" si="5"/>
        <v>731531.84087815229</v>
      </c>
      <c r="Y94" s="115"/>
    </row>
    <row r="95" spans="1:25">
      <c r="A95" s="56">
        <f t="shared" si="6"/>
        <v>84</v>
      </c>
      <c r="B95" s="95">
        <v>9090</v>
      </c>
      <c r="C95" t="s">
        <v>322</v>
      </c>
      <c r="D95" s="27">
        <v>17820.132029106255</v>
      </c>
      <c r="E95" s="27">
        <v>18406.427588436494</v>
      </c>
      <c r="F95" s="27">
        <v>17559.627122368885</v>
      </c>
      <c r="G95" s="27">
        <v>17526.02465493335</v>
      </c>
      <c r="H95" s="27">
        <v>16682.764593174066</v>
      </c>
      <c r="I95" s="27">
        <v>17792.678933889729</v>
      </c>
      <c r="J95" s="27">
        <v>18639.216082393981</v>
      </c>
      <c r="K95" s="27">
        <v>17712.947066904799</v>
      </c>
      <c r="L95" s="27">
        <v>18330.78766292123</v>
      </c>
      <c r="M95" s="27">
        <v>19321.150312868591</v>
      </c>
      <c r="N95" s="27">
        <v>16958.746255649148</v>
      </c>
      <c r="O95" s="27">
        <v>17710.31738554894</v>
      </c>
      <c r="P95">
        <f t="shared" si="5"/>
        <v>214460.81968819545</v>
      </c>
      <c r="R95" s="18"/>
      <c r="Y95" s="115"/>
    </row>
    <row r="96" spans="1:25">
      <c r="A96" s="56">
        <f t="shared" si="6"/>
        <v>85</v>
      </c>
      <c r="B96" s="95">
        <v>9100</v>
      </c>
      <c r="C96" t="s">
        <v>323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>
        <f t="shared" si="5"/>
        <v>0</v>
      </c>
      <c r="R96" s="18"/>
      <c r="Y96" s="115"/>
    </row>
    <row r="97" spans="1:25">
      <c r="A97" s="56">
        <f t="shared" si="6"/>
        <v>86</v>
      </c>
      <c r="B97" s="95">
        <v>9110</v>
      </c>
      <c r="C97" t="s">
        <v>324</v>
      </c>
      <c r="D97" s="27">
        <v>13279.716657988181</v>
      </c>
      <c r="E97" s="27">
        <v>13715.420452254542</v>
      </c>
      <c r="F97" s="27">
        <v>12541.362046712244</v>
      </c>
      <c r="G97" s="27">
        <v>12995.694616004434</v>
      </c>
      <c r="H97" s="27">
        <v>12383.007559861322</v>
      </c>
      <c r="I97" s="27">
        <v>13220.408140494923</v>
      </c>
      <c r="J97" s="27">
        <v>13781.808102049439</v>
      </c>
      <c r="K97" s="27">
        <v>13038.227212482449</v>
      </c>
      <c r="L97" s="27">
        <v>13530.485591866514</v>
      </c>
      <c r="M97" s="27">
        <v>14392.927648659686</v>
      </c>
      <c r="N97" s="27">
        <v>12545.81306804162</v>
      </c>
      <c r="O97" s="27">
        <v>13124.014643752145</v>
      </c>
      <c r="P97">
        <f t="shared" si="5"/>
        <v>158548.88574016749</v>
      </c>
      <c r="R97" s="18"/>
      <c r="Y97" s="115"/>
    </row>
    <row r="98" spans="1:25">
      <c r="A98" s="56">
        <f t="shared" si="6"/>
        <v>87</v>
      </c>
      <c r="B98" s="95">
        <v>9120</v>
      </c>
      <c r="C98" t="s">
        <v>325</v>
      </c>
      <c r="D98" s="27">
        <v>1772.9078497707769</v>
      </c>
      <c r="E98" s="27">
        <v>6723.5133427584096</v>
      </c>
      <c r="F98" s="27">
        <v>3631.9450382699147</v>
      </c>
      <c r="G98" s="27">
        <v>11525.357771236819</v>
      </c>
      <c r="H98" s="27">
        <v>1072.2996072374533</v>
      </c>
      <c r="I98" s="27">
        <v>10284.604151968369</v>
      </c>
      <c r="J98" s="27">
        <v>6828.5346228853559</v>
      </c>
      <c r="K98" s="27">
        <v>4624.7013351725336</v>
      </c>
      <c r="L98" s="27">
        <v>3237.5026198224932</v>
      </c>
      <c r="M98" s="27">
        <v>10141.875671420741</v>
      </c>
      <c r="N98" s="27">
        <v>8078.3820325706884</v>
      </c>
      <c r="O98" s="27">
        <v>9156.7414248801597</v>
      </c>
      <c r="P98">
        <f t="shared" si="5"/>
        <v>77078.365467993717</v>
      </c>
      <c r="R98" s="18"/>
      <c r="Y98" s="115"/>
    </row>
    <row r="99" spans="1:25">
      <c r="A99" s="56">
        <f t="shared" si="6"/>
        <v>88</v>
      </c>
      <c r="B99" s="95">
        <v>9130</v>
      </c>
      <c r="C99" t="s">
        <v>326</v>
      </c>
      <c r="D99" s="27">
        <v>2620.7910210207051</v>
      </c>
      <c r="E99" s="27">
        <v>2783.5377125172172</v>
      </c>
      <c r="F99" s="27">
        <v>5550.2314679579295</v>
      </c>
      <c r="G99" s="27">
        <v>2620.7910210207051</v>
      </c>
      <c r="H99" s="27">
        <v>2620.7910210207051</v>
      </c>
      <c r="I99" s="27">
        <v>2783.5377125172172</v>
      </c>
      <c r="J99" s="27">
        <v>3272.1032803897479</v>
      </c>
      <c r="K99" s="27">
        <v>3272.1032803897479</v>
      </c>
      <c r="L99" s="27">
        <v>3272.1032803897479</v>
      </c>
      <c r="M99" s="27">
        <v>2783.8632059002102</v>
      </c>
      <c r="N99" s="27">
        <v>2620.7910210207051</v>
      </c>
      <c r="O99" s="27">
        <v>2620.7910210207051</v>
      </c>
      <c r="P99">
        <f t="shared" si="5"/>
        <v>36821.435045165337</v>
      </c>
      <c r="R99" s="18"/>
      <c r="Y99" s="115"/>
    </row>
    <row r="100" spans="1:25">
      <c r="A100" s="56">
        <f t="shared" si="6"/>
        <v>89</v>
      </c>
      <c r="B100" s="95">
        <v>9160</v>
      </c>
      <c r="C100" t="s">
        <v>359</v>
      </c>
      <c r="D100" s="27">
        <v>3.9499785126338338E-2</v>
      </c>
      <c r="E100" s="27">
        <v>0.12758696873864039</v>
      </c>
      <c r="F100" s="27">
        <v>-1.3749309098522247</v>
      </c>
      <c r="G100" s="27">
        <v>3.9499785126338338E-2</v>
      </c>
      <c r="H100" s="27">
        <v>3.9499785126338338E-2</v>
      </c>
      <c r="I100" s="27">
        <v>0.12758696873864039</v>
      </c>
      <c r="J100" s="27">
        <v>0.40402469394277318</v>
      </c>
      <c r="K100" s="27">
        <v>0.40402469394277318</v>
      </c>
      <c r="L100" s="27">
        <v>0.40402469394277318</v>
      </c>
      <c r="M100" s="27">
        <v>0.13976314310586702</v>
      </c>
      <c r="N100" s="27">
        <v>3.9499785126338338E-2</v>
      </c>
      <c r="O100" s="27">
        <v>3.9499785126338338E-2</v>
      </c>
      <c r="P100">
        <f t="shared" si="5"/>
        <v>0.42957917819093439</v>
      </c>
      <c r="R100" s="18"/>
      <c r="Y100" s="115"/>
    </row>
    <row r="101" spans="1:25">
      <c r="A101" s="56">
        <f t="shared" si="6"/>
        <v>90</v>
      </c>
      <c r="B101" s="95">
        <v>9200</v>
      </c>
      <c r="C101" t="s">
        <v>360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>
        <f t="shared" si="5"/>
        <v>0</v>
      </c>
      <c r="R101" s="18"/>
      <c r="Y101" s="115"/>
    </row>
    <row r="102" spans="1:25">
      <c r="A102" s="56">
        <f t="shared" si="6"/>
        <v>91</v>
      </c>
      <c r="B102" s="95">
        <v>9210</v>
      </c>
      <c r="C102" t="s">
        <v>329</v>
      </c>
      <c r="D102" s="27">
        <v>5727.1510447605879</v>
      </c>
      <c r="E102" s="27">
        <v>5733.0626474627143</v>
      </c>
      <c r="F102" s="27">
        <v>5850.9436126230103</v>
      </c>
      <c r="G102" s="27">
        <v>5721.213784077152</v>
      </c>
      <c r="H102" s="27">
        <v>5721.0824814669431</v>
      </c>
      <c r="I102" s="27">
        <v>5795.2026821178797</v>
      </c>
      <c r="J102" s="27">
        <v>5753.8695313898088</v>
      </c>
      <c r="K102" s="27">
        <v>5755.1953533461719</v>
      </c>
      <c r="L102" s="27">
        <v>5756.0083842958957</v>
      </c>
      <c r="M102" s="27">
        <v>5733.6680109142944</v>
      </c>
      <c r="N102" s="27">
        <v>5726.679145117454</v>
      </c>
      <c r="O102" s="27">
        <v>5794.6600696294718</v>
      </c>
      <c r="P102">
        <f t="shared" si="5"/>
        <v>69068.736747201372</v>
      </c>
      <c r="R102" s="18"/>
      <c r="Y102" s="115"/>
    </row>
    <row r="103" spans="1:25">
      <c r="A103" s="56">
        <f t="shared" si="6"/>
        <v>92</v>
      </c>
      <c r="B103" s="95">
        <v>9220</v>
      </c>
      <c r="C103" t="s">
        <v>330</v>
      </c>
      <c r="D103" s="6">
        <f>-('C.2.2-F 02'!D47+'C.2.2-F 12'!D38+'C.2.2-F 91'!D63)</f>
        <v>1574395.8244124439</v>
      </c>
      <c r="E103" s="6">
        <f>-('C.2.2-F 02'!E47+'C.2.2-F 12'!E38+'C.2.2-F 91'!E63)</f>
        <v>1680979.9398023854</v>
      </c>
      <c r="F103" s="6">
        <f>-('C.2.2-F 02'!F47+'C.2.2-F 12'!F38+'C.2.2-F 91'!F63)</f>
        <v>1411134.5061918925</v>
      </c>
      <c r="G103" s="6">
        <f>-('C.2.2-F 02'!G47+'C.2.2-F 12'!G38+'C.2.2-F 91'!G63)</f>
        <v>1711373.8675765081</v>
      </c>
      <c r="H103" s="6">
        <f>-('C.2.2-F 02'!H47+'C.2.2-F 12'!H38+'C.2.2-F 91'!H63)</f>
        <v>1258939.1645775451</v>
      </c>
      <c r="I103" s="6">
        <f>-('C.2.2-F 02'!I47+'C.2.2-F 12'!I38+'C.2.2-F 91'!I63)</f>
        <v>1484464.409740479</v>
      </c>
      <c r="J103" s="6">
        <f>-('C.2.2-F 02'!J47+'C.2.2-F 12'!J38+'C.2.2-F 91'!J63)</f>
        <v>1538098.548380811</v>
      </c>
      <c r="K103" s="6">
        <f>-('C.2.2-F 02'!K47+'C.2.2-F 12'!K38+'C.2.2-F 91'!K63)</f>
        <v>1422445.0472009643</v>
      </c>
      <c r="L103" s="6">
        <f>-('C.2.2-F 02'!L47+'C.2.2-F 12'!L38+'C.2.2-F 91'!L63)</f>
        <v>1540793.8729262368</v>
      </c>
      <c r="M103" s="6">
        <f>-('C.2.2-F 02'!M47+'C.2.2-F 12'!M38+'C.2.2-F 91'!M63)</f>
        <v>1585773.9498344231</v>
      </c>
      <c r="N103" s="6">
        <f>-('C.2.2-F 02'!N47+'C.2.2-F 12'!N38+'C.2.2-F 91'!N63)</f>
        <v>1414803.4522013725</v>
      </c>
      <c r="O103" s="6">
        <f>-('C.2.2-F 02'!O47+'C.2.2-F 12'!O38+'C.2.2-F 91'!O63)</f>
        <v>1628106.8169040987</v>
      </c>
      <c r="P103">
        <f>SUM(D103:O103)</f>
        <v>18251309.39974916</v>
      </c>
      <c r="R103" s="18"/>
      <c r="Y103" s="115"/>
    </row>
    <row r="104" spans="1:25">
      <c r="A104" s="56">
        <f t="shared" si="6"/>
        <v>93</v>
      </c>
      <c r="B104" s="95">
        <v>9230</v>
      </c>
      <c r="C104" t="s">
        <v>331</v>
      </c>
      <c r="D104" s="27">
        <v>5414.717239576793</v>
      </c>
      <c r="E104" s="27">
        <v>6059.3215443040826</v>
      </c>
      <c r="F104" s="27">
        <v>6957.9436470806868</v>
      </c>
      <c r="G104" s="27">
        <v>6313.6671072541058</v>
      </c>
      <c r="H104" s="27">
        <v>7895.6790280085397</v>
      </c>
      <c r="I104" s="27">
        <v>5538.5031170778129</v>
      </c>
      <c r="J104" s="27">
        <v>4518.8265109727627</v>
      </c>
      <c r="K104" s="27">
        <v>6245.0549880390654</v>
      </c>
      <c r="L104" s="27">
        <v>7719.2846988444207</v>
      </c>
      <c r="M104" s="27">
        <v>4191.0616102639706</v>
      </c>
      <c r="N104" s="27">
        <v>4518.8265109727627</v>
      </c>
      <c r="O104" s="27">
        <v>4619.8873553579733</v>
      </c>
      <c r="P104">
        <f t="shared" si="5"/>
        <v>69992.773357752987</v>
      </c>
      <c r="R104" s="18"/>
      <c r="Y104" s="115"/>
    </row>
    <row r="105" spans="1:25">
      <c r="A105" s="56">
        <f t="shared" si="6"/>
        <v>94</v>
      </c>
      <c r="B105" s="95">
        <v>9240</v>
      </c>
      <c r="C105" t="s">
        <v>332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>
        <f t="shared" si="5"/>
        <v>0</v>
      </c>
      <c r="R105" s="18"/>
      <c r="Y105" s="115"/>
    </row>
    <row r="106" spans="1:25">
      <c r="A106" s="56">
        <f t="shared" si="6"/>
        <v>95</v>
      </c>
      <c r="B106" s="95">
        <v>9250</v>
      </c>
      <c r="C106" t="s">
        <v>333</v>
      </c>
      <c r="D106" s="27">
        <v>1799.2079525668712</v>
      </c>
      <c r="E106" s="27">
        <v>2013.3977504841537</v>
      </c>
      <c r="F106" s="27">
        <v>2311.9928501230775</v>
      </c>
      <c r="G106" s="27">
        <v>2097.9119622725325</v>
      </c>
      <c r="H106" s="27">
        <v>2623.5845510593545</v>
      </c>
      <c r="I106" s="27">
        <v>1840.3396544381053</v>
      </c>
      <c r="J106" s="27">
        <v>1501.5204368174277</v>
      </c>
      <c r="K106" s="27">
        <v>2075.1134549687945</v>
      </c>
      <c r="L106" s="27">
        <v>2564.9720574096241</v>
      </c>
      <c r="M106" s="27">
        <v>1392.6103700798265</v>
      </c>
      <c r="N106" s="27">
        <v>1501.5204368174277</v>
      </c>
      <c r="O106" s="27">
        <v>1535.1010407281881</v>
      </c>
      <c r="P106">
        <f t="shared" si="5"/>
        <v>23257.272517765381</v>
      </c>
      <c r="R106" s="18"/>
      <c r="Y106" s="115"/>
    </row>
    <row r="107" spans="1:25">
      <c r="A107" s="56">
        <f t="shared" si="6"/>
        <v>96</v>
      </c>
      <c r="B107" s="95">
        <v>9260</v>
      </c>
      <c r="C107" t="s">
        <v>334</v>
      </c>
      <c r="D107" s="27">
        <v>73400.23604147353</v>
      </c>
      <c r="E107" s="27">
        <v>76160.248405760372</v>
      </c>
      <c r="F107" s="27">
        <v>69055.232602593998</v>
      </c>
      <c r="G107" s="27">
        <v>72088.77644406601</v>
      </c>
      <c r="H107" s="27">
        <v>67270.375230335863</v>
      </c>
      <c r="I107" s="27">
        <v>71897.721234195284</v>
      </c>
      <c r="J107" s="27">
        <v>78102.927250687615</v>
      </c>
      <c r="K107" s="27">
        <v>73320.390087934182</v>
      </c>
      <c r="L107" s="27">
        <v>76670.944460370491</v>
      </c>
      <c r="M107" s="27">
        <v>78498.258489859931</v>
      </c>
      <c r="N107" s="27">
        <v>66277.763929584718</v>
      </c>
      <c r="O107" s="27">
        <v>70015.910740942709</v>
      </c>
      <c r="P107">
        <f t="shared" si="5"/>
        <v>872758.78491780465</v>
      </c>
      <c r="R107" s="18"/>
      <c r="Y107" s="115"/>
    </row>
    <row r="108" spans="1:25">
      <c r="A108" s="56">
        <f t="shared" si="6"/>
        <v>97</v>
      </c>
      <c r="B108" s="95">
        <v>9270</v>
      </c>
      <c r="C108" t="s">
        <v>335</v>
      </c>
      <c r="D108" s="27">
        <v>52.15925773024393</v>
      </c>
      <c r="E108" s="27">
        <v>52.419432396210269</v>
      </c>
      <c r="F108" s="27">
        <v>56.796776193427135</v>
      </c>
      <c r="G108" s="27">
        <v>52.11363220603306</v>
      </c>
      <c r="H108" s="27">
        <v>52.11363220603306</v>
      </c>
      <c r="I108" s="27">
        <v>52.944125924635287</v>
      </c>
      <c r="J108" s="27">
        <v>53.20275801965176</v>
      </c>
      <c r="K108" s="27">
        <v>53.20275801965176</v>
      </c>
      <c r="L108" s="27">
        <v>53.20275801965176</v>
      </c>
      <c r="M108" s="27">
        <v>52.422234021752743</v>
      </c>
      <c r="N108" s="27">
        <v>52.15925773024393</v>
      </c>
      <c r="O108" s="27">
        <v>52.729576782879818</v>
      </c>
      <c r="P108">
        <f t="shared" si="5"/>
        <v>635.46619925041443</v>
      </c>
      <c r="R108" s="18"/>
      <c r="Y108" s="115"/>
    </row>
    <row r="109" spans="1:25">
      <c r="A109" s="56">
        <f t="shared" si="6"/>
        <v>98</v>
      </c>
      <c r="B109" s="95">
        <v>9280</v>
      </c>
      <c r="C109" t="s">
        <v>336</v>
      </c>
      <c r="D109" s="27">
        <v>13742.99801085157</v>
      </c>
      <c r="E109" s="27">
        <v>13769.077646400145</v>
      </c>
      <c r="F109" s="27">
        <v>13792.571340116707</v>
      </c>
      <c r="G109" s="27">
        <v>13766.504965399765</v>
      </c>
      <c r="H109" s="27">
        <v>13830.510579424068</v>
      </c>
      <c r="I109" s="27">
        <v>13895.931677946268</v>
      </c>
      <c r="J109" s="27">
        <v>13707.394892033712</v>
      </c>
      <c r="K109" s="27">
        <v>13777.235271977355</v>
      </c>
      <c r="L109" s="27">
        <v>13836.880194126847</v>
      </c>
      <c r="M109" s="27">
        <v>13694.134060398843</v>
      </c>
      <c r="N109" s="27">
        <v>13706.75173771626</v>
      </c>
      <c r="O109" s="27">
        <v>13871.62907349998</v>
      </c>
      <c r="P109">
        <f t="shared" si="5"/>
        <v>165391.61944989153</v>
      </c>
      <c r="R109" s="18"/>
      <c r="Y109" s="115"/>
    </row>
    <row r="110" spans="1:25">
      <c r="A110" s="56">
        <f t="shared" si="6"/>
        <v>99</v>
      </c>
      <c r="B110" s="95">
        <v>9302</v>
      </c>
      <c r="C110" t="s">
        <v>337</v>
      </c>
      <c r="D110" s="27">
        <v>384.54703201293819</v>
      </c>
      <c r="E110" s="27">
        <v>2172.0740654955243</v>
      </c>
      <c r="F110" s="27">
        <v>769.68873554275035</v>
      </c>
      <c r="G110" s="27">
        <v>3937.8665902071966</v>
      </c>
      <c r="H110" s="27">
        <v>129.27938225590853</v>
      </c>
      <c r="I110" s="27">
        <v>3469.5627706689406</v>
      </c>
      <c r="J110" s="27">
        <v>2161.6060497142871</v>
      </c>
      <c r="K110" s="27">
        <v>1358.636130638575</v>
      </c>
      <c r="L110" s="27">
        <v>853.2082262608543</v>
      </c>
      <c r="M110" s="27">
        <v>3417.5269708012693</v>
      </c>
      <c r="N110" s="27">
        <v>2681.9558798262051</v>
      </c>
      <c r="O110" s="27">
        <v>3074.8577199086312</v>
      </c>
      <c r="P110">
        <f t="shared" si="5"/>
        <v>24410.809553333078</v>
      </c>
      <c r="Y110" s="115"/>
    </row>
    <row r="111" spans="1:25">
      <c r="A111" s="56">
        <f t="shared" si="6"/>
        <v>100</v>
      </c>
      <c r="B111" s="95">
        <v>9310</v>
      </c>
      <c r="C111" t="s">
        <v>212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>
        <f t="shared" si="5"/>
        <v>0</v>
      </c>
      <c r="Y111" s="115"/>
    </row>
    <row r="112" spans="1:25">
      <c r="A112" s="56">
        <f t="shared" si="6"/>
        <v>101</v>
      </c>
      <c r="B112" s="95">
        <v>9320</v>
      </c>
      <c r="C112" t="s">
        <v>338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>
        <f>SUM(D112:O112)</f>
        <v>0</v>
      </c>
      <c r="Y112" s="115"/>
    </row>
    <row r="113" spans="1:25">
      <c r="A113" s="56">
        <f t="shared" si="6"/>
        <v>102</v>
      </c>
      <c r="B113" s="95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Y113" s="115"/>
    </row>
    <row r="114" spans="1:25" ht="15.75" thickBot="1">
      <c r="A114" s="56">
        <f t="shared" si="6"/>
        <v>103</v>
      </c>
      <c r="C114" t="s">
        <v>339</v>
      </c>
      <c r="D114" s="100">
        <f t="shared" ref="D114:O114" si="8">SUM(D14:D112)</f>
        <v>-2637450.2266508434</v>
      </c>
      <c r="E114" s="100">
        <f t="shared" si="8"/>
        <v>-1273905.8427606334</v>
      </c>
      <c r="F114" s="100">
        <f t="shared" si="8"/>
        <v>-781614.52525804017</v>
      </c>
      <c r="G114" s="100">
        <f t="shared" si="8"/>
        <v>-290843.47037996631</v>
      </c>
      <c r="H114" s="100">
        <f t="shared" si="8"/>
        <v>-1043025.2824560135</v>
      </c>
      <c r="I114" s="100">
        <f t="shared" si="8"/>
        <v>-851387.49919161655</v>
      </c>
      <c r="J114" s="100">
        <f t="shared" si="8"/>
        <v>-1153036.4406258273</v>
      </c>
      <c r="K114" s="100">
        <f t="shared" si="8"/>
        <v>-3000429.6494529648</v>
      </c>
      <c r="L114" s="100">
        <f t="shared" si="8"/>
        <v>-4104931.7279486004</v>
      </c>
      <c r="M114" s="100">
        <f t="shared" si="8"/>
        <v>-5006596.3246355848</v>
      </c>
      <c r="N114" s="100">
        <f t="shared" si="8"/>
        <v>-5596383.0220496003</v>
      </c>
      <c r="O114" s="100">
        <f t="shared" si="8"/>
        <v>-3697827.2572372458</v>
      </c>
      <c r="P114" s="100">
        <f>SUM(P12:P112)</f>
        <v>-24232252.077848431</v>
      </c>
      <c r="Q114" s="103"/>
      <c r="Y114" s="115"/>
    </row>
    <row r="115" spans="1:25" ht="15.75" thickTop="1"/>
    <row r="116" spans="1:25">
      <c r="C116" t="s">
        <v>340</v>
      </c>
    </row>
    <row r="117" spans="1:25">
      <c r="C117" t="s">
        <v>341</v>
      </c>
    </row>
    <row r="120" spans="1:25">
      <c r="B120" t="s">
        <v>342</v>
      </c>
    </row>
    <row r="121" spans="1:25">
      <c r="B121" t="s">
        <v>413</v>
      </c>
      <c r="D121" s="87"/>
      <c r="E121" s="87"/>
      <c r="F121" s="87"/>
    </row>
    <row r="122" spans="1:25">
      <c r="B122" t="s">
        <v>414</v>
      </c>
    </row>
    <row r="123" spans="1:25">
      <c r="B123" t="s">
        <v>343</v>
      </c>
    </row>
    <row r="126" spans="1:25">
      <c r="C126" s="62"/>
    </row>
    <row r="130" spans="3:16">
      <c r="P130" s="79"/>
    </row>
    <row r="131" spans="3:16">
      <c r="C131" s="62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65" header="0.25" footer="0.25"/>
  <pageSetup scale="47" fitToHeight="2" orientation="landscape" r:id="rId1"/>
  <headerFooter alignWithMargins="0">
    <oddHeader xml:space="preserve">&amp;RCASE NO. 2024-00276 
FR 16(8)(c)
ATTACHMENT 1
</oddHeader>
    <oddFooter>&amp;RSchedule &amp;A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C2394-1D6B-4C86-B34E-33AA69D9BAD0}">
  <sheetPr>
    <tabColor rgb="FF92D050"/>
  </sheetPr>
  <dimension ref="A1:Q59"/>
  <sheetViews>
    <sheetView view="pageBreakPreview" zoomScale="80" zoomScaleNormal="100" zoomScaleSheetLayoutView="80" workbookViewId="0">
      <selection sqref="A1:P1"/>
    </sheetView>
  </sheetViews>
  <sheetFormatPr defaultColWidth="7.109375" defaultRowHeight="15"/>
  <cols>
    <col min="1" max="1" width="4.6640625" customWidth="1"/>
    <col min="2" max="2" width="6.6640625" customWidth="1"/>
    <col min="3" max="3" width="38.88671875" customWidth="1"/>
    <col min="4" max="4" width="14.5546875" bestFit="1" customWidth="1"/>
    <col min="5" max="5" width="11.88671875" bestFit="1" customWidth="1"/>
    <col min="6" max="6" width="11.5546875" bestFit="1" customWidth="1"/>
    <col min="7" max="8" width="11.88671875" bestFit="1" customWidth="1"/>
    <col min="9" max="9" width="12.6640625" customWidth="1"/>
    <col min="10" max="10" width="13.109375" bestFit="1" customWidth="1"/>
    <col min="11" max="14" width="11.77734375" bestFit="1" customWidth="1"/>
    <col min="15" max="15" width="12.44140625" customWidth="1"/>
    <col min="16" max="16" width="12.44140625" bestFit="1" customWidth="1"/>
    <col min="17" max="17" width="9.6640625" customWidth="1"/>
    <col min="18" max="18" width="12.5546875" customWidth="1"/>
  </cols>
  <sheetData>
    <row r="1" spans="1:16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75">
      <c r="A3" s="185" t="s">
        <v>344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>
      <c r="A4" s="185" t="s">
        <v>410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6">
      <c r="B5" s="60"/>
      <c r="C5" s="60"/>
      <c r="D5" s="60"/>
      <c r="E5" s="60"/>
      <c r="F5" s="60"/>
      <c r="G5" s="47"/>
      <c r="H5" s="60"/>
      <c r="I5" s="60"/>
      <c r="J5" s="60"/>
      <c r="K5" s="60"/>
      <c r="L5" s="60"/>
      <c r="M5" s="60"/>
      <c r="N5" s="60"/>
      <c r="O5" s="60"/>
    </row>
    <row r="6" spans="1:16" ht="15.75">
      <c r="A6" s="61" t="str">
        <f>'C.2.1 F'!A6</f>
        <v>Data:________Base Period___X____Forecasted Period</v>
      </c>
      <c r="C6" s="61"/>
      <c r="F6" s="44"/>
      <c r="P6" s="62" t="s">
        <v>240</v>
      </c>
    </row>
    <row r="7" spans="1:16">
      <c r="A7" s="61" t="str">
        <f>'C.2.1 F'!A7</f>
        <v>Type of Filing:___X____Original________Updated ________Revised</v>
      </c>
      <c r="C7" s="61"/>
      <c r="P7" s="63" t="s">
        <v>241</v>
      </c>
    </row>
    <row r="8" spans="1:16">
      <c r="A8" s="64" t="str">
        <f>'C.2.1 F'!A8</f>
        <v>Workpaper Reference No(s).____________________</v>
      </c>
      <c r="B8" s="58"/>
      <c r="C8" s="89"/>
      <c r="D8" s="65"/>
      <c r="E8" s="65"/>
      <c r="F8" s="65"/>
      <c r="G8" s="65"/>
      <c r="H8" s="65"/>
      <c r="I8" s="65"/>
      <c r="J8" s="65"/>
      <c r="K8" s="65"/>
      <c r="L8" s="65"/>
      <c r="M8" s="58"/>
      <c r="N8" s="58"/>
      <c r="O8" s="58"/>
      <c r="P8" s="66" t="str">
        <f>'C.1'!J9</f>
        <v>Witness: Waller, Wiebe, Troup</v>
      </c>
    </row>
    <row r="9" spans="1:16">
      <c r="A9" s="67" t="s">
        <v>22</v>
      </c>
      <c r="B9" s="90" t="s">
        <v>242</v>
      </c>
      <c r="C9" s="91"/>
      <c r="D9" s="92" t="s">
        <v>21</v>
      </c>
      <c r="E9" s="56" t="s">
        <v>21</v>
      </c>
      <c r="F9" s="56" t="s">
        <v>21</v>
      </c>
      <c r="G9" s="56" t="s">
        <v>21</v>
      </c>
      <c r="H9" s="56" t="s">
        <v>21</v>
      </c>
      <c r="I9" s="56" t="s">
        <v>21</v>
      </c>
      <c r="J9" s="56" t="s">
        <v>21</v>
      </c>
      <c r="K9" s="56" t="s">
        <v>21</v>
      </c>
      <c r="L9" s="56" t="s">
        <v>21</v>
      </c>
      <c r="M9" s="56" t="s">
        <v>21</v>
      </c>
      <c r="N9" s="56" t="s">
        <v>21</v>
      </c>
      <c r="O9" s="56" t="s">
        <v>21</v>
      </c>
      <c r="P9" s="75"/>
    </row>
    <row r="10" spans="1:16">
      <c r="A10" s="69" t="s">
        <v>25</v>
      </c>
      <c r="B10" s="58" t="s">
        <v>25</v>
      </c>
      <c r="C10" s="93" t="s">
        <v>245</v>
      </c>
      <c r="D10" s="94">
        <f>'C.2.2-F 09'!D10</f>
        <v>45748</v>
      </c>
      <c r="E10" s="94">
        <f>'C.2.2-F 09'!F10</f>
        <v>45809</v>
      </c>
      <c r="F10" s="94">
        <f>'C.2.2-F 09'!F10</f>
        <v>45809</v>
      </c>
      <c r="G10" s="94">
        <f>'C.2.2-F 09'!G10</f>
        <v>45839</v>
      </c>
      <c r="H10" s="94">
        <f>'C.2.2-F 09'!H10</f>
        <v>45870</v>
      </c>
      <c r="I10" s="94">
        <f>'C.2.2-F 09'!I10</f>
        <v>45901</v>
      </c>
      <c r="J10" s="94">
        <f>'C.2.2-F 09'!J10</f>
        <v>45931</v>
      </c>
      <c r="K10" s="94">
        <f>'C.2.2-F 09'!K10</f>
        <v>45962</v>
      </c>
      <c r="L10" s="94">
        <f>'C.2.2-F 09'!L10</f>
        <v>45992</v>
      </c>
      <c r="M10" s="94">
        <f>'C.2.2-F 09'!M10</f>
        <v>46023</v>
      </c>
      <c r="N10" s="94">
        <f>'C.2.2-F 09'!N10</f>
        <v>46054</v>
      </c>
      <c r="O10" s="94">
        <f>'C.2.2-F 09'!O10</f>
        <v>46082</v>
      </c>
      <c r="P10" s="76" t="str">
        <f>'C.2.2 B 09'!P10</f>
        <v>Total</v>
      </c>
    </row>
    <row r="11" spans="1:16">
      <c r="D11" s="77" t="s">
        <v>247</v>
      </c>
      <c r="E11" s="77" t="s">
        <v>247</v>
      </c>
      <c r="F11" s="77" t="s">
        <v>247</v>
      </c>
      <c r="G11" s="77" t="s">
        <v>247</v>
      </c>
      <c r="H11" s="77" t="s">
        <v>247</v>
      </c>
      <c r="I11" s="77" t="s">
        <v>247</v>
      </c>
      <c r="J11" s="77" t="s">
        <v>247</v>
      </c>
      <c r="K11" s="77" t="s">
        <v>247</v>
      </c>
      <c r="L11" s="77" t="s">
        <v>247</v>
      </c>
      <c r="M11" s="77" t="s">
        <v>247</v>
      </c>
      <c r="N11" s="77" t="s">
        <v>247</v>
      </c>
      <c r="O11" s="77" t="s">
        <v>247</v>
      </c>
      <c r="P11" s="77" t="s">
        <v>247</v>
      </c>
    </row>
    <row r="12" spans="1:16">
      <c r="A12" s="56">
        <v>1</v>
      </c>
      <c r="B12" s="95">
        <v>4030</v>
      </c>
      <c r="C12" t="s">
        <v>71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>
        <f t="shared" ref="P12:P42" si="0">SUM(D12:O12)</f>
        <v>0</v>
      </c>
    </row>
    <row r="13" spans="1:16">
      <c r="A13" s="56">
        <f>A12+1</f>
        <v>2</v>
      </c>
      <c r="B13" s="95">
        <v>4081</v>
      </c>
      <c r="C13" t="s">
        <v>250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>
        <f t="shared" si="0"/>
        <v>0</v>
      </c>
    </row>
    <row r="14" spans="1:16">
      <c r="A14" s="56">
        <f>A13+1</f>
        <v>3</v>
      </c>
      <c r="B14" s="95">
        <v>8210</v>
      </c>
      <c r="C14" t="s">
        <v>283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>
        <f t="shared" si="0"/>
        <v>0</v>
      </c>
    </row>
    <row r="15" spans="1:16">
      <c r="A15" s="56">
        <f t="shared" ref="A15:A47" si="1">A14+1</f>
        <v>4</v>
      </c>
      <c r="B15" s="95">
        <v>8520</v>
      </c>
      <c r="C15" t="s">
        <v>134</v>
      </c>
      <c r="D15" s="27">
        <v>7996.507178896506</v>
      </c>
      <c r="E15" s="27">
        <v>7856.4369571972738</v>
      </c>
      <c r="F15" s="27">
        <v>8027.3826510301096</v>
      </c>
      <c r="G15" s="27">
        <v>7838.2002457456683</v>
      </c>
      <c r="H15" s="27">
        <v>7871.0879936585789</v>
      </c>
      <c r="I15" s="27">
        <v>8267.7379178443553</v>
      </c>
      <c r="J15" s="27">
        <v>8234.3843068440947</v>
      </c>
      <c r="K15" s="27">
        <v>7997.7364879978277</v>
      </c>
      <c r="L15" s="27">
        <v>8033.6926245965196</v>
      </c>
      <c r="M15" s="27">
        <v>7966.7039200480176</v>
      </c>
      <c r="N15" s="27">
        <v>7901.6483981395386</v>
      </c>
      <c r="O15" s="27">
        <v>8278.0983079529578</v>
      </c>
      <c r="P15">
        <f t="shared" ref="P15" si="2">SUM(D15:O15)</f>
        <v>96269.61698995145</v>
      </c>
    </row>
    <row r="16" spans="1:16">
      <c r="A16" s="56">
        <f t="shared" si="1"/>
        <v>5</v>
      </c>
      <c r="B16" s="95">
        <v>8560</v>
      </c>
      <c r="C16" t="s">
        <v>292</v>
      </c>
      <c r="D16" s="27">
        <v>6294.1725005945373</v>
      </c>
      <c r="E16" s="27">
        <v>5981.9392901994761</v>
      </c>
      <c r="F16" s="27">
        <v>6148.122405096261</v>
      </c>
      <c r="G16" s="27">
        <v>6428.3455254448754</v>
      </c>
      <c r="H16" s="27">
        <v>6284.0422697729309</v>
      </c>
      <c r="I16" s="27">
        <v>6426.376087855575</v>
      </c>
      <c r="J16" s="27">
        <v>5475.3341146558632</v>
      </c>
      <c r="K16" s="27">
        <v>5388.916279324133</v>
      </c>
      <c r="L16" s="27">
        <v>6028.5552307142561</v>
      </c>
      <c r="M16" s="27">
        <v>5865.764556905895</v>
      </c>
      <c r="N16" s="27">
        <v>5653.5149228392047</v>
      </c>
      <c r="O16" s="27">
        <v>5683.3919231364143</v>
      </c>
      <c r="P16">
        <f t="shared" si="0"/>
        <v>71658.475106539423</v>
      </c>
    </row>
    <row r="17" spans="1:16">
      <c r="A17" s="56">
        <f t="shared" si="1"/>
        <v>6</v>
      </c>
      <c r="B17" s="95">
        <v>8700</v>
      </c>
      <c r="C17" t="s">
        <v>297</v>
      </c>
      <c r="D17" s="27">
        <v>1107.0317955453447</v>
      </c>
      <c r="E17" s="27">
        <v>1133.1304832081075</v>
      </c>
      <c r="F17" s="27">
        <v>1163.9171526856678</v>
      </c>
      <c r="G17" s="27">
        <v>1155.4946780635009</v>
      </c>
      <c r="H17" s="27">
        <v>1099.395414873389</v>
      </c>
      <c r="I17" s="27">
        <v>1345.1698636601807</v>
      </c>
      <c r="J17" s="27">
        <v>1247.2631566311541</v>
      </c>
      <c r="K17" s="27">
        <v>1167.0883372138001</v>
      </c>
      <c r="L17" s="27">
        <v>1256.8962233761906</v>
      </c>
      <c r="M17" s="27">
        <v>1161.4395837592524</v>
      </c>
      <c r="N17" s="27">
        <v>1118.588957160151</v>
      </c>
      <c r="O17" s="27">
        <v>1128.6123173157562</v>
      </c>
      <c r="P17">
        <f t="shared" si="0"/>
        <v>14084.027963492495</v>
      </c>
    </row>
    <row r="18" spans="1:16">
      <c r="A18" s="56">
        <f t="shared" si="1"/>
        <v>7</v>
      </c>
      <c r="B18" s="95">
        <v>8740</v>
      </c>
      <c r="C18" t="s">
        <v>301</v>
      </c>
      <c r="D18" s="27">
        <v>21416.040011538291</v>
      </c>
      <c r="E18" s="27">
        <v>19764.089051985509</v>
      </c>
      <c r="F18" s="27">
        <v>20357.42852450741</v>
      </c>
      <c r="G18" s="27">
        <v>23377.43823352614</v>
      </c>
      <c r="H18" s="27">
        <v>20014.406051086582</v>
      </c>
      <c r="I18" s="27">
        <v>21851.944186395071</v>
      </c>
      <c r="J18" s="27">
        <v>19602.661280777342</v>
      </c>
      <c r="K18" s="27">
        <v>19402.278608005727</v>
      </c>
      <c r="L18" s="27">
        <v>23291.962191449937</v>
      </c>
      <c r="M18" s="27">
        <v>23150.942288998071</v>
      </c>
      <c r="N18" s="27">
        <v>18059.867724038853</v>
      </c>
      <c r="O18" s="27">
        <v>19827.58961345749</v>
      </c>
      <c r="P18">
        <f t="shared" si="0"/>
        <v>250116.64776576645</v>
      </c>
    </row>
    <row r="19" spans="1:16">
      <c r="A19" s="56">
        <f t="shared" si="1"/>
        <v>8</v>
      </c>
      <c r="B19" s="95">
        <v>8780</v>
      </c>
      <c r="C19" t="s">
        <v>305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>
        <f t="shared" si="0"/>
        <v>0</v>
      </c>
    </row>
    <row r="20" spans="1:16">
      <c r="A20" s="56">
        <f t="shared" si="1"/>
        <v>9</v>
      </c>
      <c r="B20" s="95">
        <v>8800</v>
      </c>
      <c r="C20" t="s">
        <v>307</v>
      </c>
      <c r="D20" s="27">
        <v>16954.64418005936</v>
      </c>
      <c r="E20" s="27">
        <v>14860.403271580748</v>
      </c>
      <c r="F20" s="27">
        <v>15975.629075385768</v>
      </c>
      <c r="G20" s="27">
        <v>14761.727553408093</v>
      </c>
      <c r="H20" s="27">
        <v>14881.18053727693</v>
      </c>
      <c r="I20" s="27">
        <v>17485.099875263411</v>
      </c>
      <c r="J20" s="27">
        <v>16733.346843018175</v>
      </c>
      <c r="K20" s="27">
        <v>16147.204838278731</v>
      </c>
      <c r="L20" s="27">
        <v>15420.887132840589</v>
      </c>
      <c r="M20" s="27">
        <v>14663.407342872952</v>
      </c>
      <c r="N20" s="27">
        <v>14167.199159461967</v>
      </c>
      <c r="O20" s="27">
        <v>14866.944589985182</v>
      </c>
      <c r="P20">
        <f t="shared" si="0"/>
        <v>186917.67439943191</v>
      </c>
    </row>
    <row r="21" spans="1:16">
      <c r="A21" s="56">
        <f t="shared" si="1"/>
        <v>10</v>
      </c>
      <c r="B21" s="95">
        <v>8810</v>
      </c>
      <c r="C21" t="s">
        <v>308</v>
      </c>
      <c r="D21" s="27">
        <v>8768.9896812396037</v>
      </c>
      <c r="E21" s="27">
        <v>8753.050252683739</v>
      </c>
      <c r="F21" s="27">
        <v>8895.0693443662221</v>
      </c>
      <c r="G21" s="27">
        <v>8753.050252683739</v>
      </c>
      <c r="H21" s="27">
        <v>8753.0188526767324</v>
      </c>
      <c r="I21" s="27">
        <v>8889.5115431263548</v>
      </c>
      <c r="J21" s="27">
        <v>8854.378075288565</v>
      </c>
      <c r="K21" s="27">
        <v>8776.2108978505548</v>
      </c>
      <c r="L21" s="27">
        <v>8968.6395607787144</v>
      </c>
      <c r="M21" s="27">
        <v>8761.6500866022416</v>
      </c>
      <c r="N21" s="27">
        <v>8761.6368985992995</v>
      </c>
      <c r="O21" s="27">
        <v>8893.4624490077476</v>
      </c>
      <c r="P21">
        <f t="shared" ref="P21" si="3">SUM(D21:O21)</f>
        <v>105828.66789490351</v>
      </c>
    </row>
    <row r="22" spans="1:16">
      <c r="A22" s="56">
        <f t="shared" si="1"/>
        <v>11</v>
      </c>
      <c r="B22" s="95">
        <v>8850</v>
      </c>
      <c r="C22" t="s">
        <v>361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>
        <f t="shared" si="0"/>
        <v>0</v>
      </c>
    </row>
    <row r="23" spans="1:16">
      <c r="A23" s="56">
        <f t="shared" si="1"/>
        <v>12</v>
      </c>
      <c r="B23" s="95">
        <v>8900</v>
      </c>
      <c r="C23" t="s">
        <v>313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>
        <f t="shared" si="0"/>
        <v>0</v>
      </c>
    </row>
    <row r="24" spans="1:16">
      <c r="A24" s="56">
        <f t="shared" si="1"/>
        <v>13</v>
      </c>
      <c r="B24" s="95">
        <v>9010</v>
      </c>
      <c r="C24" t="s">
        <v>318</v>
      </c>
      <c r="D24" s="27">
        <v>-174.4120649431635</v>
      </c>
      <c r="E24" s="27">
        <v>-182.43369348196836</v>
      </c>
      <c r="F24" s="27">
        <v>-171.97305467292358</v>
      </c>
      <c r="G24" s="27">
        <v>-188.54739061503767</v>
      </c>
      <c r="H24" s="27">
        <v>-175.95312781260384</v>
      </c>
      <c r="I24" s="27">
        <v>-150.41585571847941</v>
      </c>
      <c r="J24" s="27">
        <v>-161.01523428958922</v>
      </c>
      <c r="K24" s="27">
        <v>-173.11736160570013</v>
      </c>
      <c r="L24" s="27">
        <v>-284.51452836331214</v>
      </c>
      <c r="M24" s="27">
        <v>-212.29661624007178</v>
      </c>
      <c r="N24" s="27">
        <v>-178.52434233392455</v>
      </c>
      <c r="O24" s="27">
        <v>-149.41142073824062</v>
      </c>
      <c r="P24">
        <f t="shared" si="0"/>
        <v>-2202.6146908150149</v>
      </c>
    </row>
    <row r="25" spans="1:16">
      <c r="A25" s="56"/>
      <c r="B25" s="95">
        <v>9020</v>
      </c>
      <c r="C25" t="s">
        <v>362</v>
      </c>
      <c r="D25" s="27">
        <v>13830.644111246145</v>
      </c>
      <c r="E25" s="27">
        <v>13834.697222042085</v>
      </c>
      <c r="F25" s="27">
        <v>13197.33297741712</v>
      </c>
      <c r="G25" s="27">
        <v>14508.228186642757</v>
      </c>
      <c r="H25" s="27">
        <v>13204.494158058038</v>
      </c>
      <c r="I25" s="27">
        <v>13845.144927698757</v>
      </c>
      <c r="J25" s="27">
        <v>14798.82421090666</v>
      </c>
      <c r="K25" s="27">
        <v>13597.661957211338</v>
      </c>
      <c r="L25" s="27">
        <v>14300.93755799375</v>
      </c>
      <c r="M25" s="27">
        <v>14982.198931805995</v>
      </c>
      <c r="N25" s="27">
        <v>12964.548928139046</v>
      </c>
      <c r="O25" s="27">
        <v>13606.466237328326</v>
      </c>
      <c r="P25">
        <f t="shared" ref="P25" si="4">SUM(D25:O25)</f>
        <v>166671.17940649003</v>
      </c>
    </row>
    <row r="26" spans="1:16">
      <c r="A26" s="56">
        <f>A24+1</f>
        <v>14</v>
      </c>
      <c r="B26" s="95">
        <v>9030</v>
      </c>
      <c r="C26" t="s">
        <v>320</v>
      </c>
      <c r="D26" s="27">
        <v>49874.329726045573</v>
      </c>
      <c r="E26" s="27">
        <v>44229.512490008288</v>
      </c>
      <c r="F26" s="27">
        <v>42089.368727248395</v>
      </c>
      <c r="G26" s="27">
        <v>52383.494140431838</v>
      </c>
      <c r="H26" s="27">
        <v>42442.705776094066</v>
      </c>
      <c r="I26" s="27">
        <v>45008.363738845583</v>
      </c>
      <c r="J26" s="27">
        <v>53357.143417525484</v>
      </c>
      <c r="K26" s="27">
        <v>44164.970581537556</v>
      </c>
      <c r="L26" s="27">
        <v>45756.534504215262</v>
      </c>
      <c r="M26" s="27">
        <v>53616.160095499217</v>
      </c>
      <c r="N26" s="27">
        <v>42288.062529802424</v>
      </c>
      <c r="O26" s="27">
        <v>55789.497669807577</v>
      </c>
      <c r="P26">
        <f t="shared" si="0"/>
        <v>571000.14339706139</v>
      </c>
    </row>
    <row r="27" spans="1:16">
      <c r="A27" s="56">
        <f t="shared" si="1"/>
        <v>15</v>
      </c>
      <c r="B27" s="95">
        <v>9040</v>
      </c>
      <c r="C27" t="s">
        <v>321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>
        <f t="shared" ref="P27" si="5">SUM(D27:O27)</f>
        <v>0</v>
      </c>
    </row>
    <row r="28" spans="1:16">
      <c r="A28" s="56">
        <f t="shared" si="1"/>
        <v>16</v>
      </c>
      <c r="B28" s="95">
        <v>9100</v>
      </c>
      <c r="C28" t="s">
        <v>323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>
        <f t="shared" si="0"/>
        <v>0</v>
      </c>
    </row>
    <row r="29" spans="1:16">
      <c r="A29" s="56">
        <f t="shared" si="1"/>
        <v>17</v>
      </c>
      <c r="B29" s="95">
        <v>9120</v>
      </c>
      <c r="C29" t="s">
        <v>363</v>
      </c>
      <c r="D29" s="27">
        <v>8306.4901899211036</v>
      </c>
      <c r="E29" s="27">
        <v>7677.5917806296802</v>
      </c>
      <c r="F29" s="27">
        <v>6419.7949620468362</v>
      </c>
      <c r="G29" s="27">
        <v>7048.6933713382587</v>
      </c>
      <c r="H29" s="27">
        <v>6419.7949620468362</v>
      </c>
      <c r="I29" s="27">
        <v>7828.5273988596218</v>
      </c>
      <c r="J29" s="27">
        <v>9740.3785631055453</v>
      </c>
      <c r="K29" s="27">
        <v>6419.7949620468362</v>
      </c>
      <c r="L29" s="27">
        <v>12834.558736819343</v>
      </c>
      <c r="M29" s="27">
        <v>10214.170499916605</v>
      </c>
      <c r="N29" s="27">
        <v>7400.8764805414557</v>
      </c>
      <c r="O29" s="27">
        <v>6696.5102621350625</v>
      </c>
      <c r="P29">
        <f t="shared" si="0"/>
        <v>97007.182169407184</v>
      </c>
    </row>
    <row r="30" spans="1:16">
      <c r="A30" s="56">
        <f t="shared" si="1"/>
        <v>18</v>
      </c>
      <c r="B30" s="95">
        <v>9130</v>
      </c>
      <c r="C30" t="s">
        <v>346</v>
      </c>
      <c r="D30" s="27">
        <v>333.49079480434267</v>
      </c>
      <c r="E30" s="27">
        <v>344.28101288874808</v>
      </c>
      <c r="F30" s="27">
        <v>371.28437235558579</v>
      </c>
      <c r="G30" s="27">
        <v>333.86997495726513</v>
      </c>
      <c r="H30" s="27">
        <v>328.16204050020303</v>
      </c>
      <c r="I30" s="27">
        <v>358.08898730143244</v>
      </c>
      <c r="J30" s="27">
        <v>384.95307674491414</v>
      </c>
      <c r="K30" s="27">
        <v>388.6617435602347</v>
      </c>
      <c r="L30" s="27">
        <v>364.43564200917052</v>
      </c>
      <c r="M30" s="27">
        <v>347.49009631811055</v>
      </c>
      <c r="N30" s="27">
        <v>336.55377140863158</v>
      </c>
      <c r="O30" s="27">
        <v>346.1676521719653</v>
      </c>
      <c r="P30">
        <f t="shared" ref="P30:P31" si="6">SUM(D30:O30)</f>
        <v>4237.4391650206044</v>
      </c>
    </row>
    <row r="31" spans="1:16">
      <c r="A31" s="56">
        <f t="shared" si="1"/>
        <v>19</v>
      </c>
      <c r="B31" s="95">
        <v>9160</v>
      </c>
      <c r="C31" t="s">
        <v>199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>
        <f t="shared" si="6"/>
        <v>0</v>
      </c>
    </row>
    <row r="32" spans="1:16">
      <c r="A32" s="56">
        <f t="shared" si="1"/>
        <v>20</v>
      </c>
      <c r="B32" s="95">
        <v>9200</v>
      </c>
      <c r="C32" t="s">
        <v>328</v>
      </c>
      <c r="D32" s="27">
        <v>-3829865.4083246416</v>
      </c>
      <c r="E32" s="27">
        <v>-3924257.4096160587</v>
      </c>
      <c r="F32" s="27">
        <v>-6625553.7081440408</v>
      </c>
      <c r="G32" s="27">
        <v>-4141435.2477419586</v>
      </c>
      <c r="H32" s="27">
        <v>-5977577.7880860614</v>
      </c>
      <c r="I32" s="27">
        <v>-3109333.2716778358</v>
      </c>
      <c r="J32" s="27">
        <v>-2946418.1036998089</v>
      </c>
      <c r="K32" s="27">
        <v>-3946657.9757169499</v>
      </c>
      <c r="L32" s="27">
        <v>-3627895.1075717504</v>
      </c>
      <c r="M32" s="27">
        <v>-3575367.0669643767</v>
      </c>
      <c r="N32" s="27">
        <v>-4519550.6513797259</v>
      </c>
      <c r="O32" s="27">
        <v>-3831556.2040571952</v>
      </c>
      <c r="P32">
        <f t="shared" si="0"/>
        <v>-50055467.942980409</v>
      </c>
    </row>
    <row r="33" spans="1:17">
      <c r="A33" s="56">
        <f t="shared" si="1"/>
        <v>21</v>
      </c>
      <c r="B33" s="95">
        <v>9210</v>
      </c>
      <c r="C33" t="s">
        <v>329</v>
      </c>
      <c r="D33" s="27">
        <v>4791713.3986227876</v>
      </c>
      <c r="E33" s="27">
        <v>4470149.1296166088</v>
      </c>
      <c r="F33" s="27">
        <v>4515318.4808454402</v>
      </c>
      <c r="G33" s="27">
        <v>4686270.1667676969</v>
      </c>
      <c r="H33" s="27">
        <v>4613470.5971388612</v>
      </c>
      <c r="I33" s="27">
        <v>4937598.7214212678</v>
      </c>
      <c r="J33" s="27">
        <v>4246588.6300230334</v>
      </c>
      <c r="K33" s="27">
        <v>4051579.8511325931</v>
      </c>
      <c r="L33" s="27">
        <v>4318073.6968942955</v>
      </c>
      <c r="M33" s="27">
        <v>4338526.8175643068</v>
      </c>
      <c r="N33" s="27">
        <v>4254625.9735552501</v>
      </c>
      <c r="O33" s="27">
        <v>4309157.0485527217</v>
      </c>
      <c r="P33">
        <f t="shared" si="0"/>
        <v>53533072.512134865</v>
      </c>
    </row>
    <row r="34" spans="1:17">
      <c r="A34" s="56">
        <f t="shared" si="1"/>
        <v>22</v>
      </c>
      <c r="B34" s="95">
        <v>9220</v>
      </c>
      <c r="C34" t="s">
        <v>330</v>
      </c>
      <c r="D34" s="6">
        <f t="shared" ref="D34:O34" si="7">-(SUM(D12:D33,D35:D42))</f>
        <v>-12715975.425886931</v>
      </c>
      <c r="E34" s="6">
        <f t="shared" si="7"/>
        <v>-15396830.738811469</v>
      </c>
      <c r="F34" s="6">
        <f t="shared" si="7"/>
        <v>-9861630.6277301647</v>
      </c>
      <c r="G34" s="6">
        <f t="shared" si="7"/>
        <v>-15896565.850667218</v>
      </c>
      <c r="H34" s="6">
        <f t="shared" si="7"/>
        <v>-8224311.8522144491</v>
      </c>
      <c r="I34" s="6">
        <f t="shared" si="7"/>
        <v>-11669249.168755544</v>
      </c>
      <c r="J34" s="6">
        <f t="shared" si="7"/>
        <v>-13387955.318890126</v>
      </c>
      <c r="K34" s="6">
        <f t="shared" si="7"/>
        <v>-11831011.568672366</v>
      </c>
      <c r="L34" s="6">
        <f t="shared" si="7"/>
        <v>-12417751.58166959</v>
      </c>
      <c r="M34" s="6">
        <f t="shared" si="7"/>
        <v>-13403637.630522057</v>
      </c>
      <c r="N34" s="6">
        <f t="shared" si="7"/>
        <v>-11260021.151982533</v>
      </c>
      <c r="O34" s="6">
        <f t="shared" si="7"/>
        <v>-13340841.165595243</v>
      </c>
      <c r="P34">
        <f t="shared" si="0"/>
        <v>-149405782.08139768</v>
      </c>
    </row>
    <row r="35" spans="1:17">
      <c r="A35" s="56">
        <f t="shared" si="1"/>
        <v>23</v>
      </c>
      <c r="B35" s="95">
        <v>9230</v>
      </c>
      <c r="C35" t="s">
        <v>331</v>
      </c>
      <c r="D35" s="27">
        <v>1033260.0312527681</v>
      </c>
      <c r="E35" s="27">
        <v>1102791.5801867871</v>
      </c>
      <c r="F35" s="27">
        <v>1094291.828727558</v>
      </c>
      <c r="G35" s="27">
        <v>1041979.6782567992</v>
      </c>
      <c r="H35" s="27">
        <v>927298.81556125032</v>
      </c>
      <c r="I35" s="27">
        <v>1149296.1818549237</v>
      </c>
      <c r="J35" s="27">
        <v>1255451.111953099</v>
      </c>
      <c r="K35" s="27">
        <v>1253093.0475727585</v>
      </c>
      <c r="L35" s="27">
        <v>1160322.7060686802</v>
      </c>
      <c r="M35" s="27">
        <v>1084806.9929660421</v>
      </c>
      <c r="N35" s="27">
        <v>1033090.3590118722</v>
      </c>
      <c r="O35" s="27">
        <v>1086774.392786182</v>
      </c>
      <c r="P35">
        <f t="shared" si="0"/>
        <v>13222456.726198722</v>
      </c>
    </row>
    <row r="36" spans="1:17">
      <c r="A36" s="56">
        <f t="shared" si="1"/>
        <v>24</v>
      </c>
      <c r="B36" s="95">
        <v>9240</v>
      </c>
      <c r="C36" t="s">
        <v>332</v>
      </c>
      <c r="D36" s="27">
        <v>11253.806089010424</v>
      </c>
      <c r="E36" s="27">
        <v>11253.806089010424</v>
      </c>
      <c r="F36" s="27">
        <v>11253.806089010424</v>
      </c>
      <c r="G36" s="27">
        <v>11270.974775244711</v>
      </c>
      <c r="H36" s="27">
        <v>11313.400589749765</v>
      </c>
      <c r="I36" s="27">
        <v>11270.974775244711</v>
      </c>
      <c r="J36" s="27">
        <v>11190.481094468694</v>
      </c>
      <c r="K36" s="27">
        <v>11251.496367394653</v>
      </c>
      <c r="L36" s="27">
        <v>11251.496367394653</v>
      </c>
      <c r="M36" s="27">
        <v>11251.496367394653</v>
      </c>
      <c r="N36" s="27">
        <v>11251.496367394653</v>
      </c>
      <c r="O36" s="27">
        <v>11253.604218105627</v>
      </c>
      <c r="P36">
        <f t="shared" si="0"/>
        <v>135066.83918942336</v>
      </c>
    </row>
    <row r="37" spans="1:17">
      <c r="A37" s="56">
        <f t="shared" si="1"/>
        <v>25</v>
      </c>
      <c r="B37" s="95">
        <v>9250</v>
      </c>
      <c r="C37" t="s">
        <v>333</v>
      </c>
      <c r="D37" s="27">
        <v>5360230.547132588</v>
      </c>
      <c r="E37" s="27">
        <v>5360211.2168243658</v>
      </c>
      <c r="F37" s="27">
        <v>5359758.5513446648</v>
      </c>
      <c r="G37" s="27">
        <v>5368862.5375469802</v>
      </c>
      <c r="H37" s="27">
        <v>5388092.1544893458</v>
      </c>
      <c r="I37" s="27">
        <v>5368388.1408753172</v>
      </c>
      <c r="J37" s="27">
        <v>5330481.1918999515</v>
      </c>
      <c r="K37" s="27">
        <v>5358604.666890623</v>
      </c>
      <c r="L37" s="27">
        <v>5359120.8443442369</v>
      </c>
      <c r="M37" s="27">
        <v>5359624.213781273</v>
      </c>
      <c r="N37" s="27">
        <v>5358201.3056693356</v>
      </c>
      <c r="O37" s="27">
        <v>5359647.898103389</v>
      </c>
      <c r="P37">
        <f t="shared" si="0"/>
        <v>64331223.268902063</v>
      </c>
    </row>
    <row r="38" spans="1:17">
      <c r="A38" s="56">
        <f t="shared" si="1"/>
        <v>26</v>
      </c>
      <c r="B38" s="95">
        <v>9260</v>
      </c>
      <c r="C38" t="s">
        <v>334</v>
      </c>
      <c r="D38" s="27">
        <v>3785201.6273909709</v>
      </c>
      <c r="E38" s="27">
        <v>7473383.5488177463</v>
      </c>
      <c r="F38" s="27">
        <v>4626383.6793370713</v>
      </c>
      <c r="G38" s="27">
        <v>7263090.7733258419</v>
      </c>
      <c r="H38" s="27">
        <v>2364752.4171227785</v>
      </c>
      <c r="I38" s="27">
        <v>2357263.932906305</v>
      </c>
      <c r="J38" s="27">
        <v>3829320.5649243249</v>
      </c>
      <c r="K38" s="27">
        <v>4124919.1817083326</v>
      </c>
      <c r="L38" s="27">
        <v>4249474.88021727</v>
      </c>
      <c r="M38" s="27">
        <v>4529017.3692119662</v>
      </c>
      <c r="N38" s="27">
        <v>4141902.7758127595</v>
      </c>
      <c r="O38" s="27">
        <v>3985991.2333756802</v>
      </c>
      <c r="P38">
        <f t="shared" si="0"/>
        <v>52730701.98415105</v>
      </c>
    </row>
    <row r="39" spans="1:17">
      <c r="A39" s="56">
        <f t="shared" si="1"/>
        <v>27</v>
      </c>
      <c r="B39" s="95">
        <v>9301</v>
      </c>
      <c r="C39" t="s">
        <v>347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>
        <f t="shared" si="0"/>
        <v>0</v>
      </c>
    </row>
    <row r="40" spans="1:17">
      <c r="A40" s="56">
        <f t="shared" si="1"/>
        <v>28</v>
      </c>
      <c r="B40" s="95">
        <v>9302</v>
      </c>
      <c r="C40" t="s">
        <v>337</v>
      </c>
      <c r="D40" s="27">
        <v>878743.80557657394</v>
      </c>
      <c r="E40" s="27">
        <v>229664.56875086005</v>
      </c>
      <c r="F40" s="27">
        <v>197506.10896178597</v>
      </c>
      <c r="G40" s="27">
        <v>979783.12751661905</v>
      </c>
      <c r="H40" s="27">
        <v>226175.14570859045</v>
      </c>
      <c r="I40" s="27">
        <v>263459.74963791756</v>
      </c>
      <c r="J40" s="27">
        <v>968108.19468875625</v>
      </c>
      <c r="K40" s="27">
        <v>304561.6233027628</v>
      </c>
      <c r="L40" s="27">
        <v>249290.81918841696</v>
      </c>
      <c r="M40" s="27">
        <v>967008.81292602897</v>
      </c>
      <c r="N40" s="27">
        <v>314538.13309492893</v>
      </c>
      <c r="O40" s="27">
        <v>1729259.3715901352</v>
      </c>
      <c r="P40">
        <f t="shared" si="0"/>
        <v>7308099.4609433766</v>
      </c>
    </row>
    <row r="41" spans="1:17">
      <c r="A41" s="56">
        <f t="shared" si="1"/>
        <v>29</v>
      </c>
      <c r="B41" s="95">
        <v>9310</v>
      </c>
      <c r="C41" t="s">
        <v>212</v>
      </c>
      <c r="D41" s="27">
        <v>499934.60355100257</v>
      </c>
      <c r="E41" s="27">
        <v>499202.15345471172</v>
      </c>
      <c r="F41" s="27">
        <v>507555.29090800794</v>
      </c>
      <c r="G41" s="27">
        <v>499284.83226982818</v>
      </c>
      <c r="H41" s="27">
        <v>498929.32640953449</v>
      </c>
      <c r="I41" s="27">
        <v>507111.3258803151</v>
      </c>
      <c r="J41" s="27">
        <v>504857.16351252573</v>
      </c>
      <c r="K41" s="27">
        <v>500503.71262924513</v>
      </c>
      <c r="L41" s="27">
        <v>511274.93397674285</v>
      </c>
      <c r="M41" s="27">
        <v>499308.74039951159</v>
      </c>
      <c r="N41" s="27">
        <v>499134.84023814439</v>
      </c>
      <c r="O41" s="27">
        <v>506595.93979891151</v>
      </c>
      <c r="P41">
        <f t="shared" si="0"/>
        <v>6033692.8630284807</v>
      </c>
    </row>
    <row r="42" spans="1:17">
      <c r="A42" s="56">
        <f t="shared" si="1"/>
        <v>30</v>
      </c>
      <c r="B42" s="95">
        <v>9320</v>
      </c>
      <c r="C42" t="s">
        <v>338</v>
      </c>
      <c r="D42" s="27">
        <v>50795.086490923699</v>
      </c>
      <c r="E42" s="27">
        <v>50179.446568495179</v>
      </c>
      <c r="F42" s="27">
        <v>52643.232523200662</v>
      </c>
      <c r="G42" s="27">
        <v>51059.01317853645</v>
      </c>
      <c r="H42" s="27">
        <v>50735.448352167994</v>
      </c>
      <c r="I42" s="27">
        <v>53037.864410957831</v>
      </c>
      <c r="J42" s="27">
        <v>50108.43268256585</v>
      </c>
      <c r="K42" s="27">
        <v>49878.557454183552</v>
      </c>
      <c r="L42" s="27">
        <v>50864.727307871071</v>
      </c>
      <c r="M42" s="27">
        <v>48942.623483423216</v>
      </c>
      <c r="N42" s="27">
        <v>48352.94618477748</v>
      </c>
      <c r="O42" s="27">
        <v>48750.551625751381</v>
      </c>
      <c r="P42">
        <f t="shared" si="0"/>
        <v>605347.93026285444</v>
      </c>
    </row>
    <row r="43" spans="1:17" ht="15.75" thickBot="1">
      <c r="A43" s="56">
        <f t="shared" si="1"/>
        <v>31</v>
      </c>
      <c r="B43" t="s">
        <v>339</v>
      </c>
      <c r="D43" s="100">
        <f t="shared" ref="D43:P43" si="8">SUM(D12:D42)</f>
        <v>8.5856299847364426E-10</v>
      </c>
      <c r="E43" s="100">
        <f t="shared" si="8"/>
        <v>4.5838532969355583E-10</v>
      </c>
      <c r="F43" s="100">
        <f t="shared" si="8"/>
        <v>-5.4569682106375694E-10</v>
      </c>
      <c r="G43" s="100">
        <f t="shared" si="8"/>
        <v>-3.4779077395796776E-9</v>
      </c>
      <c r="H43" s="100">
        <f t="shared" si="8"/>
        <v>-1.5425030142068863E-9</v>
      </c>
      <c r="I43" s="100">
        <f t="shared" si="8"/>
        <v>9.1677065938711166E-10</v>
      </c>
      <c r="J43" s="100">
        <f t="shared" si="8"/>
        <v>-3.4051481634378433E-9</v>
      </c>
      <c r="K43" s="100">
        <f t="shared" si="8"/>
        <v>-2.4738255888223648E-9</v>
      </c>
      <c r="L43" s="100">
        <f t="shared" si="8"/>
        <v>-1.3678800314664841E-9</v>
      </c>
      <c r="M43" s="100">
        <f t="shared" si="8"/>
        <v>-6.8394001573324203E-10</v>
      </c>
      <c r="N43" s="100">
        <f t="shared" si="8"/>
        <v>1.6880221664905548E-9</v>
      </c>
      <c r="O43" s="100">
        <f t="shared" si="8"/>
        <v>-1.0331859812140465E-9</v>
      </c>
      <c r="P43" s="100">
        <f t="shared" si="8"/>
        <v>-4.5401975512504578E-9</v>
      </c>
    </row>
    <row r="44" spans="1:17" ht="15.75" thickTop="1">
      <c r="A44" s="56">
        <f t="shared" si="1"/>
        <v>32</v>
      </c>
    </row>
    <row r="45" spans="1:17">
      <c r="A45" s="56">
        <f t="shared" si="1"/>
        <v>33</v>
      </c>
      <c r="B45" s="95">
        <f t="shared" ref="B45:O45" si="9">B34</f>
        <v>9220</v>
      </c>
      <c r="C45" t="str">
        <f t="shared" si="9"/>
        <v>A&amp;G-Administrative expense transferred-Credit</v>
      </c>
      <c r="D45">
        <f t="shared" si="9"/>
        <v>-12715975.425886931</v>
      </c>
      <c r="E45">
        <f t="shared" si="9"/>
        <v>-15396830.738811469</v>
      </c>
      <c r="F45">
        <f t="shared" si="9"/>
        <v>-9861630.6277301647</v>
      </c>
      <c r="G45">
        <f t="shared" si="9"/>
        <v>-15896565.850667218</v>
      </c>
      <c r="H45">
        <f t="shared" si="9"/>
        <v>-8224311.8522144491</v>
      </c>
      <c r="I45">
        <f t="shared" si="9"/>
        <v>-11669249.168755544</v>
      </c>
      <c r="J45">
        <f t="shared" si="9"/>
        <v>-13387955.318890126</v>
      </c>
      <c r="K45">
        <f t="shared" si="9"/>
        <v>-11831011.568672366</v>
      </c>
      <c r="L45">
        <f t="shared" si="9"/>
        <v>-12417751.58166959</v>
      </c>
      <c r="M45">
        <f t="shared" si="9"/>
        <v>-13403637.630522057</v>
      </c>
      <c r="N45">
        <f t="shared" si="9"/>
        <v>-11260021.151982533</v>
      </c>
      <c r="O45">
        <f t="shared" si="9"/>
        <v>-13340841.165595243</v>
      </c>
    </row>
    <row r="46" spans="1:17">
      <c r="A46" s="56">
        <f t="shared" si="1"/>
        <v>34</v>
      </c>
      <c r="C46" t="s">
        <v>348</v>
      </c>
      <c r="D46" s="101">
        <v>4.5622610000000001E-2</v>
      </c>
      <c r="E46" s="101">
        <f>D46</f>
        <v>4.5622610000000001E-2</v>
      </c>
      <c r="F46" s="101">
        <f t="shared" ref="F46:O46" si="10">E46</f>
        <v>4.5622610000000001E-2</v>
      </c>
      <c r="G46" s="101">
        <f t="shared" si="10"/>
        <v>4.5622610000000001E-2</v>
      </c>
      <c r="H46" s="101">
        <f t="shared" si="10"/>
        <v>4.5622610000000001E-2</v>
      </c>
      <c r="I46" s="101">
        <f t="shared" si="10"/>
        <v>4.5622610000000001E-2</v>
      </c>
      <c r="J46" s="101">
        <f t="shared" si="10"/>
        <v>4.5622610000000001E-2</v>
      </c>
      <c r="K46" s="101">
        <f t="shared" si="10"/>
        <v>4.5622610000000001E-2</v>
      </c>
      <c r="L46" s="101">
        <f t="shared" si="10"/>
        <v>4.5622610000000001E-2</v>
      </c>
      <c r="M46" s="101">
        <f t="shared" si="10"/>
        <v>4.5622610000000001E-2</v>
      </c>
      <c r="N46" s="101">
        <f t="shared" si="10"/>
        <v>4.5622610000000001E-2</v>
      </c>
      <c r="O46" s="101">
        <f t="shared" si="10"/>
        <v>4.5622610000000001E-2</v>
      </c>
    </row>
    <row r="47" spans="1:17">
      <c r="A47" s="56">
        <f t="shared" si="1"/>
        <v>35</v>
      </c>
      <c r="C47" t="s">
        <v>349</v>
      </c>
      <c r="D47">
        <f t="shared" ref="D47:N47" si="11">ROUND(D45*D46,3)</f>
        <v>-580135.98800000001</v>
      </c>
      <c r="E47">
        <f t="shared" si="11"/>
        <v>-702443.60400000005</v>
      </c>
      <c r="F47">
        <f t="shared" si="11"/>
        <v>-449913.32799999998</v>
      </c>
      <c r="G47">
        <f t="shared" si="11"/>
        <v>-725242.82400000002</v>
      </c>
      <c r="H47">
        <f t="shared" si="11"/>
        <v>-375214.57199999999</v>
      </c>
      <c r="I47">
        <f t="shared" si="11"/>
        <v>-532381.60400000005</v>
      </c>
      <c r="J47">
        <f t="shared" si="11"/>
        <v>-610793.46400000004</v>
      </c>
      <c r="K47">
        <f t="shared" si="11"/>
        <v>-539761.62699999998</v>
      </c>
      <c r="L47">
        <f t="shared" si="11"/>
        <v>-566530.23699999996</v>
      </c>
      <c r="M47">
        <f t="shared" si="11"/>
        <v>-611508.93200000003</v>
      </c>
      <c r="N47">
        <f t="shared" si="11"/>
        <v>-513711.554</v>
      </c>
      <c r="O47">
        <f>ROUND(O45*O46,3)</f>
        <v>-608643.99399999995</v>
      </c>
      <c r="P47">
        <f>SUM(D47:O47)</f>
        <v>-6816281.7279999992</v>
      </c>
      <c r="Q47" s="81"/>
    </row>
    <row r="50" spans="2:16">
      <c r="B50" t="s">
        <v>350</v>
      </c>
      <c r="P50" s="48"/>
    </row>
    <row r="52" spans="2:16">
      <c r="C52" s="62"/>
    </row>
    <row r="53" spans="2:16">
      <c r="B53" t="s">
        <v>342</v>
      </c>
    </row>
    <row r="54" spans="2:16">
      <c r="B54" t="s">
        <v>413</v>
      </c>
    </row>
    <row r="55" spans="2:16"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87"/>
    </row>
    <row r="56" spans="2:16"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87"/>
    </row>
    <row r="57" spans="2:16">
      <c r="P57" s="87"/>
    </row>
    <row r="58" spans="2:16">
      <c r="O58" s="87"/>
      <c r="P58" s="87"/>
    </row>
    <row r="59" spans="2:16">
      <c r="O59" s="87"/>
      <c r="P59" s="87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65" header="0.25" footer="0.25"/>
  <pageSetup scale="47" fitToHeight="2" orientation="landscape" r:id="rId1"/>
  <headerFooter alignWithMargins="0">
    <oddHeader xml:space="preserve">&amp;RCASE NO. 2024-00276 
FR 16(8)(c)
ATTACHMENT 1
</oddHeader>
    <oddFooter>&amp;RSchedule 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BBAE-24A9-479D-AE32-D47D27DBE7FD}">
  <sheetPr>
    <tabColor rgb="FF92D050"/>
  </sheetPr>
  <dimension ref="A1:Q46"/>
  <sheetViews>
    <sheetView view="pageBreakPreview" zoomScale="80" zoomScaleNormal="100" zoomScaleSheetLayoutView="80" workbookViewId="0">
      <selection sqref="A1:P1"/>
    </sheetView>
  </sheetViews>
  <sheetFormatPr defaultColWidth="7.109375" defaultRowHeight="15"/>
  <cols>
    <col min="1" max="1" width="4.6640625" customWidth="1"/>
    <col min="2" max="2" width="7.21875" customWidth="1"/>
    <col min="3" max="3" width="43.21875" customWidth="1"/>
    <col min="4" max="4" width="12.44140625" bestFit="1" customWidth="1"/>
    <col min="5" max="6" width="11.109375" customWidth="1"/>
    <col min="7" max="7" width="11.77734375" bestFit="1" customWidth="1"/>
    <col min="8" max="8" width="11.33203125" bestFit="1" customWidth="1"/>
    <col min="9" max="9" width="11.109375" customWidth="1"/>
    <col min="10" max="10" width="10.88671875" customWidth="1"/>
    <col min="11" max="14" width="11.33203125" bestFit="1" customWidth="1"/>
    <col min="15" max="15" width="12.44140625" customWidth="1"/>
    <col min="16" max="16" width="12.44140625" bestFit="1" customWidth="1"/>
    <col min="17" max="17" width="12.44140625" customWidth="1"/>
    <col min="18" max="18" width="12.5546875" customWidth="1"/>
    <col min="19" max="19" width="11.33203125" bestFit="1" customWidth="1"/>
  </cols>
  <sheetData>
    <row r="1" spans="1:17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7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7" ht="15.75">
      <c r="A3" s="185" t="s">
        <v>351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7">
      <c r="A4" s="185" t="s">
        <v>410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7">
      <c r="B5" s="60"/>
      <c r="C5" s="60"/>
      <c r="D5" s="60"/>
      <c r="E5" s="60"/>
      <c r="F5" s="60"/>
      <c r="G5" s="47"/>
      <c r="H5" s="60"/>
      <c r="I5" s="60"/>
      <c r="J5" s="60"/>
      <c r="K5" s="60"/>
      <c r="L5" s="60"/>
      <c r="M5" s="60"/>
      <c r="N5" s="60"/>
      <c r="O5" s="60"/>
    </row>
    <row r="6" spans="1:17" ht="15.75">
      <c r="A6" s="61" t="str">
        <f>'C.2.1 F'!A6</f>
        <v>Data:________Base Period___X____Forecasted Period</v>
      </c>
      <c r="C6" s="61"/>
      <c r="E6" s="44"/>
      <c r="P6" s="62" t="s">
        <v>240</v>
      </c>
    </row>
    <row r="7" spans="1:17">
      <c r="A7" s="61" t="str">
        <f>'C.2.1 F'!A7</f>
        <v>Type of Filing:___X____Original________Updated ________Revised</v>
      </c>
      <c r="C7" s="61"/>
      <c r="P7" s="63" t="s">
        <v>241</v>
      </c>
    </row>
    <row r="8" spans="1:17">
      <c r="A8" s="64" t="str">
        <f>'C.2.1 F'!A8</f>
        <v>Workpaper Reference No(s).____________________</v>
      </c>
      <c r="B8" s="58"/>
      <c r="C8" s="89"/>
      <c r="D8" s="65"/>
      <c r="E8" s="65"/>
      <c r="F8" s="65"/>
      <c r="G8" s="65"/>
      <c r="H8" s="65"/>
      <c r="I8" s="65"/>
      <c r="J8" s="65"/>
      <c r="K8" s="65"/>
      <c r="L8" s="65"/>
      <c r="M8" s="58"/>
      <c r="N8" s="58"/>
      <c r="O8" s="58"/>
      <c r="P8" s="66" t="str">
        <f>'C.1'!J9</f>
        <v>Witness: Waller, Wiebe, Troup</v>
      </c>
    </row>
    <row r="9" spans="1:17">
      <c r="A9" s="67" t="s">
        <v>22</v>
      </c>
      <c r="B9" s="90" t="s">
        <v>242</v>
      </c>
      <c r="C9" s="91"/>
      <c r="D9" s="92" t="s">
        <v>21</v>
      </c>
      <c r="E9" s="56" t="s">
        <v>21</v>
      </c>
      <c r="F9" s="56" t="s">
        <v>21</v>
      </c>
      <c r="G9" s="56" t="s">
        <v>21</v>
      </c>
      <c r="H9" s="56" t="s">
        <v>21</v>
      </c>
      <c r="I9" s="56" t="s">
        <v>21</v>
      </c>
      <c r="J9" s="56" t="s">
        <v>21</v>
      </c>
      <c r="K9" s="56" t="s">
        <v>21</v>
      </c>
      <c r="L9" s="56" t="s">
        <v>21</v>
      </c>
      <c r="M9" s="56" t="s">
        <v>21</v>
      </c>
      <c r="N9" s="56" t="s">
        <v>21</v>
      </c>
      <c r="O9" s="56" t="s">
        <v>21</v>
      </c>
      <c r="P9" s="75"/>
    </row>
    <row r="10" spans="1:17">
      <c r="A10" s="69" t="s">
        <v>25</v>
      </c>
      <c r="B10" s="58" t="s">
        <v>25</v>
      </c>
      <c r="C10" s="93" t="s">
        <v>245</v>
      </c>
      <c r="D10" s="94">
        <f>'C.2.2-F 09'!D10</f>
        <v>45748</v>
      </c>
      <c r="E10" s="94">
        <f>'C.2.2-F 09'!F10</f>
        <v>45809</v>
      </c>
      <c r="F10" s="94">
        <f>'C.2.2-F 09'!F10</f>
        <v>45809</v>
      </c>
      <c r="G10" s="94">
        <f>'C.2.2-F 09'!G10</f>
        <v>45839</v>
      </c>
      <c r="H10" s="94">
        <f>'C.2.2-F 09'!H10</f>
        <v>45870</v>
      </c>
      <c r="I10" s="94">
        <f>'C.2.2-F 09'!I10</f>
        <v>45901</v>
      </c>
      <c r="J10" s="94">
        <f>'C.2.2-F 09'!J10</f>
        <v>45931</v>
      </c>
      <c r="K10" s="94">
        <f>'C.2.2-F 09'!K10</f>
        <v>45962</v>
      </c>
      <c r="L10" s="94">
        <f>'C.2.2-F 09'!L10</f>
        <v>45992</v>
      </c>
      <c r="M10" s="94">
        <f>'C.2.2-F 09'!M10</f>
        <v>46023</v>
      </c>
      <c r="N10" s="94">
        <f>'C.2.2-F 09'!N10</f>
        <v>46054</v>
      </c>
      <c r="O10" s="94">
        <f>'C.2.2-F 09'!O10</f>
        <v>46082</v>
      </c>
      <c r="P10" s="76" t="str">
        <f>'C.2.2 B 09'!P10</f>
        <v>Total</v>
      </c>
      <c r="Q10" s="56"/>
    </row>
    <row r="11" spans="1:17">
      <c r="D11" s="77" t="s">
        <v>247</v>
      </c>
      <c r="E11" s="77" t="s">
        <v>247</v>
      </c>
      <c r="F11" s="77" t="s">
        <v>247</v>
      </c>
      <c r="G11" s="77" t="s">
        <v>247</v>
      </c>
      <c r="H11" s="77" t="s">
        <v>247</v>
      </c>
      <c r="I11" s="77" t="s">
        <v>247</v>
      </c>
      <c r="J11" s="77" t="s">
        <v>247</v>
      </c>
      <c r="K11" s="77" t="s">
        <v>247</v>
      </c>
      <c r="L11" s="77" t="s">
        <v>247</v>
      </c>
      <c r="M11" s="77" t="s">
        <v>247</v>
      </c>
      <c r="N11" s="77" t="s">
        <v>247</v>
      </c>
      <c r="O11" s="77" t="s">
        <v>247</v>
      </c>
      <c r="P11" s="77" t="s">
        <v>247</v>
      </c>
      <c r="Q11" s="77"/>
    </row>
    <row r="12" spans="1:17">
      <c r="A12" s="56">
        <v>1</v>
      </c>
      <c r="B12" s="95">
        <v>4030</v>
      </c>
      <c r="C12" t="s">
        <v>71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>
        <f t="shared" ref="P12:P32" si="0">SUM(D12:O12)</f>
        <v>0</v>
      </c>
    </row>
    <row r="13" spans="1:17">
      <c r="A13" s="56">
        <f>A12+1</f>
        <v>2</v>
      </c>
      <c r="B13" s="95">
        <v>4081</v>
      </c>
      <c r="C13" t="s">
        <v>250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>
        <f t="shared" si="0"/>
        <v>0</v>
      </c>
    </row>
    <row r="14" spans="1:17">
      <c r="A14" s="56">
        <f t="shared" ref="A14:A38" si="1">A13+1</f>
        <v>3</v>
      </c>
      <c r="B14" s="95">
        <v>8700</v>
      </c>
      <c r="C14" t="s">
        <v>297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>
        <f t="shared" si="0"/>
        <v>0</v>
      </c>
    </row>
    <row r="15" spans="1:17">
      <c r="A15" s="56">
        <f t="shared" si="1"/>
        <v>4</v>
      </c>
      <c r="B15" s="95">
        <v>8740</v>
      </c>
      <c r="C15" t="s">
        <v>301</v>
      </c>
      <c r="D15" s="6">
        <v>1500.0000000000002</v>
      </c>
      <c r="E15" s="6">
        <v>1500.0000000000002</v>
      </c>
      <c r="F15" s="6">
        <v>1500.0000000000002</v>
      </c>
      <c r="G15" s="6">
        <v>1500.0000000000002</v>
      </c>
      <c r="H15" s="6">
        <v>1500.0000000000002</v>
      </c>
      <c r="I15" s="6">
        <v>1500.0000000000002</v>
      </c>
      <c r="J15" s="6">
        <v>1500.0000000000002</v>
      </c>
      <c r="K15" s="6">
        <v>1500.0000000000002</v>
      </c>
      <c r="L15" s="6">
        <v>1500.0000000000002</v>
      </c>
      <c r="M15" s="6">
        <v>1500.0000000000002</v>
      </c>
      <c r="N15" s="6">
        <v>1500.0000000000002</v>
      </c>
      <c r="O15" s="6">
        <v>1500.0000000000002</v>
      </c>
      <c r="P15">
        <f t="shared" si="0"/>
        <v>18000.000000000004</v>
      </c>
    </row>
    <row r="16" spans="1:17">
      <c r="A16" s="56">
        <f t="shared" si="1"/>
        <v>5</v>
      </c>
      <c r="B16" s="95">
        <v>8780</v>
      </c>
      <c r="C16" t="s">
        <v>352</v>
      </c>
      <c r="D16" s="6">
        <v>4.9815885686970187</v>
      </c>
      <c r="E16" s="6">
        <v>4.9815885686970187</v>
      </c>
      <c r="F16" s="6">
        <v>4.9815885686970187</v>
      </c>
      <c r="G16" s="6">
        <v>4.9815885686970187</v>
      </c>
      <c r="H16" s="6">
        <v>4.9815885686970187</v>
      </c>
      <c r="I16" s="6">
        <v>4.9793969327231089</v>
      </c>
      <c r="J16" s="6">
        <v>4.9815885686970187</v>
      </c>
      <c r="K16" s="6">
        <v>4.9815885686970187</v>
      </c>
      <c r="L16" s="6">
        <v>4.9815885686970187</v>
      </c>
      <c r="M16" s="6">
        <v>4.9815885686970187</v>
      </c>
      <c r="N16" s="6">
        <v>4.9815885686970187</v>
      </c>
      <c r="O16" s="6">
        <v>4.9815885686970187</v>
      </c>
      <c r="P16">
        <f t="shared" si="0"/>
        <v>59.776871188390324</v>
      </c>
    </row>
    <row r="17" spans="1:16">
      <c r="A17" s="56">
        <f t="shared" si="1"/>
        <v>6</v>
      </c>
      <c r="B17" s="95">
        <v>8800</v>
      </c>
      <c r="C17" t="s">
        <v>307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>
        <f t="shared" si="0"/>
        <v>0</v>
      </c>
    </row>
    <row r="18" spans="1:16">
      <c r="A18" s="56">
        <f t="shared" si="1"/>
        <v>7</v>
      </c>
      <c r="B18" s="95">
        <v>8810</v>
      </c>
      <c r="C18" t="s">
        <v>308</v>
      </c>
      <c r="D18" s="6">
        <v>2342.0462377763615</v>
      </c>
      <c r="E18" s="6">
        <v>2341.7404205425846</v>
      </c>
      <c r="F18" s="6">
        <v>2341.7404205425846</v>
      </c>
      <c r="G18" s="6">
        <v>2220.9426132008098</v>
      </c>
      <c r="H18" s="6">
        <v>2219.4135270319266</v>
      </c>
      <c r="I18" s="6">
        <v>2219.462457789331</v>
      </c>
      <c r="J18" s="6">
        <v>2223.3891510710228</v>
      </c>
      <c r="K18" s="6">
        <v>2219.4135270319266</v>
      </c>
      <c r="L18" s="6">
        <v>2219.4135270319266</v>
      </c>
      <c r="M18" s="6">
        <v>2220.9426132008098</v>
      </c>
      <c r="N18" s="6">
        <v>2340.5171516074784</v>
      </c>
      <c r="O18" s="6">
        <v>2341.7404205425846</v>
      </c>
      <c r="P18">
        <f t="shared" si="0"/>
        <v>27250.762067369345</v>
      </c>
    </row>
    <row r="19" spans="1:16">
      <c r="A19" s="56">
        <f t="shared" si="1"/>
        <v>8</v>
      </c>
      <c r="B19" s="95">
        <v>9100</v>
      </c>
      <c r="C19" t="s">
        <v>353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>
        <f t="shared" si="0"/>
        <v>0</v>
      </c>
    </row>
    <row r="20" spans="1:16">
      <c r="A20" s="56">
        <f t="shared" si="1"/>
        <v>9</v>
      </c>
      <c r="B20" s="95">
        <v>9010</v>
      </c>
      <c r="C20" t="s">
        <v>318</v>
      </c>
      <c r="D20" s="6">
        <v>285620.31633827992</v>
      </c>
      <c r="E20" s="6">
        <v>281143.12606674852</v>
      </c>
      <c r="F20" s="6">
        <v>269017.97884283884</v>
      </c>
      <c r="G20" s="6">
        <v>293550.09403555194</v>
      </c>
      <c r="H20" s="6">
        <v>265879.4905358018</v>
      </c>
      <c r="I20" s="6">
        <v>277999.59307724994</v>
      </c>
      <c r="J20" s="6">
        <v>302698.55375610094</v>
      </c>
      <c r="K20" s="6">
        <v>275566.78853744024</v>
      </c>
      <c r="L20" s="6">
        <v>295652.90783486003</v>
      </c>
      <c r="M20" s="6">
        <v>316639.10626821889</v>
      </c>
      <c r="N20" s="6">
        <v>273513.1290699548</v>
      </c>
      <c r="O20" s="6">
        <v>283426.75932392391</v>
      </c>
      <c r="P20">
        <f t="shared" si="0"/>
        <v>3420707.8436869695</v>
      </c>
    </row>
    <row r="21" spans="1:16">
      <c r="A21" s="56">
        <f t="shared" si="1"/>
        <v>10</v>
      </c>
      <c r="B21" s="95">
        <v>9020</v>
      </c>
      <c r="C21" t="s">
        <v>319</v>
      </c>
      <c r="D21" s="6">
        <v>-147.65134853023869</v>
      </c>
      <c r="E21" s="6">
        <v>-146.15094228710663</v>
      </c>
      <c r="F21" s="6">
        <v>-139.73506477314578</v>
      </c>
      <c r="G21" s="6">
        <v>-151.65222789458167</v>
      </c>
      <c r="H21" s="6">
        <v>-138.14635308836424</v>
      </c>
      <c r="I21" s="6">
        <v>-144.61141631576859</v>
      </c>
      <c r="J21" s="6">
        <v>-156.77001052412552</v>
      </c>
      <c r="K21" s="6">
        <v>-143.14225032717417</v>
      </c>
      <c r="L21" s="6">
        <v>-153.84360426238518</v>
      </c>
      <c r="M21" s="6">
        <v>-164.14590837407141</v>
      </c>
      <c r="N21" s="6">
        <v>-142.09164580279469</v>
      </c>
      <c r="O21" s="6">
        <v>-147.39370348600244</v>
      </c>
      <c r="P21">
        <f t="shared" si="0"/>
        <v>-1775.3344756657593</v>
      </c>
    </row>
    <row r="22" spans="1:16">
      <c r="A22" s="56">
        <f t="shared" si="1"/>
        <v>11</v>
      </c>
      <c r="B22" s="95">
        <v>9030</v>
      </c>
      <c r="C22" t="s">
        <v>320</v>
      </c>
      <c r="D22" s="6">
        <v>2526647.5530533344</v>
      </c>
      <c r="E22" s="6">
        <v>2453741.3258441882</v>
      </c>
      <c r="F22" s="6">
        <v>2347827.8397905203</v>
      </c>
      <c r="G22" s="6">
        <v>2593684.2849158207</v>
      </c>
      <c r="H22" s="6">
        <v>2320221.2078610412</v>
      </c>
      <c r="I22" s="6">
        <v>2427557.790506213</v>
      </c>
      <c r="J22" s="6">
        <v>2676990.4577278704</v>
      </c>
      <c r="K22" s="6">
        <v>2403814.3378430256</v>
      </c>
      <c r="L22" s="6">
        <v>2581301.9333904847</v>
      </c>
      <c r="M22" s="6">
        <v>2799301.5252890759</v>
      </c>
      <c r="N22" s="6">
        <v>2386568.3041178356</v>
      </c>
      <c r="O22" s="6">
        <v>2474601.5749903284</v>
      </c>
      <c r="P22">
        <f t="shared" si="0"/>
        <v>29992258.135329742</v>
      </c>
    </row>
    <row r="23" spans="1:16">
      <c r="A23" s="56">
        <f t="shared" si="1"/>
        <v>12</v>
      </c>
      <c r="B23" s="95">
        <v>9200</v>
      </c>
      <c r="C23" t="s">
        <v>328</v>
      </c>
      <c r="D23" s="6">
        <v>426069.10401423555</v>
      </c>
      <c r="E23" s="6">
        <v>421739.46700087818</v>
      </c>
      <c r="F23" s="6">
        <v>403225.53393457417</v>
      </c>
      <c r="G23" s="6">
        <v>437614.2141876489</v>
      </c>
      <c r="H23" s="6">
        <v>398641.07892749237</v>
      </c>
      <c r="I23" s="6">
        <v>417296.94441138557</v>
      </c>
      <c r="J23" s="6">
        <v>452382.30862914876</v>
      </c>
      <c r="K23" s="6">
        <v>413057.45562486484</v>
      </c>
      <c r="L23" s="6">
        <v>443937.74441532441</v>
      </c>
      <c r="M23" s="6">
        <v>473666.51781185967</v>
      </c>
      <c r="N23" s="6">
        <v>410025.78586477449</v>
      </c>
      <c r="O23" s="6">
        <v>425325.63235451712</v>
      </c>
      <c r="P23">
        <f t="shared" si="0"/>
        <v>5122981.787176704</v>
      </c>
    </row>
    <row r="24" spans="1:16">
      <c r="A24" s="56">
        <f t="shared" si="1"/>
        <v>13</v>
      </c>
      <c r="B24" s="95">
        <v>9210</v>
      </c>
      <c r="C24" t="s">
        <v>329</v>
      </c>
      <c r="D24" s="6">
        <v>789263.098633599</v>
      </c>
      <c r="E24" s="6">
        <v>738756.88153113227</v>
      </c>
      <c r="F24" s="6">
        <v>736324.30122587888</v>
      </c>
      <c r="G24" s="6">
        <v>753178.21685334982</v>
      </c>
      <c r="H24" s="6">
        <v>768176.68647554843</v>
      </c>
      <c r="I24" s="6">
        <v>723244.61544588045</v>
      </c>
      <c r="J24" s="6">
        <v>710379.95047561871</v>
      </c>
      <c r="K24" s="6">
        <v>688759.85376555589</v>
      </c>
      <c r="L24" s="6">
        <v>709551.19983445969</v>
      </c>
      <c r="M24" s="6">
        <v>747048.25010817789</v>
      </c>
      <c r="N24" s="6">
        <v>726760.60776356736</v>
      </c>
      <c r="O24" s="6">
        <v>744279.90023760952</v>
      </c>
      <c r="P24">
        <f t="shared" si="0"/>
        <v>8835723.5623503756</v>
      </c>
    </row>
    <row r="25" spans="1:16">
      <c r="A25" s="56">
        <f t="shared" si="1"/>
        <v>14</v>
      </c>
      <c r="B25" s="95">
        <v>9220</v>
      </c>
      <c r="C25" t="s">
        <v>330</v>
      </c>
      <c r="D25" s="6">
        <f t="shared" ref="D25:O25" si="2">-(SUM(D12:D24)+SUM(D26:D32))</f>
        <v>-5225416.1672970261</v>
      </c>
      <c r="E25" s="6">
        <f t="shared" si="2"/>
        <v>-5186784.1975538274</v>
      </c>
      <c r="F25" s="6">
        <f t="shared" si="2"/>
        <v>-4891108.9974804604</v>
      </c>
      <c r="G25" s="6">
        <f t="shared" si="2"/>
        <v>-5665226.6725393087</v>
      </c>
      <c r="H25" s="6">
        <f t="shared" si="2"/>
        <v>-4663023.2289426913</v>
      </c>
      <c r="I25" s="6">
        <f t="shared" si="2"/>
        <v>-4787882.7554179085</v>
      </c>
      <c r="J25" s="6">
        <f t="shared" si="2"/>
        <v>-5318363.7589636715</v>
      </c>
      <c r="K25" s="6">
        <f t="shared" si="2"/>
        <v>-4954204.6343892869</v>
      </c>
      <c r="L25" s="6">
        <f t="shared" si="2"/>
        <v>-5302055.7062396295</v>
      </c>
      <c r="M25" s="6">
        <f t="shared" si="2"/>
        <v>-5693376.4250595551</v>
      </c>
      <c r="N25" s="6">
        <f t="shared" si="2"/>
        <v>-5008086.8135767672</v>
      </c>
      <c r="O25" s="6">
        <f t="shared" si="2"/>
        <v>-5133552.9741452951</v>
      </c>
      <c r="P25">
        <f t="shared" si="0"/>
        <v>-61829082.331605427</v>
      </c>
    </row>
    <row r="26" spans="1:16">
      <c r="A26" s="56">
        <f t="shared" si="1"/>
        <v>15</v>
      </c>
      <c r="B26" s="95">
        <v>9230</v>
      </c>
      <c r="C26" t="s">
        <v>331</v>
      </c>
      <c r="D26" s="6">
        <v>68938.052581220909</v>
      </c>
      <c r="E26" s="6">
        <v>67212.459725854467</v>
      </c>
      <c r="F26" s="6">
        <v>66749.71601273265</v>
      </c>
      <c r="G26" s="6">
        <v>58122.073027810766</v>
      </c>
      <c r="H26" s="6">
        <v>57970.978994297293</v>
      </c>
      <c r="I26" s="6">
        <v>58083.517998569398</v>
      </c>
      <c r="J26" s="6">
        <v>57564.017114293034</v>
      </c>
      <c r="K26" s="6">
        <v>57493.660438094441</v>
      </c>
      <c r="L26" s="6">
        <v>57516.051531833327</v>
      </c>
      <c r="M26" s="6">
        <v>57719.07710567928</v>
      </c>
      <c r="N26" s="6">
        <v>57679.291441585636</v>
      </c>
      <c r="O26" s="6">
        <v>66763.957059569555</v>
      </c>
      <c r="P26">
        <f t="shared" si="0"/>
        <v>731812.85303154076</v>
      </c>
    </row>
    <row r="27" spans="1:16">
      <c r="A27" s="56">
        <f t="shared" si="1"/>
        <v>16</v>
      </c>
      <c r="B27" s="95">
        <v>9240</v>
      </c>
      <c r="C27" t="s">
        <v>332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>
        <f t="shared" si="0"/>
        <v>0</v>
      </c>
    </row>
    <row r="28" spans="1:16">
      <c r="A28" s="56">
        <f t="shared" si="1"/>
        <v>17</v>
      </c>
      <c r="B28" s="95">
        <v>9250</v>
      </c>
      <c r="C28" t="s">
        <v>333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>
        <f t="shared" si="0"/>
        <v>0</v>
      </c>
    </row>
    <row r="29" spans="1:16">
      <c r="A29" s="56">
        <f t="shared" si="1"/>
        <v>18</v>
      </c>
      <c r="B29" s="95">
        <v>9260</v>
      </c>
      <c r="C29" t="s">
        <v>334</v>
      </c>
      <c r="D29" s="6">
        <v>1006280.0494373047</v>
      </c>
      <c r="E29" s="6">
        <v>1101737.2822027169</v>
      </c>
      <c r="F29" s="6">
        <v>945503.55661409372</v>
      </c>
      <c r="G29" s="6">
        <v>1412709.8904297112</v>
      </c>
      <c r="H29" s="6">
        <v>735944.96123186965</v>
      </c>
      <c r="I29" s="6">
        <v>767527.65311057621</v>
      </c>
      <c r="J29" s="6">
        <v>1001868.3355627197</v>
      </c>
      <c r="K29" s="6">
        <v>999348.98600645026</v>
      </c>
      <c r="L29" s="6">
        <v>1097936.9426256672</v>
      </c>
      <c r="M29" s="6">
        <v>1182646.8204670832</v>
      </c>
      <c r="N29" s="6">
        <v>1031143.9045822469</v>
      </c>
      <c r="O29" s="6">
        <v>1016701.7711059719</v>
      </c>
      <c r="P29">
        <f t="shared" si="0"/>
        <v>12299350.15337641</v>
      </c>
    </row>
    <row r="30" spans="1:16">
      <c r="A30" s="56">
        <f t="shared" si="1"/>
        <v>19</v>
      </c>
      <c r="B30" s="95">
        <v>9302</v>
      </c>
      <c r="C30" t="s">
        <v>354</v>
      </c>
      <c r="D30" s="6">
        <v>791</v>
      </c>
      <c r="E30" s="6">
        <v>666</v>
      </c>
      <c r="F30" s="6">
        <v>666</v>
      </c>
      <c r="G30" s="6">
        <v>791</v>
      </c>
      <c r="H30" s="6">
        <v>666</v>
      </c>
      <c r="I30" s="6">
        <v>664</v>
      </c>
      <c r="J30" s="6">
        <v>791</v>
      </c>
      <c r="K30" s="6">
        <v>666</v>
      </c>
      <c r="L30" s="6">
        <v>666</v>
      </c>
      <c r="M30" s="6">
        <v>791</v>
      </c>
      <c r="N30" s="6">
        <v>666</v>
      </c>
      <c r="O30" s="6">
        <v>666</v>
      </c>
      <c r="P30">
        <f>SUM(D30:O30)</f>
        <v>8490</v>
      </c>
    </row>
    <row r="31" spans="1:16">
      <c r="A31" s="56">
        <f t="shared" si="1"/>
        <v>20</v>
      </c>
      <c r="B31" s="95">
        <v>9310</v>
      </c>
      <c r="C31" t="s">
        <v>212</v>
      </c>
      <c r="D31" s="6">
        <v>117994.34872322148</v>
      </c>
      <c r="E31" s="6">
        <v>117978.94138209141</v>
      </c>
      <c r="F31" s="6">
        <v>117978.94138209141</v>
      </c>
      <c r="G31" s="6">
        <v>111893.0416357146</v>
      </c>
      <c r="H31" s="6">
        <v>111816.00493006426</v>
      </c>
      <c r="I31" s="6">
        <v>111818.47010464506</v>
      </c>
      <c r="J31" s="6">
        <v>112016.30036475514</v>
      </c>
      <c r="K31" s="6">
        <v>111816.00493006426</v>
      </c>
      <c r="L31" s="6">
        <v>111816.00493006426</v>
      </c>
      <c r="M31" s="6">
        <v>111893.0416357146</v>
      </c>
      <c r="N31" s="6">
        <v>117917.31201757115</v>
      </c>
      <c r="O31" s="6">
        <v>117978.94138209141</v>
      </c>
      <c r="P31">
        <f t="shared" si="0"/>
        <v>1372917.3534180892</v>
      </c>
    </row>
    <row r="32" spans="1:16">
      <c r="A32" s="56">
        <f t="shared" si="1"/>
        <v>21</v>
      </c>
      <c r="B32" s="95">
        <v>9320</v>
      </c>
      <c r="C32" t="s">
        <v>338</v>
      </c>
      <c r="D32" s="6">
        <v>113.26803801572026</v>
      </c>
      <c r="E32" s="6">
        <v>108.14273339256749</v>
      </c>
      <c r="F32" s="6">
        <v>108.14273339256749</v>
      </c>
      <c r="G32" s="6">
        <v>109.58547982590312</v>
      </c>
      <c r="H32" s="6">
        <v>120.5712240641576</v>
      </c>
      <c r="I32" s="6">
        <v>110.34032498305419</v>
      </c>
      <c r="J32" s="6">
        <v>101.23460404981975</v>
      </c>
      <c r="K32" s="6">
        <v>100.29437851714366</v>
      </c>
      <c r="L32" s="6">
        <v>106.37016559818858</v>
      </c>
      <c r="M32" s="6">
        <v>109.30808034968732</v>
      </c>
      <c r="N32" s="6">
        <v>109.07162485806772</v>
      </c>
      <c r="O32" s="6">
        <v>109.10938565770761</v>
      </c>
      <c r="P32">
        <f t="shared" si="0"/>
        <v>1305.4387727045848</v>
      </c>
    </row>
    <row r="33" spans="1:17">
      <c r="A33" s="56">
        <f t="shared" si="1"/>
        <v>22</v>
      </c>
      <c r="C33" s="99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17" ht="15.75" thickBot="1">
      <c r="A34" s="56">
        <f t="shared" si="1"/>
        <v>23</v>
      </c>
      <c r="B34" t="s">
        <v>339</v>
      </c>
      <c r="C34" s="99"/>
      <c r="D34" s="100">
        <f t="shared" ref="D34:P34" si="3">SUM(D12:D33)</f>
        <v>5.3148596634855494E-11</v>
      </c>
      <c r="E34" s="100">
        <f t="shared" si="3"/>
        <v>-2.9115199140505865E-10</v>
      </c>
      <c r="F34" s="100">
        <f t="shared" si="3"/>
        <v>-5.8321347751189023E-11</v>
      </c>
      <c r="G34" s="100">
        <f t="shared" si="3"/>
        <v>2.9899638320785016E-10</v>
      </c>
      <c r="H34" s="100">
        <f t="shared" si="3"/>
        <v>-2.3396751203108579E-10</v>
      </c>
      <c r="I34" s="100">
        <f t="shared" si="3"/>
        <v>2.2805579646956176E-10</v>
      </c>
      <c r="J34" s="100">
        <f t="shared" si="3"/>
        <v>3.8940584090596531E-10</v>
      </c>
      <c r="K34" s="100">
        <f t="shared" si="3"/>
        <v>-2.2654944586975034E-10</v>
      </c>
      <c r="L34" s="100">
        <f t="shared" si="3"/>
        <v>-2.1555024432018399E-10</v>
      </c>
      <c r="M34" s="100">
        <f t="shared" si="3"/>
        <v>2.2737367544323206E-12</v>
      </c>
      <c r="N34" s="100">
        <f t="shared" si="3"/>
        <v>1.9942092421842972E-10</v>
      </c>
      <c r="O34" s="100">
        <f t="shared" si="3"/>
        <v>-2.0241941456333734E-10</v>
      </c>
      <c r="P34" s="100">
        <f t="shared" si="3"/>
        <v>-1.0027179087046534E-10</v>
      </c>
      <c r="Q34" s="103"/>
    </row>
    <row r="35" spans="1:17" ht="15.75" thickTop="1">
      <c r="A35" s="56">
        <f t="shared" si="1"/>
        <v>24</v>
      </c>
      <c r="C35" s="99"/>
    </row>
    <row r="36" spans="1:17">
      <c r="A36" s="56">
        <f t="shared" si="1"/>
        <v>25</v>
      </c>
      <c r="B36" s="95">
        <f t="shared" ref="B36:O36" si="4">B25</f>
        <v>9220</v>
      </c>
      <c r="C36" t="str">
        <f t="shared" si="4"/>
        <v>A&amp;G-Administrative expense transferred-Credit</v>
      </c>
      <c r="D36">
        <f t="shared" si="4"/>
        <v>-5225416.1672970261</v>
      </c>
      <c r="E36">
        <f t="shared" si="4"/>
        <v>-5186784.1975538274</v>
      </c>
      <c r="F36">
        <f t="shared" si="4"/>
        <v>-4891108.9974804604</v>
      </c>
      <c r="G36">
        <f t="shared" si="4"/>
        <v>-5665226.6725393087</v>
      </c>
      <c r="H36">
        <f t="shared" si="4"/>
        <v>-4663023.2289426913</v>
      </c>
      <c r="I36">
        <f t="shared" si="4"/>
        <v>-4787882.7554179085</v>
      </c>
      <c r="J36">
        <f t="shared" si="4"/>
        <v>-5318363.7589636715</v>
      </c>
      <c r="K36">
        <f t="shared" si="4"/>
        <v>-4954204.6343892869</v>
      </c>
      <c r="L36">
        <f t="shared" si="4"/>
        <v>-5302055.7062396295</v>
      </c>
      <c r="M36">
        <f t="shared" si="4"/>
        <v>-5693376.4250595551</v>
      </c>
      <c r="N36">
        <f t="shared" si="4"/>
        <v>-5008086.8135767672</v>
      </c>
      <c r="O36">
        <f t="shared" si="4"/>
        <v>-5133552.9741452951</v>
      </c>
      <c r="P36">
        <f>SUM(D36:O36)</f>
        <v>-61829082.331605427</v>
      </c>
    </row>
    <row r="37" spans="1:17">
      <c r="A37" s="56">
        <f t="shared" si="1"/>
        <v>26</v>
      </c>
      <c r="C37" t="s">
        <v>348</v>
      </c>
      <c r="D37" s="101">
        <v>5.3911399999999998E-2</v>
      </c>
      <c r="E37" s="101">
        <f>D37</f>
        <v>5.3911399999999998E-2</v>
      </c>
      <c r="F37" s="101">
        <f t="shared" ref="F37:O37" si="5">E37</f>
        <v>5.3911399999999998E-2</v>
      </c>
      <c r="G37" s="101">
        <f t="shared" si="5"/>
        <v>5.3911399999999998E-2</v>
      </c>
      <c r="H37" s="101">
        <f t="shared" si="5"/>
        <v>5.3911399999999998E-2</v>
      </c>
      <c r="I37" s="101">
        <f t="shared" si="5"/>
        <v>5.3911399999999998E-2</v>
      </c>
      <c r="J37" s="101">
        <f t="shared" si="5"/>
        <v>5.3911399999999998E-2</v>
      </c>
      <c r="K37" s="101">
        <f t="shared" si="5"/>
        <v>5.3911399999999998E-2</v>
      </c>
      <c r="L37" s="101">
        <f t="shared" si="5"/>
        <v>5.3911399999999998E-2</v>
      </c>
      <c r="M37" s="101">
        <f t="shared" si="5"/>
        <v>5.3911399999999998E-2</v>
      </c>
      <c r="N37" s="101">
        <f t="shared" si="5"/>
        <v>5.3911399999999998E-2</v>
      </c>
      <c r="O37" s="101">
        <f t="shared" si="5"/>
        <v>5.3911399999999998E-2</v>
      </c>
      <c r="Q37" s="104"/>
    </row>
    <row r="38" spans="1:17">
      <c r="A38" s="56">
        <f t="shared" si="1"/>
        <v>27</v>
      </c>
      <c r="C38" t="s">
        <v>349</v>
      </c>
      <c r="D38">
        <f>D36*D37</f>
        <v>-281709.50116161688</v>
      </c>
      <c r="E38">
        <f t="shared" ref="E38:O38" si="6">E36*E37</f>
        <v>-279626.79758800339</v>
      </c>
      <c r="F38">
        <f t="shared" si="6"/>
        <v>-263686.53360676806</v>
      </c>
      <c r="G38">
        <f t="shared" si="6"/>
        <v>-305420.30123393569</v>
      </c>
      <c r="H38">
        <f t="shared" si="6"/>
        <v>-251390.110504821</v>
      </c>
      <c r="I38">
        <f t="shared" si="6"/>
        <v>-258121.46238043703</v>
      </c>
      <c r="J38">
        <f t="shared" si="6"/>
        <v>-286720.43595499406</v>
      </c>
      <c r="K38">
        <f t="shared" si="6"/>
        <v>-267088.10772641457</v>
      </c>
      <c r="L38">
        <f t="shared" si="6"/>
        <v>-285841.24600136717</v>
      </c>
      <c r="M38">
        <f t="shared" si="6"/>
        <v>-306937.89380195568</v>
      </c>
      <c r="N38">
        <f t="shared" si="6"/>
        <v>-269992.97144146252</v>
      </c>
      <c r="O38">
        <f t="shared" si="6"/>
        <v>-276757.02781033667</v>
      </c>
      <c r="P38">
        <f>SUM(D38:O38)</f>
        <v>-3333292.3892121124</v>
      </c>
      <c r="Q38" s="87"/>
    </row>
    <row r="39" spans="1:17">
      <c r="C39" s="99"/>
      <c r="P39" s="48"/>
    </row>
    <row r="40" spans="1:17">
      <c r="B40" t="s">
        <v>350</v>
      </c>
      <c r="C40" s="99"/>
    </row>
    <row r="41" spans="1:17">
      <c r="C41" s="99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</row>
    <row r="43" spans="1:17">
      <c r="C43" s="62"/>
    </row>
    <row r="45" spans="1:17">
      <c r="B45" t="s">
        <v>342</v>
      </c>
    </row>
    <row r="46" spans="1:17">
      <c r="B46" t="s">
        <v>413</v>
      </c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65" header="0.25" footer="0.25"/>
  <pageSetup scale="47" fitToHeight="2" orientation="landscape" r:id="rId1"/>
  <headerFooter alignWithMargins="0">
    <oddHeader xml:space="preserve">&amp;RCASE NO. 2024-00276 
FR 16(8)(c)
ATTACHMENT 1
</oddHeader>
    <oddFooter>&amp;RSchedule &amp;A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D1EF-A340-46C2-AD41-E14BC11FCF3A}">
  <sheetPr>
    <tabColor rgb="FF92D050"/>
  </sheetPr>
  <dimension ref="A1:Q96"/>
  <sheetViews>
    <sheetView view="pageBreakPreview" zoomScale="80" zoomScaleNormal="100" zoomScaleSheetLayoutView="80" workbookViewId="0">
      <selection sqref="A1:P1"/>
    </sheetView>
  </sheetViews>
  <sheetFormatPr defaultColWidth="7.109375" defaultRowHeight="15"/>
  <cols>
    <col min="1" max="1" width="4.6640625" customWidth="1"/>
    <col min="2" max="2" width="7.21875" customWidth="1"/>
    <col min="3" max="3" width="64.33203125" customWidth="1"/>
    <col min="4" max="5" width="11.109375" customWidth="1"/>
    <col min="6" max="6" width="11.77734375" bestFit="1" customWidth="1"/>
    <col min="7" max="7" width="11.33203125" bestFit="1" customWidth="1"/>
    <col min="8" max="8" width="11.109375" customWidth="1"/>
    <col min="9" max="9" width="12" bestFit="1" customWidth="1"/>
    <col min="10" max="13" width="11.33203125" bestFit="1" customWidth="1"/>
    <col min="14" max="14" width="10" customWidth="1"/>
    <col min="15" max="15" width="10.77734375" customWidth="1"/>
    <col min="16" max="16" width="12.44140625" customWidth="1"/>
    <col min="17" max="17" width="12.5546875" customWidth="1"/>
    <col min="19" max="19" width="8.109375" customWidth="1"/>
    <col min="20" max="20" width="8.77734375" customWidth="1"/>
  </cols>
  <sheetData>
    <row r="1" spans="1:17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7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7" ht="15.75">
      <c r="A3" s="185" t="s">
        <v>355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7">
      <c r="A4" s="185" t="s">
        <v>410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7">
      <c r="B5" s="60"/>
      <c r="C5" s="60"/>
      <c r="D5" s="60"/>
      <c r="E5" s="60"/>
      <c r="F5" s="60"/>
      <c r="G5" s="47"/>
      <c r="H5" s="60"/>
      <c r="I5" s="60"/>
      <c r="J5" s="60"/>
      <c r="K5" s="60"/>
      <c r="L5" s="60"/>
      <c r="M5" s="60"/>
      <c r="N5" s="60"/>
      <c r="O5" s="60"/>
    </row>
    <row r="6" spans="1:17">
      <c r="A6" s="61" t="str">
        <f>'C.2.1 F'!A6</f>
        <v>Data:________Base Period___X____Forecasted Period</v>
      </c>
      <c r="C6" s="61"/>
      <c r="P6" s="62" t="s">
        <v>240</v>
      </c>
    </row>
    <row r="7" spans="1:17" ht="15.75">
      <c r="A7" s="61" t="str">
        <f>'C.2.1 F'!A7</f>
        <v>Type of Filing:___X____Original________Updated ________Revised</v>
      </c>
      <c r="C7" s="61"/>
      <c r="F7" s="44"/>
      <c r="P7" s="63" t="s">
        <v>241</v>
      </c>
    </row>
    <row r="8" spans="1:17">
      <c r="A8" s="64" t="str">
        <f>'C.2.1 F'!A8</f>
        <v>Workpaper Reference No(s).____________________</v>
      </c>
      <c r="B8" s="58"/>
      <c r="C8" s="89"/>
      <c r="D8" s="65"/>
      <c r="E8" s="65"/>
      <c r="F8" s="65"/>
      <c r="G8" s="65"/>
      <c r="H8" s="65"/>
      <c r="I8" s="65"/>
      <c r="J8" s="65"/>
      <c r="K8" s="65"/>
      <c r="L8" s="65"/>
      <c r="M8" s="58"/>
      <c r="N8" s="58"/>
      <c r="O8" s="58"/>
      <c r="P8" s="66" t="str">
        <f>'C.1'!J9</f>
        <v>Witness: Waller, Wiebe, Troup</v>
      </c>
    </row>
    <row r="9" spans="1:17">
      <c r="A9" s="67" t="s">
        <v>22</v>
      </c>
      <c r="B9" s="90" t="s">
        <v>242</v>
      </c>
      <c r="C9" s="91"/>
      <c r="D9" s="92" t="s">
        <v>21</v>
      </c>
      <c r="E9" s="56" t="s">
        <v>21</v>
      </c>
      <c r="F9" s="56" t="s">
        <v>21</v>
      </c>
      <c r="G9" s="56" t="s">
        <v>21</v>
      </c>
      <c r="H9" s="56" t="s">
        <v>21</v>
      </c>
      <c r="I9" s="56" t="s">
        <v>21</v>
      </c>
      <c r="J9" s="56" t="s">
        <v>21</v>
      </c>
      <c r="K9" s="56" t="s">
        <v>21</v>
      </c>
      <c r="L9" s="56" t="s">
        <v>21</v>
      </c>
      <c r="M9" s="56" t="s">
        <v>21</v>
      </c>
      <c r="N9" s="56" t="s">
        <v>21</v>
      </c>
      <c r="O9" s="56" t="s">
        <v>21</v>
      </c>
      <c r="P9" s="75"/>
    </row>
    <row r="10" spans="1:17">
      <c r="A10" s="69" t="s">
        <v>25</v>
      </c>
      <c r="B10" s="58" t="s">
        <v>25</v>
      </c>
      <c r="C10" s="93" t="s">
        <v>245</v>
      </c>
      <c r="D10" s="94">
        <f>'C.2.2-F 09'!D10</f>
        <v>45748</v>
      </c>
      <c r="E10" s="94">
        <f>'C.2.2-F 09'!F10</f>
        <v>45809</v>
      </c>
      <c r="F10" s="94">
        <f>'C.2.2-F 09'!F10</f>
        <v>45809</v>
      </c>
      <c r="G10" s="94">
        <f>'C.2.2-F 09'!G10</f>
        <v>45839</v>
      </c>
      <c r="H10" s="94">
        <f>'C.2.2-F 09'!H10</f>
        <v>45870</v>
      </c>
      <c r="I10" s="94">
        <f>'C.2.2-F 09'!I10</f>
        <v>45901</v>
      </c>
      <c r="J10" s="94">
        <f>'C.2.2-F 09'!J10</f>
        <v>45931</v>
      </c>
      <c r="K10" s="94">
        <f>'C.2.2-F 09'!K10</f>
        <v>45962</v>
      </c>
      <c r="L10" s="94">
        <f>'C.2.2-F 09'!L10</f>
        <v>45992</v>
      </c>
      <c r="M10" s="94">
        <f>'C.2.2-F 09'!M10</f>
        <v>46023</v>
      </c>
      <c r="N10" s="94">
        <f>'C.2.2-F 09'!N10</f>
        <v>46054</v>
      </c>
      <c r="O10" s="94">
        <f>'C.2.2-F 09'!O10</f>
        <v>46082</v>
      </c>
      <c r="P10" s="76" t="str">
        <f>'C.2.2 B 09'!P10</f>
        <v>Total</v>
      </c>
      <c r="Q10" s="56"/>
    </row>
    <row r="11" spans="1:17">
      <c r="D11" s="77" t="s">
        <v>247</v>
      </c>
      <c r="E11" s="77" t="s">
        <v>247</v>
      </c>
      <c r="F11" s="77" t="s">
        <v>247</v>
      </c>
      <c r="G11" s="77" t="s">
        <v>247</v>
      </c>
      <c r="H11" s="77" t="s">
        <v>247</v>
      </c>
      <c r="I11" s="77" t="s">
        <v>247</v>
      </c>
      <c r="J11" s="77" t="s">
        <v>247</v>
      </c>
      <c r="K11" s="77" t="s">
        <v>247</v>
      </c>
      <c r="L11" s="77" t="s">
        <v>247</v>
      </c>
      <c r="M11" s="77" t="s">
        <v>247</v>
      </c>
      <c r="N11" s="77" t="s">
        <v>247</v>
      </c>
      <c r="O11" s="77" t="s">
        <v>247</v>
      </c>
      <c r="P11" s="77" t="s">
        <v>247</v>
      </c>
      <c r="Q11" s="77"/>
    </row>
    <row r="12" spans="1:17">
      <c r="A12" s="56">
        <v>1</v>
      </c>
      <c r="B12" s="95">
        <v>4030</v>
      </c>
      <c r="C12" t="s">
        <v>71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79">
        <f t="shared" ref="P12:P57" si="0">SUM(D12:O12)</f>
        <v>0</v>
      </c>
    </row>
    <row r="13" spans="1:17">
      <c r="A13" s="56">
        <f>A12+1</f>
        <v>2</v>
      </c>
      <c r="B13" s="95">
        <v>4060</v>
      </c>
      <c r="C13" t="s">
        <v>249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79"/>
    </row>
    <row r="14" spans="1:17">
      <c r="A14" s="56">
        <f t="shared" ref="A14:A63" si="1">A13+1</f>
        <v>3</v>
      </c>
      <c r="B14" s="95">
        <v>4081</v>
      </c>
      <c r="C14" t="s">
        <v>250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79">
        <f t="shared" si="0"/>
        <v>0</v>
      </c>
      <c r="Q14" s="96"/>
    </row>
    <row r="15" spans="1:17">
      <c r="A15" s="56">
        <f t="shared" si="1"/>
        <v>4</v>
      </c>
      <c r="B15" s="95">
        <v>8170</v>
      </c>
      <c r="C15" t="s">
        <v>279</v>
      </c>
      <c r="D15" s="6">
        <v>108.42961445251601</v>
      </c>
      <c r="E15" s="6">
        <v>108.55935390257227</v>
      </c>
      <c r="F15" s="6">
        <v>126.45175454811957</v>
      </c>
      <c r="G15" s="6">
        <v>107.28021321113457</v>
      </c>
      <c r="H15" s="6">
        <v>115.96279734114816</v>
      </c>
      <c r="I15" s="6">
        <v>117.70941819176755</v>
      </c>
      <c r="J15" s="6">
        <v>107.57807261349424</v>
      </c>
      <c r="K15" s="6">
        <v>111.19197344437158</v>
      </c>
      <c r="L15" s="6">
        <v>114.24303119834447</v>
      </c>
      <c r="M15" s="6">
        <v>112.51423614807834</v>
      </c>
      <c r="N15" s="6">
        <v>108.68056283169314</v>
      </c>
      <c r="O15" s="6">
        <v>115.42611018106905</v>
      </c>
      <c r="P15">
        <f t="shared" si="0"/>
        <v>1354.0271380643089</v>
      </c>
      <c r="Q15" s="96"/>
    </row>
    <row r="16" spans="1:17">
      <c r="A16" s="56">
        <f t="shared" si="1"/>
        <v>5</v>
      </c>
      <c r="B16" s="95">
        <v>8180</v>
      </c>
      <c r="C16" t="s">
        <v>280</v>
      </c>
      <c r="D16" s="6">
        <v>136.60930615326924</v>
      </c>
      <c r="E16" s="6">
        <v>136.77276349232181</v>
      </c>
      <c r="F16" s="6">
        <v>159.3152068086257</v>
      </c>
      <c r="G16" s="6">
        <v>135.16118787977325</v>
      </c>
      <c r="H16" s="6">
        <v>146.10028232926959</v>
      </c>
      <c r="I16" s="6">
        <v>148.30083117121376</v>
      </c>
      <c r="J16" s="6">
        <v>135.53645774025404</v>
      </c>
      <c r="K16" s="6">
        <v>140.08957256507051</v>
      </c>
      <c r="L16" s="6">
        <v>143.93356744514369</v>
      </c>
      <c r="M16" s="6">
        <v>141.75547713752314</v>
      </c>
      <c r="N16" s="6">
        <v>136.92547331970979</v>
      </c>
      <c r="O16" s="6">
        <v>145.42411594308464</v>
      </c>
      <c r="P16">
        <f t="shared" si="0"/>
        <v>1705.9242419852592</v>
      </c>
      <c r="Q16" s="96"/>
    </row>
    <row r="17" spans="1:17">
      <c r="A17" s="56">
        <f t="shared" si="1"/>
        <v>6</v>
      </c>
      <c r="B17" s="95">
        <v>8190</v>
      </c>
      <c r="C17" t="s">
        <v>281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>
        <f t="shared" si="0"/>
        <v>0</v>
      </c>
      <c r="Q17" s="96"/>
    </row>
    <row r="18" spans="1:17">
      <c r="A18" s="56">
        <f t="shared" si="1"/>
        <v>7</v>
      </c>
      <c r="B18" s="95">
        <v>8210</v>
      </c>
      <c r="C18" t="s">
        <v>283</v>
      </c>
      <c r="D18" s="6">
        <v>245.10955623461339</v>
      </c>
      <c r="E18" s="6">
        <v>245.40283754147757</v>
      </c>
      <c r="F18" s="6">
        <v>285.84933736853884</v>
      </c>
      <c r="G18" s="6">
        <v>242.5112879512387</v>
      </c>
      <c r="H18" s="6">
        <v>262.13862273263561</v>
      </c>
      <c r="I18" s="6">
        <v>266.08693024776494</v>
      </c>
      <c r="J18" s="6">
        <v>243.18461125226969</v>
      </c>
      <c r="K18" s="6">
        <v>251.35398115554608</v>
      </c>
      <c r="L18" s="6">
        <v>258.2510213774309</v>
      </c>
      <c r="M18" s="6">
        <v>254.34300980945753</v>
      </c>
      <c r="N18" s="6">
        <v>245.67683525860031</v>
      </c>
      <c r="O18" s="6">
        <v>260.92541956569625</v>
      </c>
      <c r="P18">
        <f t="shared" si="0"/>
        <v>3060.8334504952704</v>
      </c>
      <c r="Q18" s="96"/>
    </row>
    <row r="19" spans="1:17">
      <c r="A19" s="56">
        <f t="shared" si="1"/>
        <v>8</v>
      </c>
      <c r="B19" s="95">
        <v>8240</v>
      </c>
      <c r="C19" t="s">
        <v>284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>
        <f t="shared" si="0"/>
        <v>0</v>
      </c>
      <c r="Q19" s="96"/>
    </row>
    <row r="20" spans="1:17">
      <c r="A20" s="56">
        <f t="shared" si="1"/>
        <v>9</v>
      </c>
      <c r="B20" s="95">
        <v>8250</v>
      </c>
      <c r="C20" t="s">
        <v>285</v>
      </c>
      <c r="D20" s="6">
        <v>1069.21151356879</v>
      </c>
      <c r="E20" s="6">
        <v>1070.4908588331318</v>
      </c>
      <c r="F20" s="6">
        <v>1246.9256905181844</v>
      </c>
      <c r="G20" s="6">
        <v>1057.8774048273676</v>
      </c>
      <c r="H20" s="6">
        <v>1143.4953327911867</v>
      </c>
      <c r="I20" s="6">
        <v>1160.7185529672524</v>
      </c>
      <c r="J20" s="6">
        <v>1060.8145609173871</v>
      </c>
      <c r="K20" s="6">
        <v>1096.4508065757359</v>
      </c>
      <c r="L20" s="6">
        <v>1126.5369236903525</v>
      </c>
      <c r="M20" s="6">
        <v>1109.4894816084225</v>
      </c>
      <c r="N20" s="6">
        <v>1071.6860856465605</v>
      </c>
      <c r="O20" s="6">
        <v>1138.2031246279601</v>
      </c>
      <c r="P20">
        <f t="shared" si="0"/>
        <v>13351.900336572335</v>
      </c>
      <c r="Q20" s="96"/>
    </row>
    <row r="21" spans="1:17">
      <c r="A21" s="56">
        <f t="shared" si="1"/>
        <v>10</v>
      </c>
      <c r="B21" s="95">
        <v>8500</v>
      </c>
      <c r="C21" t="s">
        <v>153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>
        <f t="shared" si="0"/>
        <v>0</v>
      </c>
      <c r="Q21" s="96"/>
    </row>
    <row r="22" spans="1:17">
      <c r="A22" s="56">
        <f t="shared" si="1"/>
        <v>11</v>
      </c>
      <c r="B22" s="95">
        <v>8560</v>
      </c>
      <c r="C22" t="s">
        <v>292</v>
      </c>
      <c r="D22" s="6">
        <v>175.60017326630191</v>
      </c>
      <c r="E22" s="6">
        <v>175.81028440636635</v>
      </c>
      <c r="F22" s="6">
        <v>204.78676531863709</v>
      </c>
      <c r="G22" s="6">
        <v>173.73873478237692</v>
      </c>
      <c r="H22" s="6">
        <v>187.80005267350805</v>
      </c>
      <c r="I22" s="6">
        <v>190.62867957168464</v>
      </c>
      <c r="J22" s="6">
        <v>174.22111372402901</v>
      </c>
      <c r="K22" s="6">
        <v>180.07377321445995</v>
      </c>
      <c r="L22" s="6">
        <v>185.01491658150348</v>
      </c>
      <c r="M22" s="6">
        <v>182.21515830604085</v>
      </c>
      <c r="N22" s="6">
        <v>176.00658049265712</v>
      </c>
      <c r="O22" s="6">
        <v>186.93089567451341</v>
      </c>
      <c r="P22">
        <f t="shared" si="0"/>
        <v>2192.8271280120789</v>
      </c>
    </row>
    <row r="23" spans="1:17">
      <c r="A23" s="56">
        <f t="shared" si="1"/>
        <v>12</v>
      </c>
      <c r="B23" s="95">
        <v>8570</v>
      </c>
      <c r="C23" t="s">
        <v>293</v>
      </c>
      <c r="D23" s="6">
        <v>216.87884991303977</v>
      </c>
      <c r="E23" s="6">
        <v>217.13835229030659</v>
      </c>
      <c r="F23" s="6">
        <v>252.9263913217373</v>
      </c>
      <c r="G23" s="6">
        <v>214.57983943902767</v>
      </c>
      <c r="H23" s="6">
        <v>231.94657886624569</v>
      </c>
      <c r="I23" s="6">
        <v>235.44013662930826</v>
      </c>
      <c r="J23" s="6">
        <v>215.17561214324436</v>
      </c>
      <c r="K23" s="6">
        <v>222.4040677626609</v>
      </c>
      <c r="L23" s="6">
        <v>228.50673537833964</v>
      </c>
      <c r="M23" s="6">
        <v>225.0488324416722</v>
      </c>
      <c r="N23" s="6">
        <v>217.38079208205218</v>
      </c>
      <c r="O23" s="6">
        <v>230.87310742923319</v>
      </c>
      <c r="P23">
        <f t="shared" si="0"/>
        <v>2708.2992956968678</v>
      </c>
    </row>
    <row r="24" spans="1:17">
      <c r="A24" s="56">
        <f t="shared" si="1"/>
        <v>13</v>
      </c>
      <c r="B24" s="95">
        <v>8600</v>
      </c>
      <c r="C24" t="s">
        <v>293</v>
      </c>
      <c r="D24" s="6">
        <v>2584.5254036804445</v>
      </c>
      <c r="E24" s="6">
        <v>2584.5254036804445</v>
      </c>
      <c r="F24" s="6">
        <v>2584.5254036804445</v>
      </c>
      <c r="G24" s="6">
        <v>2584.5254036804445</v>
      </c>
      <c r="H24" s="6">
        <v>2584.5254036804445</v>
      </c>
      <c r="I24" s="6">
        <v>2584.5254036804445</v>
      </c>
      <c r="J24" s="6">
        <v>2419.8381132950599</v>
      </c>
      <c r="K24" s="6">
        <v>2419.8381132950599</v>
      </c>
      <c r="L24" s="6">
        <v>2419.8381132950599</v>
      </c>
      <c r="M24" s="6">
        <v>2419.8381132950599</v>
      </c>
      <c r="N24" s="6">
        <v>2419.8381132950599</v>
      </c>
      <c r="O24" s="6">
        <v>2537.2371797221954</v>
      </c>
      <c r="P24">
        <f t="shared" ref="P24" si="2">SUM(D24:O24)</f>
        <v>30143.580168280161</v>
      </c>
    </row>
    <row r="25" spans="1:17">
      <c r="A25" s="56">
        <f t="shared" si="1"/>
        <v>14</v>
      </c>
      <c r="B25" s="95">
        <v>8650</v>
      </c>
      <c r="C25" s="97" t="s">
        <v>357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>
        <f t="shared" si="0"/>
        <v>0</v>
      </c>
    </row>
    <row r="26" spans="1:17">
      <c r="A26" s="56">
        <f t="shared" si="1"/>
        <v>15</v>
      </c>
      <c r="B26" s="95">
        <v>8700</v>
      </c>
      <c r="C26" t="s">
        <v>297</v>
      </c>
      <c r="D26" s="6">
        <v>281160.21869529196</v>
      </c>
      <c r="E26" s="6">
        <v>207393.24399236104</v>
      </c>
      <c r="F26" s="6">
        <v>236468.00177622738</v>
      </c>
      <c r="G26" s="6">
        <v>227288.826805499</v>
      </c>
      <c r="H26" s="6">
        <v>279940.182330565</v>
      </c>
      <c r="I26" s="6">
        <v>262642.9403677152</v>
      </c>
      <c r="J26" s="6">
        <v>228669.16152418643</v>
      </c>
      <c r="K26" s="6">
        <v>215137.72707519494</v>
      </c>
      <c r="L26" s="6">
        <v>238736.02681467045</v>
      </c>
      <c r="M26" s="6">
        <v>235822.41055183677</v>
      </c>
      <c r="N26" s="6">
        <v>204618.5383028732</v>
      </c>
      <c r="O26" s="6">
        <v>261707.7959605685</v>
      </c>
      <c r="P26">
        <f t="shared" si="0"/>
        <v>2879585.0741969896</v>
      </c>
    </row>
    <row r="27" spans="1:17">
      <c r="A27" s="56">
        <f t="shared" si="1"/>
        <v>16</v>
      </c>
      <c r="B27" s="95">
        <v>8711</v>
      </c>
      <c r="C27" t="s">
        <v>299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>
        <f t="shared" si="0"/>
        <v>0</v>
      </c>
    </row>
    <row r="28" spans="1:17">
      <c r="A28" s="56">
        <f t="shared" si="1"/>
        <v>17</v>
      </c>
      <c r="B28" s="95">
        <v>8740</v>
      </c>
      <c r="C28" t="s">
        <v>301</v>
      </c>
      <c r="D28" s="6">
        <v>34629.292870518257</v>
      </c>
      <c r="E28" s="6">
        <v>35779.572378976562</v>
      </c>
      <c r="F28" s="6">
        <v>37092.147533456176</v>
      </c>
      <c r="G28" s="6">
        <v>36985.581207007912</v>
      </c>
      <c r="H28" s="6">
        <v>35074.805820746042</v>
      </c>
      <c r="I28" s="6">
        <v>38291.575648674348</v>
      </c>
      <c r="J28" s="6">
        <v>35524.403872271745</v>
      </c>
      <c r="K28" s="6">
        <v>33566.331400106916</v>
      </c>
      <c r="L28" s="6">
        <v>37051.965943217576</v>
      </c>
      <c r="M28" s="6">
        <v>36179.780818043502</v>
      </c>
      <c r="N28" s="6">
        <v>32870.310146056581</v>
      </c>
      <c r="O28" s="6">
        <v>36379.169199201599</v>
      </c>
      <c r="P28">
        <f t="shared" si="0"/>
        <v>429424.93683827727</v>
      </c>
    </row>
    <row r="29" spans="1:17">
      <c r="A29" s="56">
        <f t="shared" si="1"/>
        <v>18</v>
      </c>
      <c r="B29" s="95">
        <v>8750</v>
      </c>
      <c r="C29" t="s">
        <v>364</v>
      </c>
      <c r="D29" s="6">
        <v>10467.678422696823</v>
      </c>
      <c r="E29" s="6">
        <v>10642.316562464179</v>
      </c>
      <c r="F29" s="6">
        <v>10441.768455305531</v>
      </c>
      <c r="G29" s="6">
        <v>10865.332523896986</v>
      </c>
      <c r="H29" s="6">
        <v>12033.431131472598</v>
      </c>
      <c r="I29" s="6">
        <v>11307.747722004971</v>
      </c>
      <c r="J29" s="6">
        <v>10999.916648568393</v>
      </c>
      <c r="K29" s="6">
        <v>10140.629850749552</v>
      </c>
      <c r="L29" s="6">
        <v>10738.646149647931</v>
      </c>
      <c r="M29" s="6">
        <v>11310.449847618871</v>
      </c>
      <c r="N29" s="6">
        <v>9845.2361408821544</v>
      </c>
      <c r="O29" s="6">
        <v>11713.167559236806</v>
      </c>
      <c r="P29">
        <f t="shared" si="0"/>
        <v>130506.32101454481</v>
      </c>
    </row>
    <row r="30" spans="1:17">
      <c r="A30" s="56">
        <f t="shared" si="1"/>
        <v>19</v>
      </c>
      <c r="B30" s="95">
        <v>8760</v>
      </c>
      <c r="C30" t="s">
        <v>303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>
        <f t="shared" si="0"/>
        <v>0</v>
      </c>
    </row>
    <row r="31" spans="1:17">
      <c r="A31" s="56">
        <f t="shared" si="1"/>
        <v>20</v>
      </c>
      <c r="B31" s="95">
        <v>8770</v>
      </c>
      <c r="C31" t="s">
        <v>304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>
        <f t="shared" si="0"/>
        <v>0</v>
      </c>
    </row>
    <row r="32" spans="1:17">
      <c r="A32" s="56">
        <f t="shared" si="1"/>
        <v>21</v>
      </c>
      <c r="B32" s="95">
        <v>8780</v>
      </c>
      <c r="C32" t="s">
        <v>305</v>
      </c>
      <c r="D32" s="6">
        <v>8910.7876812457107</v>
      </c>
      <c r="E32" s="6">
        <v>8880.8702844808759</v>
      </c>
      <c r="F32" s="6">
        <v>8440.3838106989861</v>
      </c>
      <c r="G32" s="6">
        <v>9326.1140226200387</v>
      </c>
      <c r="H32" s="6">
        <v>8421.7763346099327</v>
      </c>
      <c r="I32" s="6">
        <v>8864.2285232427166</v>
      </c>
      <c r="J32" s="6">
        <v>9547.1057264849442</v>
      </c>
      <c r="K32" s="6">
        <v>8681.6321054850468</v>
      </c>
      <c r="L32" s="6">
        <v>9226.1714517666769</v>
      </c>
      <c r="M32" s="6">
        <v>9734.1929474880653</v>
      </c>
      <c r="N32" s="6">
        <v>8356.7417009826604</v>
      </c>
      <c r="O32" s="6">
        <v>8765.6750089761063</v>
      </c>
      <c r="P32">
        <f t="shared" ref="P32" si="3">SUM(D32:O32)</f>
        <v>107155.67959808174</v>
      </c>
    </row>
    <row r="33" spans="1:16">
      <c r="A33" s="56">
        <f t="shared" si="1"/>
        <v>22</v>
      </c>
      <c r="B33" s="95">
        <v>8800</v>
      </c>
      <c r="C33" t="s">
        <v>307</v>
      </c>
      <c r="D33" s="6">
        <v>172880.653776892</v>
      </c>
      <c r="E33" s="6">
        <v>172788.31244175349</v>
      </c>
      <c r="F33" s="6">
        <v>174435.28657234239</v>
      </c>
      <c r="G33" s="6">
        <v>142668.78048575495</v>
      </c>
      <c r="H33" s="6">
        <v>141547.07857733345</v>
      </c>
      <c r="I33" s="6">
        <v>171040.7765740297</v>
      </c>
      <c r="J33" s="6">
        <v>135490.54174455453</v>
      </c>
      <c r="K33" s="6">
        <v>138515.80091220574</v>
      </c>
      <c r="L33" s="6">
        <v>165073.76176079561</v>
      </c>
      <c r="M33" s="6">
        <v>142527.9612994591</v>
      </c>
      <c r="N33" s="6">
        <v>153428.53274662385</v>
      </c>
      <c r="O33" s="6">
        <v>196056.29303124754</v>
      </c>
      <c r="P33">
        <f t="shared" si="0"/>
        <v>1906453.7799229922</v>
      </c>
    </row>
    <row r="34" spans="1:16">
      <c r="A34" s="56">
        <f t="shared" si="1"/>
        <v>23</v>
      </c>
      <c r="B34" s="95">
        <v>8810</v>
      </c>
      <c r="C34" t="s">
        <v>308</v>
      </c>
      <c r="D34" s="6">
        <v>40176.949198698676</v>
      </c>
      <c r="E34" s="6">
        <v>40225.0221842967</v>
      </c>
      <c r="F34" s="6">
        <v>46854.779888486672</v>
      </c>
      <c r="G34" s="6">
        <v>39751.056000451354</v>
      </c>
      <c r="H34" s="6">
        <v>42968.255870305642</v>
      </c>
      <c r="I34" s="6">
        <v>43615.439737361208</v>
      </c>
      <c r="J34" s="6">
        <v>39861.423284678858</v>
      </c>
      <c r="K34" s="6">
        <v>41200.499429368792</v>
      </c>
      <c r="L34" s="6">
        <v>42331.022607954379</v>
      </c>
      <c r="M34" s="6">
        <v>41690.443820874752</v>
      </c>
      <c r="N34" s="6">
        <v>40269.934314735474</v>
      </c>
      <c r="O34" s="6">
        <v>42769.394582501889</v>
      </c>
      <c r="P34">
        <f t="shared" si="0"/>
        <v>501714.22091971437</v>
      </c>
    </row>
    <row r="35" spans="1:16">
      <c r="A35" s="56">
        <f t="shared" si="1"/>
        <v>24</v>
      </c>
      <c r="B35" s="95">
        <v>8870</v>
      </c>
      <c r="C35" t="s">
        <v>311</v>
      </c>
      <c r="D35" s="6">
        <v>56.628165463709088</v>
      </c>
      <c r="E35" s="6">
        <v>56.438040038792032</v>
      </c>
      <c r="F35" s="6">
        <v>53.638743072672476</v>
      </c>
      <c r="G35" s="6">
        <v>59.267569478494735</v>
      </c>
      <c r="H35" s="6">
        <v>53.520492332948251</v>
      </c>
      <c r="I35" s="6">
        <v>56.332281441155885</v>
      </c>
      <c r="J35" s="6">
        <v>60.671974478392492</v>
      </c>
      <c r="K35" s="6">
        <v>55.171878957363752</v>
      </c>
      <c r="L35" s="6">
        <v>58.632433209782569</v>
      </c>
      <c r="M35" s="6">
        <v>61.860916072120283</v>
      </c>
      <c r="N35" s="6">
        <v>53.107196435250231</v>
      </c>
      <c r="O35" s="6">
        <v>55.705972644160809</v>
      </c>
      <c r="P35">
        <f t="shared" ref="P35:P38" si="4">SUM(D35:O35)</f>
        <v>680.97566362484258</v>
      </c>
    </row>
    <row r="36" spans="1:16">
      <c r="A36" s="56">
        <f t="shared" si="1"/>
        <v>25</v>
      </c>
      <c r="B36" s="95">
        <v>8890</v>
      </c>
      <c r="C36" t="s">
        <v>312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>
        <f t="shared" si="4"/>
        <v>0</v>
      </c>
    </row>
    <row r="37" spans="1:16">
      <c r="A37" s="56">
        <f t="shared" si="1"/>
        <v>26</v>
      </c>
      <c r="B37" s="95">
        <v>8900</v>
      </c>
      <c r="C37" t="s">
        <v>313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>
        <f t="shared" si="4"/>
        <v>0</v>
      </c>
    </row>
    <row r="38" spans="1:16">
      <c r="A38" s="56">
        <f t="shared" si="1"/>
        <v>27</v>
      </c>
      <c r="B38" s="95">
        <v>8910</v>
      </c>
      <c r="C38" t="s">
        <v>314</v>
      </c>
      <c r="D38" s="6">
        <v>15.958993548919157</v>
      </c>
      <c r="E38" s="6">
        <v>15.905412254083085</v>
      </c>
      <c r="F38" s="6">
        <v>15.116512210121023</v>
      </c>
      <c r="G38" s="6">
        <v>16.702832437218479</v>
      </c>
      <c r="H38" s="6">
        <v>15.08318669485913</v>
      </c>
      <c r="I38" s="6">
        <v>15.875607284001552</v>
      </c>
      <c r="J38" s="6">
        <v>17.09862294446706</v>
      </c>
      <c r="K38" s="6">
        <v>15.548581755250201</v>
      </c>
      <c r="L38" s="6">
        <v>16.523837840941862</v>
      </c>
      <c r="M38" s="6">
        <v>17.433691387334125</v>
      </c>
      <c r="N38" s="6">
        <v>14.966711324146576</v>
      </c>
      <c r="O38" s="6">
        <v>15.699100452656619</v>
      </c>
      <c r="P38">
        <f t="shared" si="4"/>
        <v>191.91309013399885</v>
      </c>
    </row>
    <row r="39" spans="1:16">
      <c r="A39" s="56">
        <f t="shared" si="1"/>
        <v>28</v>
      </c>
      <c r="B39" s="95">
        <v>9010</v>
      </c>
      <c r="C39" t="s">
        <v>318</v>
      </c>
      <c r="D39" s="6">
        <v>9445.8918315654246</v>
      </c>
      <c r="E39" s="6">
        <v>9457.9305992309419</v>
      </c>
      <c r="F39" s="6">
        <v>9031.062512407545</v>
      </c>
      <c r="G39" s="6">
        <v>9862.6138688248284</v>
      </c>
      <c r="H39" s="6">
        <v>9431.4826825998516</v>
      </c>
      <c r="I39" s="6">
        <v>9573.3414762692628</v>
      </c>
      <c r="J39" s="6">
        <v>10084.595647531156</v>
      </c>
      <c r="K39" s="6">
        <v>9183.700933579401</v>
      </c>
      <c r="L39" s="6">
        <v>9732.3102165332366</v>
      </c>
      <c r="M39" s="6">
        <v>10303.950810674763</v>
      </c>
      <c r="N39" s="6">
        <v>8850.4516427690469</v>
      </c>
      <c r="O39" s="6">
        <v>9584.2576855381194</v>
      </c>
      <c r="P39">
        <f t="shared" si="0"/>
        <v>114541.58990752359</v>
      </c>
    </row>
    <row r="40" spans="1:16">
      <c r="A40" s="56">
        <f t="shared" si="1"/>
        <v>29</v>
      </c>
      <c r="B40" s="95">
        <v>9020</v>
      </c>
      <c r="C40" t="s">
        <v>319</v>
      </c>
      <c r="D40" s="6">
        <v>3712.8246989677186</v>
      </c>
      <c r="E40" s="6">
        <v>3700.3591287386043</v>
      </c>
      <c r="F40" s="6">
        <v>3516.8232710881425</v>
      </c>
      <c r="G40" s="6">
        <v>3885.8771780018651</v>
      </c>
      <c r="H40" s="6">
        <v>3509.0701633629651</v>
      </c>
      <c r="I40" s="6">
        <v>3693.4250680955251</v>
      </c>
      <c r="J40" s="6">
        <v>3977.9569677721311</v>
      </c>
      <c r="K40" s="6">
        <v>3617.3432991155996</v>
      </c>
      <c r="L40" s="6">
        <v>3844.2344794193737</v>
      </c>
      <c r="M40" s="6">
        <v>4055.9099030063048</v>
      </c>
      <c r="N40" s="6">
        <v>3481.9724249073793</v>
      </c>
      <c r="O40" s="6">
        <v>3652.3611425450085</v>
      </c>
      <c r="P40">
        <f t="shared" si="0"/>
        <v>44648.157725020617</v>
      </c>
    </row>
    <row r="41" spans="1:16">
      <c r="A41" s="56">
        <f t="shared" si="1"/>
        <v>30</v>
      </c>
      <c r="B41" s="95">
        <v>9030</v>
      </c>
      <c r="C41" t="s">
        <v>320</v>
      </c>
      <c r="D41" s="6">
        <v>673561.90267911914</v>
      </c>
      <c r="E41" s="6">
        <v>673077.47322913969</v>
      </c>
      <c r="F41" s="6">
        <v>675274.27103147493</v>
      </c>
      <c r="G41" s="6">
        <v>571947.53639862488</v>
      </c>
      <c r="H41" s="6">
        <v>561630.09099760524</v>
      </c>
      <c r="I41" s="6">
        <v>667114.60178001458</v>
      </c>
      <c r="J41" s="6">
        <v>548792.59689201566</v>
      </c>
      <c r="K41" s="6">
        <v>552253.42850472231</v>
      </c>
      <c r="L41" s="6">
        <v>648932.96674236399</v>
      </c>
      <c r="M41" s="6">
        <v>574813.2151583021</v>
      </c>
      <c r="N41" s="6">
        <v>601429.08585987438</v>
      </c>
      <c r="O41" s="6">
        <v>753436.8083937125</v>
      </c>
      <c r="P41">
        <f t="shared" si="0"/>
        <v>7502263.9776669685</v>
      </c>
    </row>
    <row r="42" spans="1:16">
      <c r="A42" s="56">
        <f t="shared" si="1"/>
        <v>31</v>
      </c>
      <c r="B42" s="95">
        <v>9040</v>
      </c>
      <c r="C42" t="s">
        <v>321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>
        <f t="shared" ref="P42:P43" si="5">SUM(D42:O42)</f>
        <v>0</v>
      </c>
    </row>
    <row r="43" spans="1:16">
      <c r="A43" s="56">
        <f t="shared" si="1"/>
        <v>32</v>
      </c>
      <c r="B43" s="95">
        <v>9090</v>
      </c>
      <c r="C43" t="s">
        <v>322</v>
      </c>
      <c r="D43" s="6">
        <v>14866.012077354591</v>
      </c>
      <c r="E43" s="6">
        <v>14698.539467491506</v>
      </c>
      <c r="F43" s="6">
        <v>14042.140393219006</v>
      </c>
      <c r="G43" s="6">
        <v>15317.861537744509</v>
      </c>
      <c r="H43" s="6">
        <v>14708.823659522748</v>
      </c>
      <c r="I43" s="6">
        <v>14892.4340072004</v>
      </c>
      <c r="J43" s="6">
        <v>15660.527222200302</v>
      </c>
      <c r="K43" s="6">
        <v>14266.764801686491</v>
      </c>
      <c r="L43" s="6">
        <v>15113.638036967724</v>
      </c>
      <c r="M43" s="6">
        <v>16002.425655687357</v>
      </c>
      <c r="N43" s="6">
        <v>13751.834757802771</v>
      </c>
      <c r="O43" s="6">
        <v>14922.191787013506</v>
      </c>
      <c r="P43">
        <f t="shared" si="5"/>
        <v>178243.19340389088</v>
      </c>
    </row>
    <row r="44" spans="1:16">
      <c r="A44" s="56">
        <f t="shared" si="1"/>
        <v>33</v>
      </c>
      <c r="B44" s="95">
        <v>9100</v>
      </c>
      <c r="C44" t="s">
        <v>323</v>
      </c>
      <c r="D44" s="6">
        <v>361.3296199693188</v>
      </c>
      <c r="E44" s="6">
        <v>361.3296199693188</v>
      </c>
      <c r="F44" s="6">
        <v>375.22001295672897</v>
      </c>
      <c r="G44" s="6">
        <v>361.3296199693188</v>
      </c>
      <c r="H44" s="6">
        <v>364.52441035642318</v>
      </c>
      <c r="I44" s="6">
        <v>383.04493433963671</v>
      </c>
      <c r="J44" s="6">
        <v>361.3296199693188</v>
      </c>
      <c r="K44" s="6">
        <v>361.3296199693188</v>
      </c>
      <c r="L44" s="6">
        <v>375.22001295672897</v>
      </c>
      <c r="M44" s="6">
        <v>361.3296199693188</v>
      </c>
      <c r="N44" s="6">
        <v>361.3296199693188</v>
      </c>
      <c r="O44" s="6">
        <v>379.85014395253239</v>
      </c>
      <c r="P44">
        <f t="shared" si="0"/>
        <v>4407.1668543472815</v>
      </c>
    </row>
    <row r="45" spans="1:16">
      <c r="A45" s="56">
        <f t="shared" si="1"/>
        <v>34</v>
      </c>
      <c r="B45" s="95">
        <v>9110</v>
      </c>
      <c r="C45" t="s">
        <v>324</v>
      </c>
      <c r="D45" s="6">
        <v>16155.497282625063</v>
      </c>
      <c r="E45" s="6">
        <v>16469.353841643049</v>
      </c>
      <c r="F45" s="6">
        <v>15979.260182273798</v>
      </c>
      <c r="G45" s="6">
        <v>16779.59284466699</v>
      </c>
      <c r="H45" s="6">
        <v>19159.905217223331</v>
      </c>
      <c r="I45" s="6">
        <v>17434.199963474439</v>
      </c>
      <c r="J45" s="6">
        <v>17015.533510422614</v>
      </c>
      <c r="K45" s="6">
        <v>15596.140071255644</v>
      </c>
      <c r="L45" s="6">
        <v>16373.073284796836</v>
      </c>
      <c r="M45" s="6">
        <v>17541.336854781297</v>
      </c>
      <c r="N45" s="6">
        <v>15110.073333967292</v>
      </c>
      <c r="O45" s="6">
        <v>18192.765489034926</v>
      </c>
      <c r="P45">
        <f t="shared" si="0"/>
        <v>201806.73187616532</v>
      </c>
    </row>
    <row r="46" spans="1:16">
      <c r="A46" s="56">
        <f t="shared" si="1"/>
        <v>35</v>
      </c>
      <c r="B46" s="95">
        <v>9120</v>
      </c>
      <c r="C46" t="s">
        <v>325</v>
      </c>
      <c r="D46" s="6">
        <v>919.39282840442536</v>
      </c>
      <c r="E46" s="6">
        <v>919.39282840442536</v>
      </c>
      <c r="F46" s="6">
        <v>954.73653395900567</v>
      </c>
      <c r="G46" s="6">
        <v>919.39282840442536</v>
      </c>
      <c r="H46" s="6">
        <v>927.52188068197881</v>
      </c>
      <c r="I46" s="6">
        <v>974.64682142141919</v>
      </c>
      <c r="J46" s="6">
        <v>919.39282840442536</v>
      </c>
      <c r="K46" s="6">
        <v>919.39282840442536</v>
      </c>
      <c r="L46" s="6">
        <v>954.73653395900567</v>
      </c>
      <c r="M46" s="6">
        <v>919.39282840442536</v>
      </c>
      <c r="N46" s="6">
        <v>919.39282840442536</v>
      </c>
      <c r="O46" s="6">
        <v>966.51776914386573</v>
      </c>
      <c r="P46">
        <f t="shared" si="0"/>
        <v>11213.909337996251</v>
      </c>
    </row>
    <row r="47" spans="1:16">
      <c r="A47" s="56">
        <f t="shared" si="1"/>
        <v>36</v>
      </c>
      <c r="B47" s="95">
        <v>9130</v>
      </c>
      <c r="C47" t="s">
        <v>326</v>
      </c>
      <c r="D47" s="6">
        <v>20.877291279333072</v>
      </c>
      <c r="E47" s="6">
        <v>20.877291279333072</v>
      </c>
      <c r="F47" s="6">
        <v>21.679865340123303</v>
      </c>
      <c r="G47" s="6">
        <v>20.877291279333072</v>
      </c>
      <c r="H47" s="6">
        <v>21.061883313314826</v>
      </c>
      <c r="I47" s="6">
        <v>22.131982061035131</v>
      </c>
      <c r="J47" s="6">
        <v>20.877291279333072</v>
      </c>
      <c r="K47" s="6">
        <v>20.877291279333072</v>
      </c>
      <c r="L47" s="6">
        <v>21.679865340123303</v>
      </c>
      <c r="M47" s="6">
        <v>20.877291279333072</v>
      </c>
      <c r="N47" s="6">
        <v>20.877291279333072</v>
      </c>
      <c r="O47" s="6">
        <v>21.94739002705338</v>
      </c>
      <c r="P47">
        <f t="shared" si="0"/>
        <v>254.64202503698144</v>
      </c>
    </row>
    <row r="48" spans="1:16">
      <c r="A48" s="56">
        <f t="shared" si="1"/>
        <v>37</v>
      </c>
      <c r="B48" s="95">
        <v>9200</v>
      </c>
      <c r="C48" t="s">
        <v>328</v>
      </c>
      <c r="D48" s="6">
        <v>1474.7968604689361</v>
      </c>
      <c r="E48" s="6">
        <v>1374.7882591991465</v>
      </c>
      <c r="F48" s="6">
        <v>1374.7882591991465</v>
      </c>
      <c r="G48" s="6">
        <v>1474.7968604689361</v>
      </c>
      <c r="H48" s="6">
        <v>1374.7882591991465</v>
      </c>
      <c r="I48" s="6">
        <v>1378.788603249938</v>
      </c>
      <c r="J48" s="6">
        <v>5375.1323099907277</v>
      </c>
      <c r="K48" s="6">
        <v>1374.7882591991465</v>
      </c>
      <c r="L48" s="6">
        <v>1474.7968604689361</v>
      </c>
      <c r="M48" s="6">
        <v>1374.7882591991465</v>
      </c>
      <c r="N48" s="6">
        <v>1374.7882591991465</v>
      </c>
      <c r="O48" s="6">
        <v>1374.7882591991465</v>
      </c>
      <c r="P48">
        <f t="shared" si="0"/>
        <v>20801.829309041503</v>
      </c>
    </row>
    <row r="49" spans="1:17">
      <c r="A49" s="56">
        <f t="shared" si="1"/>
        <v>38</v>
      </c>
      <c r="B49" s="95">
        <v>9210</v>
      </c>
      <c r="C49" t="s">
        <v>329</v>
      </c>
      <c r="D49" s="6">
        <v>-126616.83417742788</v>
      </c>
      <c r="E49" s="6">
        <v>-126547.30569089837</v>
      </c>
      <c r="F49" s="6">
        <v>-127552.95727704492</v>
      </c>
      <c r="G49" s="6">
        <v>-104274.93953418857</v>
      </c>
      <c r="H49" s="6">
        <v>-103343.14045114894</v>
      </c>
      <c r="I49" s="6">
        <v>-125140.1131297633</v>
      </c>
      <c r="J49" s="6">
        <v>-98947.16070208342</v>
      </c>
      <c r="K49" s="6">
        <v>-101156.24275074415</v>
      </c>
      <c r="L49" s="6">
        <v>-120769.11716800163</v>
      </c>
      <c r="M49" s="6">
        <v>-104109.50869620433</v>
      </c>
      <c r="N49" s="6">
        <v>-112220.52411822218</v>
      </c>
      <c r="O49" s="6">
        <v>-143677.33762959254</v>
      </c>
      <c r="P49">
        <f t="shared" si="0"/>
        <v>-1394355.1813253202</v>
      </c>
      <c r="Q49" s="96"/>
    </row>
    <row r="50" spans="1:17">
      <c r="A50" s="56">
        <f t="shared" si="1"/>
        <v>39</v>
      </c>
      <c r="B50" s="95">
        <v>9220</v>
      </c>
      <c r="C50" t="s">
        <v>330</v>
      </c>
      <c r="D50" s="6">
        <f t="shared" ref="D50:O50" si="6">-(SUM(D12:D49,D51:D57))</f>
        <v>-1425956.244248203</v>
      </c>
      <c r="E50" s="6">
        <f t="shared" si="6"/>
        <v>-1398658.2713915987</v>
      </c>
      <c r="F50" s="6">
        <f t="shared" si="6"/>
        <v>-1395906.833270211</v>
      </c>
      <c r="G50" s="6">
        <f t="shared" si="6"/>
        <v>-1362238.8279819342</v>
      </c>
      <c r="H50" s="6">
        <f t="shared" si="6"/>
        <v>-1265428.2210780953</v>
      </c>
      <c r="I50" s="6">
        <f t="shared" si="6"/>
        <v>-1388755.9402842543</v>
      </c>
      <c r="J50" s="6">
        <f t="shared" si="6"/>
        <v>-1281938.4599275903</v>
      </c>
      <c r="K50" s="6">
        <f t="shared" si="6"/>
        <v>-1231929.7828187905</v>
      </c>
      <c r="L50" s="6">
        <f t="shared" si="6"/>
        <v>-1377671.3826793469</v>
      </c>
      <c r="M50" s="6">
        <f t="shared" si="6"/>
        <v>-1335455.5213777611</v>
      </c>
      <c r="N50" s="6">
        <f t="shared" si="6"/>
        <v>-1262955.6268959574</v>
      </c>
      <c r="O50" s="6">
        <f t="shared" si="6"/>
        <v>-1486303.3722108509</v>
      </c>
      <c r="P50">
        <f t="shared" si="0"/>
        <v>-16213198.484164592</v>
      </c>
      <c r="Q50" s="96"/>
    </row>
    <row r="51" spans="1:17">
      <c r="A51" s="56">
        <f t="shared" si="1"/>
        <v>40</v>
      </c>
      <c r="B51" s="95">
        <v>9230</v>
      </c>
      <c r="C51" t="s">
        <v>331</v>
      </c>
      <c r="D51" s="6">
        <v>-45865.220560274174</v>
      </c>
      <c r="E51" s="6">
        <v>-45840.721337812633</v>
      </c>
      <c r="F51" s="6">
        <v>-46277.682591980891</v>
      </c>
      <c r="G51" s="6">
        <v>-37849.661724904203</v>
      </c>
      <c r="H51" s="6">
        <v>-37552.061256503686</v>
      </c>
      <c r="I51" s="6">
        <v>-45376.526711174272</v>
      </c>
      <c r="J51" s="6">
        <v>-35945.192100993016</v>
      </c>
      <c r="K51" s="6">
        <v>-36747.828290310827</v>
      </c>
      <c r="L51" s="6">
        <v>-43793.961963583381</v>
      </c>
      <c r="M51" s="6">
        <v>-37812.300768765323</v>
      </c>
      <c r="N51" s="6">
        <v>-40704.348240695355</v>
      </c>
      <c r="O51" s="6">
        <v>-52013.436728621469</v>
      </c>
      <c r="P51">
        <f t="shared" si="0"/>
        <v>-505778.94227561925</v>
      </c>
      <c r="Q51" s="96"/>
    </row>
    <row r="52" spans="1:17">
      <c r="A52" s="56">
        <f t="shared" si="1"/>
        <v>41</v>
      </c>
      <c r="B52" s="95">
        <v>9240</v>
      </c>
      <c r="C52" t="s">
        <v>332</v>
      </c>
      <c r="D52" s="6">
        <v>-8954.6697210042057</v>
      </c>
      <c r="E52" s="6">
        <v>-8954.6697210042057</v>
      </c>
      <c r="F52" s="6">
        <v>-8954.6697210042057</v>
      </c>
      <c r="G52" s="6">
        <v>-8954.6697210042057</v>
      </c>
      <c r="H52" s="6">
        <v>-8954.6697210042057</v>
      </c>
      <c r="I52" s="6">
        <v>-8954.6697210042057</v>
      </c>
      <c r="J52" s="6">
        <v>-8384.0735525362215</v>
      </c>
      <c r="K52" s="6">
        <v>-8384.0735525362215</v>
      </c>
      <c r="L52" s="6">
        <v>-8384.0735525362215</v>
      </c>
      <c r="M52" s="6">
        <v>-8384.0735525362215</v>
      </c>
      <c r="N52" s="6">
        <v>-8384.0735525362215</v>
      </c>
      <c r="O52" s="6">
        <v>-8790.8290303164704</v>
      </c>
      <c r="P52">
        <f t="shared" si="0"/>
        <v>-104439.21511902282</v>
      </c>
      <c r="Q52" s="96"/>
    </row>
    <row r="53" spans="1:17">
      <c r="A53" s="56">
        <f t="shared" si="1"/>
        <v>42</v>
      </c>
      <c r="B53" s="95">
        <v>9250</v>
      </c>
      <c r="C53" t="s">
        <v>333</v>
      </c>
      <c r="D53" s="6">
        <v>83929.671044297851</v>
      </c>
      <c r="E53" s="6">
        <v>85680.717242835031</v>
      </c>
      <c r="F53" s="6">
        <v>81418.878909920997</v>
      </c>
      <c r="G53" s="6">
        <v>85933.191419129857</v>
      </c>
      <c r="H53" s="6">
        <v>80206.240012670562</v>
      </c>
      <c r="I53" s="6">
        <v>83250.124598719456</v>
      </c>
      <c r="J53" s="6">
        <v>86175.034724074721</v>
      </c>
      <c r="K53" s="6">
        <v>81268.011512097728</v>
      </c>
      <c r="L53" s="6">
        <v>84618.456224513124</v>
      </c>
      <c r="M53" s="6">
        <v>88686.161550709905</v>
      </c>
      <c r="N53" s="6">
        <v>76954.051325498222</v>
      </c>
      <c r="O53" s="6">
        <v>80480.699381928716</v>
      </c>
      <c r="P53">
        <f t="shared" si="0"/>
        <v>998601.23794639623</v>
      </c>
      <c r="Q53" s="96"/>
    </row>
    <row r="54" spans="1:17">
      <c r="A54" s="56">
        <f t="shared" si="1"/>
        <v>43</v>
      </c>
      <c r="B54" s="98">
        <v>9260</v>
      </c>
      <c r="C54" t="s">
        <v>334</v>
      </c>
      <c r="D54" s="6">
        <v>240095.89497212457</v>
      </c>
      <c r="E54" s="6">
        <v>275835.21982830507</v>
      </c>
      <c r="F54" s="6">
        <v>232861.61257682729</v>
      </c>
      <c r="G54" s="6">
        <v>314890.37321564154</v>
      </c>
      <c r="H54" s="6">
        <v>188797.72409373624</v>
      </c>
      <c r="I54" s="6">
        <v>197830.27061610352</v>
      </c>
      <c r="J54" s="6">
        <v>243289.53399671239</v>
      </c>
      <c r="K54" s="6">
        <v>237548.35004961857</v>
      </c>
      <c r="L54" s="6">
        <v>251202.71294226678</v>
      </c>
      <c r="M54" s="6">
        <v>279741.31554270477</v>
      </c>
      <c r="N54" s="6">
        <v>238260.95887426456</v>
      </c>
      <c r="O54" s="6">
        <v>234351.26589607529</v>
      </c>
      <c r="P54">
        <f t="shared" si="0"/>
        <v>2934705.2326043807</v>
      </c>
      <c r="Q54" s="96"/>
    </row>
    <row r="55" spans="1:17">
      <c r="A55" s="56">
        <f t="shared" si="1"/>
        <v>44</v>
      </c>
      <c r="B55" s="98">
        <v>9280</v>
      </c>
      <c r="C55" t="s">
        <v>336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>
        <f t="shared" ref="P55" si="7">SUM(D55:O55)</f>
        <v>0</v>
      </c>
      <c r="Q55" s="96"/>
    </row>
    <row r="56" spans="1:17">
      <c r="A56" s="56">
        <f t="shared" si="1"/>
        <v>45</v>
      </c>
      <c r="B56" s="95">
        <v>9302</v>
      </c>
      <c r="C56" t="s">
        <v>337</v>
      </c>
      <c r="D56" s="6">
        <v>10014.349223309418</v>
      </c>
      <c r="E56" s="6">
        <v>18084.609583202528</v>
      </c>
      <c r="F56" s="6">
        <v>25179.770046655263</v>
      </c>
      <c r="G56" s="6">
        <v>20447.324262960559</v>
      </c>
      <c r="H56" s="6">
        <v>10420.760628841963</v>
      </c>
      <c r="I56" s="6">
        <v>31141.917841083738</v>
      </c>
      <c r="J56" s="6">
        <v>29015.707226359667</v>
      </c>
      <c r="K56" s="6">
        <v>10073.060743791717</v>
      </c>
      <c r="L56" s="6">
        <v>10265.638990408639</v>
      </c>
      <c r="M56" s="6">
        <v>10150.966791050423</v>
      </c>
      <c r="N56" s="6">
        <v>9916.1988199195384</v>
      </c>
      <c r="O56" s="6">
        <v>11343.606070651171</v>
      </c>
      <c r="P56">
        <f t="shared" si="0"/>
        <v>196053.91022823466</v>
      </c>
      <c r="Q56" s="96"/>
    </row>
    <row r="57" spans="1:17">
      <c r="A57" s="56">
        <f t="shared" si="1"/>
        <v>46</v>
      </c>
      <c r="B57" s="95">
        <v>9310</v>
      </c>
      <c r="C57" t="s">
        <v>212</v>
      </c>
      <c r="D57" s="6">
        <v>-3.9242016015531827E-3</v>
      </c>
      <c r="E57" s="6">
        <v>-3.9288970324118655E-3</v>
      </c>
      <c r="F57" s="6">
        <v>-4.5764450996387939E-3</v>
      </c>
      <c r="G57" s="6">
        <v>-3.8826033517112861E-3</v>
      </c>
      <c r="H57" s="6">
        <v>-4.1968367898790535E-3</v>
      </c>
      <c r="I57" s="6">
        <v>-4.2600491546367324E-3</v>
      </c>
      <c r="J57" s="6">
        <v>-3.8933832511850539E-3</v>
      </c>
      <c r="K57" s="6">
        <v>-4.0241747835536735E-3</v>
      </c>
      <c r="L57" s="6">
        <v>-4.1345963301489055E-3</v>
      </c>
      <c r="M57" s="6">
        <v>-4.0720291031116611E-3</v>
      </c>
      <c r="N57" s="6">
        <v>-3.9332837331871127E-3</v>
      </c>
      <c r="O57" s="6">
        <v>-4.1774134190246098E-3</v>
      </c>
      <c r="P57">
        <f t="shared" si="0"/>
        <v>-4.9003913650041933E-2</v>
      </c>
      <c r="Q57" s="96"/>
    </row>
    <row r="58" spans="1:17">
      <c r="A58" s="56">
        <f t="shared" si="1"/>
        <v>47</v>
      </c>
      <c r="C58" s="99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Q58" s="96"/>
    </row>
    <row r="59" spans="1:17" ht="15.75" thickBot="1">
      <c r="A59" s="56">
        <f t="shared" si="1"/>
        <v>48</v>
      </c>
      <c r="B59" t="s">
        <v>339</v>
      </c>
      <c r="C59" s="99"/>
      <c r="D59" s="100">
        <f t="shared" ref="D59:P59" si="8">SUM(D12:D58)</f>
        <v>1.8313137291336989E-10</v>
      </c>
      <c r="E59" s="100">
        <f t="shared" si="8"/>
        <v>-1.0865866539866431E-10</v>
      </c>
      <c r="F59" s="100">
        <f t="shared" si="8"/>
        <v>-8.1230144138855209E-12</v>
      </c>
      <c r="G59" s="100">
        <f t="shared" si="8"/>
        <v>-1.7757759412234675E-10</v>
      </c>
      <c r="H59" s="100">
        <f t="shared" si="8"/>
        <v>-2.1374221836900631E-12</v>
      </c>
      <c r="I59" s="100">
        <f t="shared" si="8"/>
        <v>2.106204134710854E-10</v>
      </c>
      <c r="J59" s="100">
        <f t="shared" si="8"/>
        <v>-1.0919965799660591E-10</v>
      </c>
      <c r="K59" s="100">
        <f t="shared" si="8"/>
        <v>-5.3405739899869964E-11</v>
      </c>
      <c r="L59" s="100">
        <f t="shared" si="8"/>
        <v>-4.8347555126060371E-11</v>
      </c>
      <c r="M59" s="100">
        <f t="shared" si="8"/>
        <v>-4.5032309478609811E-11</v>
      </c>
      <c r="N59" s="100">
        <f t="shared" si="8"/>
        <v>-9.0780525457967443E-12</v>
      </c>
      <c r="O59" s="100">
        <f t="shared" si="8"/>
        <v>7.6174679411455948E-11</v>
      </c>
      <c r="P59" s="100">
        <f t="shared" si="8"/>
        <v>-2.9692747843812484E-9</v>
      </c>
      <c r="Q59" s="96"/>
    </row>
    <row r="60" spans="1:17" ht="15.75" thickTop="1">
      <c r="A60" s="56">
        <f t="shared" si="1"/>
        <v>49</v>
      </c>
      <c r="C60" s="99"/>
      <c r="Q60" s="96"/>
    </row>
    <row r="61" spans="1:17">
      <c r="A61" s="56">
        <f t="shared" si="1"/>
        <v>50</v>
      </c>
      <c r="B61" s="95">
        <f t="shared" ref="B61:O61" si="9">B50</f>
        <v>9220</v>
      </c>
      <c r="C61" t="str">
        <f t="shared" si="9"/>
        <v>A&amp;G-Administrative expense transferred-Credit</v>
      </c>
      <c r="D61">
        <f t="shared" si="9"/>
        <v>-1425956.244248203</v>
      </c>
      <c r="E61">
        <f t="shared" si="9"/>
        <v>-1398658.2713915987</v>
      </c>
      <c r="F61">
        <f t="shared" si="9"/>
        <v>-1395906.833270211</v>
      </c>
      <c r="G61">
        <f t="shared" si="9"/>
        <v>-1362238.8279819342</v>
      </c>
      <c r="H61">
        <f t="shared" si="9"/>
        <v>-1265428.2210780953</v>
      </c>
      <c r="I61">
        <f t="shared" si="9"/>
        <v>-1388755.9402842543</v>
      </c>
      <c r="J61">
        <f t="shared" si="9"/>
        <v>-1281938.4599275903</v>
      </c>
      <c r="K61">
        <f t="shared" si="9"/>
        <v>-1231929.7828187905</v>
      </c>
      <c r="L61">
        <f t="shared" si="9"/>
        <v>-1377671.3826793469</v>
      </c>
      <c r="M61">
        <f t="shared" si="9"/>
        <v>-1335455.5213777611</v>
      </c>
      <c r="N61">
        <f t="shared" si="9"/>
        <v>-1262955.6268959574</v>
      </c>
      <c r="O61">
        <f t="shared" si="9"/>
        <v>-1486303.3722108509</v>
      </c>
      <c r="P61">
        <f>SUM(D61:O61)</f>
        <v>-16213198.484164592</v>
      </c>
      <c r="Q61" s="96"/>
    </row>
    <row r="62" spans="1:17">
      <c r="A62" s="56">
        <f t="shared" si="1"/>
        <v>51</v>
      </c>
      <c r="C62" t="s">
        <v>348</v>
      </c>
      <c r="D62" s="101">
        <v>0.49969999999999998</v>
      </c>
      <c r="E62" s="101">
        <f>D62</f>
        <v>0.49969999999999998</v>
      </c>
      <c r="F62" s="101">
        <f t="shared" ref="F62:O62" si="10">E62</f>
        <v>0.49969999999999998</v>
      </c>
      <c r="G62" s="101">
        <f t="shared" si="10"/>
        <v>0.49969999999999998</v>
      </c>
      <c r="H62" s="101">
        <f t="shared" si="10"/>
        <v>0.49969999999999998</v>
      </c>
      <c r="I62" s="101">
        <f t="shared" si="10"/>
        <v>0.49969999999999998</v>
      </c>
      <c r="J62" s="101">
        <f t="shared" si="10"/>
        <v>0.49969999999999998</v>
      </c>
      <c r="K62" s="101">
        <f t="shared" si="10"/>
        <v>0.49969999999999998</v>
      </c>
      <c r="L62" s="101">
        <f t="shared" si="10"/>
        <v>0.49969999999999998</v>
      </c>
      <c r="M62" s="101">
        <f t="shared" si="10"/>
        <v>0.49969999999999998</v>
      </c>
      <c r="N62" s="101">
        <f t="shared" si="10"/>
        <v>0.49969999999999998</v>
      </c>
      <c r="O62" s="101">
        <f t="shared" si="10"/>
        <v>0.49969999999999998</v>
      </c>
      <c r="P62" s="102">
        <f>P63/P61</f>
        <v>0.49970000000000014</v>
      </c>
      <c r="Q62" s="96"/>
    </row>
    <row r="63" spans="1:17">
      <c r="A63" s="56">
        <f t="shared" si="1"/>
        <v>52</v>
      </c>
      <c r="C63" t="s">
        <v>349</v>
      </c>
      <c r="D63">
        <f>D61*D62</f>
        <v>-712550.33525082702</v>
      </c>
      <c r="E63">
        <f t="shared" ref="E63:O63" si="11">E61*E62</f>
        <v>-698909.5382143819</v>
      </c>
      <c r="F63">
        <f t="shared" si="11"/>
        <v>-697534.64458512445</v>
      </c>
      <c r="G63">
        <f t="shared" si="11"/>
        <v>-680710.74234257243</v>
      </c>
      <c r="H63">
        <f t="shared" si="11"/>
        <v>-632334.48207272415</v>
      </c>
      <c r="I63">
        <f t="shared" si="11"/>
        <v>-693961.34336004185</v>
      </c>
      <c r="J63">
        <f t="shared" si="11"/>
        <v>-640584.64842581691</v>
      </c>
      <c r="K63">
        <f t="shared" si="11"/>
        <v>-615595.31247454963</v>
      </c>
      <c r="L63">
        <f t="shared" si="11"/>
        <v>-688422.38992486964</v>
      </c>
      <c r="M63">
        <f t="shared" si="11"/>
        <v>-667327.12403246725</v>
      </c>
      <c r="N63">
        <f t="shared" si="11"/>
        <v>-631098.92675990984</v>
      </c>
      <c r="O63">
        <f t="shared" si="11"/>
        <v>-742705.79509376222</v>
      </c>
      <c r="P63">
        <f>SUM(D63:O63)</f>
        <v>-8101735.2825370487</v>
      </c>
      <c r="Q63" s="96"/>
    </row>
    <row r="64" spans="1:17">
      <c r="C64" s="99"/>
      <c r="D64" s="49"/>
      <c r="Q64" s="96"/>
    </row>
    <row r="65" spans="2:17">
      <c r="C65" s="99"/>
      <c r="Q65" s="96"/>
    </row>
    <row r="66" spans="2:17">
      <c r="B66" t="s">
        <v>350</v>
      </c>
      <c r="C66" s="99"/>
      <c r="Q66" s="96"/>
    </row>
    <row r="67" spans="2:17">
      <c r="C67" s="99"/>
      <c r="Q67" s="96"/>
    </row>
    <row r="68" spans="2:17">
      <c r="C68" s="62"/>
      <c r="Q68" s="96"/>
    </row>
    <row r="69" spans="2:17">
      <c r="Q69" s="96"/>
    </row>
    <row r="70" spans="2:17">
      <c r="Q70" s="96"/>
    </row>
    <row r="71" spans="2:17">
      <c r="B71" t="s">
        <v>342</v>
      </c>
      <c r="Q71" s="96"/>
    </row>
    <row r="72" spans="2:17">
      <c r="B72" t="s">
        <v>413</v>
      </c>
      <c r="O72" s="62"/>
      <c r="Q72" s="96"/>
    </row>
    <row r="73" spans="2:17">
      <c r="O73" s="62"/>
      <c r="Q73" s="96"/>
    </row>
    <row r="74" spans="2:17">
      <c r="O74" s="62"/>
      <c r="Q74" s="96"/>
    </row>
    <row r="75" spans="2:17">
      <c r="Q75" s="96"/>
    </row>
    <row r="76" spans="2:17">
      <c r="Q76" s="96"/>
    </row>
    <row r="77" spans="2:17">
      <c r="Q77" s="96"/>
    </row>
    <row r="78" spans="2:17">
      <c r="Q78" s="96"/>
    </row>
    <row r="79" spans="2:17">
      <c r="Q79" s="96"/>
    </row>
    <row r="80" spans="2:17">
      <c r="Q80" s="96"/>
    </row>
    <row r="81" spans="17:17">
      <c r="Q81" s="96"/>
    </row>
    <row r="82" spans="17:17">
      <c r="Q82" s="96"/>
    </row>
    <row r="83" spans="17:17">
      <c r="Q83" s="96"/>
    </row>
    <row r="84" spans="17:17">
      <c r="Q84" s="96"/>
    </row>
    <row r="85" spans="17:17">
      <c r="Q85" s="96"/>
    </row>
    <row r="86" spans="17:17">
      <c r="Q86" s="96"/>
    </row>
    <row r="87" spans="17:17">
      <c r="Q87" s="96"/>
    </row>
    <row r="88" spans="17:17">
      <c r="Q88" s="96"/>
    </row>
    <row r="89" spans="17:17">
      <c r="Q89" s="96"/>
    </row>
    <row r="90" spans="17:17">
      <c r="Q90" s="96"/>
    </row>
    <row r="91" spans="17:17">
      <c r="Q91" s="96"/>
    </row>
    <row r="92" spans="17:17">
      <c r="Q92" s="96"/>
    </row>
    <row r="93" spans="17:17">
      <c r="Q93" s="96"/>
    </row>
    <row r="94" spans="17:17">
      <c r="Q94" s="96"/>
    </row>
    <row r="95" spans="17:17">
      <c r="Q95" s="96"/>
    </row>
    <row r="96" spans="17:17">
      <c r="Q96" s="96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65" header="0.25" footer="0.25"/>
  <pageSetup scale="47" fitToHeight="2" orientation="landscape" r:id="rId1"/>
  <headerFooter alignWithMargins="0">
    <oddHeader xml:space="preserve">&amp;RCASE NO. 2024-00276 
FR 16(8)(c)
ATTACHMENT 1
</oddHeader>
    <oddFooter>&amp;RSchedule &amp;A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3D275-DE1E-44C6-9091-DD8EDA9C3423}">
  <sheetPr>
    <tabColor rgb="FF92D050"/>
  </sheetPr>
  <dimension ref="A1:S63"/>
  <sheetViews>
    <sheetView view="pageBreakPreview" zoomScale="80" zoomScaleNormal="100" zoomScaleSheetLayoutView="80" workbookViewId="0">
      <selection sqref="A1:O1"/>
    </sheetView>
  </sheetViews>
  <sheetFormatPr defaultColWidth="8.88671875" defaultRowHeight="15"/>
  <cols>
    <col min="1" max="1" width="4.6640625" customWidth="1"/>
    <col min="2" max="2" width="40.6640625" customWidth="1"/>
    <col min="3" max="8" width="11" bestFit="1" customWidth="1"/>
    <col min="9" max="10" width="10.88671875" customWidth="1"/>
    <col min="11" max="11" width="11" bestFit="1" customWidth="1"/>
    <col min="12" max="12" width="11.109375" customWidth="1"/>
    <col min="13" max="13" width="12.33203125" customWidth="1"/>
    <col min="14" max="14" width="12.6640625" customWidth="1"/>
    <col min="15" max="15" width="13.77734375" customWidth="1"/>
    <col min="16" max="16" width="9.77734375" bestFit="1" customWidth="1"/>
    <col min="17" max="17" width="11.44140625" bestFit="1" customWidth="1"/>
  </cols>
  <sheetData>
    <row r="1" spans="1:19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9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19">
      <c r="A3" s="185" t="s">
        <v>365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19">
      <c r="A4" s="185" t="s">
        <v>409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19">
      <c r="B5" s="60"/>
      <c r="C5" s="60"/>
      <c r="D5" s="60"/>
      <c r="E5" s="60"/>
      <c r="F5" s="47"/>
      <c r="G5" s="60"/>
      <c r="H5" s="60"/>
      <c r="I5" s="60"/>
      <c r="Q5" s="60"/>
    </row>
    <row r="6" spans="1:19">
      <c r="A6" s="61" t="str">
        <f>'C.2.1 B'!A6</f>
        <v>Data:___X____Base Period________Forecasted Period</v>
      </c>
      <c r="I6" s="60"/>
      <c r="O6" s="62" t="s">
        <v>366</v>
      </c>
    </row>
    <row r="7" spans="1:19">
      <c r="A7" s="61" t="str">
        <f>'C.2.1 B'!A7</f>
        <v>Type of Filing:___X____Original________Updated ________Revised</v>
      </c>
      <c r="I7" s="60"/>
      <c r="N7" s="74"/>
      <c r="O7" s="63" t="s">
        <v>367</v>
      </c>
    </row>
    <row r="8" spans="1:19">
      <c r="A8" s="64" t="str">
        <f>'C.2.1 B'!A8</f>
        <v>Workpaper Reference No(s).____________________</v>
      </c>
      <c r="B8" s="58"/>
      <c r="C8" s="65"/>
      <c r="D8" s="65"/>
      <c r="E8" s="65"/>
      <c r="F8" s="65"/>
      <c r="G8" s="65"/>
      <c r="H8" s="65"/>
      <c r="I8" s="60"/>
      <c r="J8" s="65"/>
      <c r="K8" s="58"/>
      <c r="L8" s="58"/>
      <c r="M8" s="58"/>
      <c r="N8" s="70"/>
      <c r="O8" s="66" t="s">
        <v>368</v>
      </c>
    </row>
    <row r="9" spans="1:19">
      <c r="A9" s="67" t="s">
        <v>22</v>
      </c>
      <c r="C9" s="68" t="str">
        <f>'C.2.2 B 09'!D9</f>
        <v>actual</v>
      </c>
      <c r="D9" s="68" t="str">
        <f>'C.2.2 B 09'!E9</f>
        <v>actual</v>
      </c>
      <c r="E9" s="68" t="str">
        <f>'C.2.2 B 09'!F9</f>
        <v>actual</v>
      </c>
      <c r="F9" s="68" t="str">
        <f>'C.2.2 B 09'!G9</f>
        <v>actual</v>
      </c>
      <c r="G9" s="68" t="str">
        <f>'C.2.2 B 09'!H9</f>
        <v>actual</v>
      </c>
      <c r="H9" s="68" t="str">
        <f>'C.2.2 B 09'!I9</f>
        <v>actual</v>
      </c>
      <c r="I9" s="85" t="str">
        <f>'C.2.2 B 09'!J9</f>
        <v>Budgeted</v>
      </c>
      <c r="J9" s="68" t="str">
        <f>'C.2.2 B 09'!K9</f>
        <v>Budgeted</v>
      </c>
      <c r="K9" s="68" t="str">
        <f>'C.2.2 B 09'!L9</f>
        <v>Budgeted</v>
      </c>
      <c r="L9" s="68" t="str">
        <f>'C.2.2 B 09'!M9</f>
        <v>Budgeted</v>
      </c>
      <c r="M9" s="68" t="str">
        <f>'C.2.2 B 09'!N9</f>
        <v>Budgeted</v>
      </c>
      <c r="N9" s="68" t="str">
        <f>'C.2.2 B 09'!O9</f>
        <v>Budgeted</v>
      </c>
      <c r="O9" s="75"/>
    </row>
    <row r="10" spans="1:19">
      <c r="A10" s="69" t="s">
        <v>25</v>
      </c>
      <c r="B10" s="70" t="s">
        <v>369</v>
      </c>
      <c r="C10" s="76">
        <f>'C.2.2 B 09'!D10</f>
        <v>45292</v>
      </c>
      <c r="D10" s="76">
        <f>'C.2.2 B 09'!E10</f>
        <v>45323</v>
      </c>
      <c r="E10" s="76">
        <f>'C.2.2 B 09'!F10</f>
        <v>45352</v>
      </c>
      <c r="F10" s="76">
        <f>'C.2.2 B 09'!G10</f>
        <v>45383</v>
      </c>
      <c r="G10" s="76">
        <f>'C.2.2 B 09'!H10</f>
        <v>45413</v>
      </c>
      <c r="H10" s="76">
        <f>'C.2.2 B 09'!I10</f>
        <v>45444</v>
      </c>
      <c r="I10" s="76">
        <f>'C.2.2 B 09'!J10</f>
        <v>45474</v>
      </c>
      <c r="J10" s="76">
        <f>'C.2.2 B 09'!K10</f>
        <v>45505</v>
      </c>
      <c r="K10" s="76">
        <f>'C.2.2 B 09'!L10</f>
        <v>45536</v>
      </c>
      <c r="L10" s="76">
        <f>'C.2.2 B 09'!M10</f>
        <v>45566</v>
      </c>
      <c r="M10" s="76">
        <f>'C.2.2 B 09'!N10</f>
        <v>45597</v>
      </c>
      <c r="N10" s="76">
        <f>'C.2.2 B 09'!O10</f>
        <v>45627</v>
      </c>
      <c r="O10" s="76" t="str">
        <f>'C.2.2 B 09'!P10</f>
        <v>Total</v>
      </c>
      <c r="P10" s="56"/>
    </row>
    <row r="11" spans="1:19"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spans="1:19" ht="15.75">
      <c r="A12" s="56">
        <v>1</v>
      </c>
      <c r="B12" s="50" t="s">
        <v>370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80"/>
    </row>
    <row r="13" spans="1:19">
      <c r="A13" s="56">
        <f>A12+1</f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P13" s="80"/>
    </row>
    <row r="14" spans="1:19">
      <c r="A14" s="56">
        <f t="shared" ref="A14:A58" si="0">A13+1</f>
        <v>3</v>
      </c>
      <c r="B14" t="s">
        <v>371</v>
      </c>
      <c r="C14" s="78">
        <v>31158.06</v>
      </c>
      <c r="D14" s="78">
        <v>24299.229999999996</v>
      </c>
      <c r="E14" s="78">
        <v>25933.730000000003</v>
      </c>
      <c r="F14" s="78">
        <v>16416.84</v>
      </c>
      <c r="G14" s="78">
        <v>55529.839999999989</v>
      </c>
      <c r="H14" s="78">
        <v>24109.53</v>
      </c>
      <c r="I14" s="78">
        <v>34521.22</v>
      </c>
      <c r="J14" s="78">
        <v>34521.21</v>
      </c>
      <c r="K14" s="78">
        <v>34521.22</v>
      </c>
      <c r="L14" s="78">
        <v>36713.451889204982</v>
      </c>
      <c r="M14" s="78">
        <v>36713.451889204982</v>
      </c>
      <c r="N14" s="78">
        <v>36713.451889204982</v>
      </c>
      <c r="O14" s="78">
        <f>SUM(C14:N14)</f>
        <v>391151.23566761491</v>
      </c>
      <c r="P14" s="80"/>
    </row>
    <row r="15" spans="1:19">
      <c r="A15" s="56">
        <f t="shared" si="0"/>
        <v>4</v>
      </c>
      <c r="B15" t="s">
        <v>372</v>
      </c>
      <c r="C15" s="79">
        <v>0</v>
      </c>
      <c r="D15" s="79">
        <v>210.89</v>
      </c>
      <c r="E15" s="79">
        <v>92.490000000000009</v>
      </c>
      <c r="F15" s="79">
        <v>-303.38</v>
      </c>
      <c r="G15" s="79">
        <v>0</v>
      </c>
      <c r="H15" s="79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9">
        <f t="shared" ref="O15:O22" si="1">SUM(C15:N15)</f>
        <v>0</v>
      </c>
      <c r="P15" s="80"/>
    </row>
    <row r="16" spans="1:19">
      <c r="A16" s="56">
        <f t="shared" si="0"/>
        <v>5</v>
      </c>
      <c r="B16" t="s">
        <v>373</v>
      </c>
      <c r="C16" s="79">
        <v>1107840</v>
      </c>
      <c r="D16" s="79">
        <v>107840</v>
      </c>
      <c r="E16" s="79">
        <v>1107840</v>
      </c>
      <c r="F16" s="79">
        <v>1107840</v>
      </c>
      <c r="G16" s="79">
        <v>1107840</v>
      </c>
      <c r="H16" s="79">
        <v>1107840</v>
      </c>
      <c r="I16" s="78">
        <v>1107840</v>
      </c>
      <c r="J16" s="78">
        <v>1107840</v>
      </c>
      <c r="K16" s="78">
        <v>1107840</v>
      </c>
      <c r="L16" s="78">
        <v>783971</v>
      </c>
      <c r="M16" s="78">
        <v>783971</v>
      </c>
      <c r="N16" s="78">
        <v>783971</v>
      </c>
      <c r="O16" s="79">
        <f>SUM(C16:N16)</f>
        <v>11322473</v>
      </c>
      <c r="P16" s="80"/>
      <c r="R16" s="81"/>
      <c r="S16" s="81"/>
    </row>
    <row r="17" spans="1:18">
      <c r="A17" s="56">
        <f t="shared" si="0"/>
        <v>6</v>
      </c>
      <c r="B17" t="s">
        <v>374</v>
      </c>
      <c r="C17" s="79">
        <v>5654.22</v>
      </c>
      <c r="D17" s="79">
        <v>5654.22</v>
      </c>
      <c r="E17" s="79">
        <v>5654.22</v>
      </c>
      <c r="F17" s="79">
        <v>67477.429999999993</v>
      </c>
      <c r="G17" s="79">
        <v>13385.25</v>
      </c>
      <c r="H17" s="79">
        <v>13385.25</v>
      </c>
      <c r="I17" s="78">
        <v>85809.68</v>
      </c>
      <c r="J17" s="78">
        <v>11619.68</v>
      </c>
      <c r="K17" s="78">
        <v>11619.68</v>
      </c>
      <c r="L17" s="78">
        <v>5810</v>
      </c>
      <c r="M17" s="78">
        <v>5810</v>
      </c>
      <c r="N17" s="78">
        <v>5810</v>
      </c>
      <c r="O17" s="79">
        <f t="shared" si="1"/>
        <v>237689.62999999998</v>
      </c>
      <c r="P17" s="80"/>
      <c r="Q17" s="54"/>
    </row>
    <row r="18" spans="1:18">
      <c r="A18" s="56">
        <f t="shared" si="0"/>
        <v>7</v>
      </c>
      <c r="B18" t="s">
        <v>375</v>
      </c>
      <c r="C18" s="79">
        <v>95.4</v>
      </c>
      <c r="D18" s="79">
        <v>0</v>
      </c>
      <c r="E18" s="79">
        <v>82.25</v>
      </c>
      <c r="F18" s="79">
        <v>89.2</v>
      </c>
      <c r="G18" s="79">
        <v>49</v>
      </c>
      <c r="H18" s="79">
        <v>0</v>
      </c>
      <c r="I18" s="78">
        <v>0</v>
      </c>
      <c r="J18" s="78">
        <v>218</v>
      </c>
      <c r="K18" s="78">
        <v>102</v>
      </c>
      <c r="L18" s="78">
        <v>0</v>
      </c>
      <c r="M18" s="78">
        <v>80</v>
      </c>
      <c r="N18" s="78">
        <v>387</v>
      </c>
      <c r="O18" s="79">
        <f t="shared" si="1"/>
        <v>1102.8499999999999</v>
      </c>
      <c r="P18" s="80"/>
    </row>
    <row r="19" spans="1:18" ht="17.25" customHeight="1">
      <c r="A19" s="56">
        <f t="shared" si="0"/>
        <v>8</v>
      </c>
      <c r="B19" t="s">
        <v>376</v>
      </c>
      <c r="C19" s="79">
        <v>25148.2</v>
      </c>
      <c r="D19" s="79">
        <v>25148.2</v>
      </c>
      <c r="E19" s="79">
        <v>25148.2</v>
      </c>
      <c r="F19" s="79">
        <v>25148.2</v>
      </c>
      <c r="G19" s="79">
        <v>25148.2</v>
      </c>
      <c r="H19" s="79">
        <v>25148.23</v>
      </c>
      <c r="I19" s="78">
        <v>25239</v>
      </c>
      <c r="J19" s="78">
        <v>25239</v>
      </c>
      <c r="K19" s="78">
        <v>25239</v>
      </c>
      <c r="L19" s="78">
        <v>25239</v>
      </c>
      <c r="M19" s="78">
        <v>25239</v>
      </c>
      <c r="N19" s="78">
        <v>25239</v>
      </c>
      <c r="O19" s="79">
        <f t="shared" si="1"/>
        <v>302323.23</v>
      </c>
      <c r="P19" s="80"/>
    </row>
    <row r="20" spans="1:18">
      <c r="A20" s="56">
        <f t="shared" si="0"/>
        <v>9</v>
      </c>
      <c r="B20" t="s">
        <v>377</v>
      </c>
      <c r="C20" s="79">
        <v>20767</v>
      </c>
      <c r="D20" s="79">
        <v>15546</v>
      </c>
      <c r="E20" s="79">
        <v>15634.49</v>
      </c>
      <c r="F20" s="79">
        <v>16310.68</v>
      </c>
      <c r="G20" s="79">
        <v>22873.65</v>
      </c>
      <c r="H20" s="79">
        <v>7358.75</v>
      </c>
      <c r="I20" s="79">
        <v>10539.93</v>
      </c>
      <c r="J20" s="79">
        <v>10539.93</v>
      </c>
      <c r="K20" s="79">
        <v>10539.93</v>
      </c>
      <c r="L20" s="79">
        <v>10843.474128119682</v>
      </c>
      <c r="M20" s="79">
        <v>10843.474128119682</v>
      </c>
      <c r="N20" s="79">
        <v>10843.474128119682</v>
      </c>
      <c r="O20" s="79">
        <f t="shared" si="1"/>
        <v>162640.78238435902</v>
      </c>
    </row>
    <row r="21" spans="1:18" ht="15.75">
      <c r="A21" s="56">
        <f t="shared" si="0"/>
        <v>10</v>
      </c>
      <c r="B21" t="s">
        <v>378</v>
      </c>
      <c r="C21" s="79">
        <v>27330.79</v>
      </c>
      <c r="D21" s="79">
        <v>21967.22</v>
      </c>
      <c r="E21" s="79">
        <v>21765.17</v>
      </c>
      <c r="F21" s="79">
        <v>22787.3</v>
      </c>
      <c r="G21" s="79">
        <v>33520.120000000003</v>
      </c>
      <c r="H21" s="79">
        <v>10614.44</v>
      </c>
      <c r="I21" s="79">
        <v>17445.96</v>
      </c>
      <c r="J21" s="79">
        <v>17445.96</v>
      </c>
      <c r="K21" s="79">
        <v>17445.96</v>
      </c>
      <c r="L21" s="79">
        <v>16170.353634810284</v>
      </c>
      <c r="M21" s="79">
        <v>38592.753634810288</v>
      </c>
      <c r="N21" s="79">
        <v>16170.353634810283</v>
      </c>
      <c r="O21" s="79">
        <f t="shared" si="1"/>
        <v>261256.38090443084</v>
      </c>
      <c r="R21" s="44"/>
    </row>
    <row r="22" spans="1:18">
      <c r="A22" s="56">
        <f t="shared" si="0"/>
        <v>11</v>
      </c>
      <c r="B22" t="s">
        <v>379</v>
      </c>
      <c r="C22" s="79">
        <v>21435.4</v>
      </c>
      <c r="D22" s="79">
        <v>19642.05</v>
      </c>
      <c r="E22" s="79">
        <v>17954.439999999999</v>
      </c>
      <c r="F22" s="79">
        <v>23681.77</v>
      </c>
      <c r="G22" s="79">
        <v>20744.68</v>
      </c>
      <c r="H22" s="79">
        <v>17708.060000000001</v>
      </c>
      <c r="I22" s="79">
        <v>6288</v>
      </c>
      <c r="J22" s="79">
        <v>6288</v>
      </c>
      <c r="K22" s="79">
        <v>6288</v>
      </c>
      <c r="L22" s="79">
        <v>7842.4321811012924</v>
      </c>
      <c r="M22" s="79">
        <v>7842.4321811012933</v>
      </c>
      <c r="N22" s="79">
        <v>7842.4321811012924</v>
      </c>
      <c r="O22" s="79">
        <f t="shared" si="1"/>
        <v>163557.69654330387</v>
      </c>
    </row>
    <row r="23" spans="1:18">
      <c r="A23" s="56">
        <f t="shared" si="0"/>
        <v>12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1:18">
      <c r="A24" s="56">
        <f t="shared" si="0"/>
        <v>13</v>
      </c>
      <c r="B24" t="s">
        <v>246</v>
      </c>
      <c r="C24" s="82">
        <f t="shared" ref="C24:H24" si="2">SUM(C12:C22)</f>
        <v>1239429.0699999998</v>
      </c>
      <c r="D24" s="82">
        <f t="shared" si="2"/>
        <v>220307.81</v>
      </c>
      <c r="E24" s="82">
        <f t="shared" si="2"/>
        <v>1220104.9899999998</v>
      </c>
      <c r="F24" s="82">
        <f t="shared" si="2"/>
        <v>1279448.0399999998</v>
      </c>
      <c r="G24" s="82">
        <f t="shared" si="2"/>
        <v>1279090.74</v>
      </c>
      <c r="H24" s="82">
        <f t="shared" si="2"/>
        <v>1206164.26</v>
      </c>
      <c r="I24" s="82">
        <f t="shared" ref="I24:N24" si="3">SUM(I12:I23)</f>
        <v>1287683.7899999998</v>
      </c>
      <c r="J24" s="82">
        <f t="shared" si="3"/>
        <v>1213711.7799999998</v>
      </c>
      <c r="K24" s="82">
        <f t="shared" si="3"/>
        <v>1213595.7899999998</v>
      </c>
      <c r="L24" s="82">
        <f t="shared" si="3"/>
        <v>886589.71183323627</v>
      </c>
      <c r="M24" s="82">
        <f t="shared" si="3"/>
        <v>909092.1118332363</v>
      </c>
      <c r="N24" s="82">
        <f t="shared" si="3"/>
        <v>886976.71183323627</v>
      </c>
      <c r="O24" s="82">
        <f>SUM(C24:N24)</f>
        <v>12842194.805499708</v>
      </c>
    </row>
    <row r="25" spans="1:18">
      <c r="A25" s="56">
        <f t="shared" si="0"/>
        <v>14</v>
      </c>
    </row>
    <row r="26" spans="1:18">
      <c r="A26" s="56">
        <f t="shared" si="0"/>
        <v>15</v>
      </c>
    </row>
    <row r="27" spans="1:18" ht="15.75">
      <c r="A27" s="56">
        <f>A26+1</f>
        <v>16</v>
      </c>
      <c r="B27" s="50" t="s">
        <v>380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spans="1:18">
      <c r="A28" s="56">
        <f t="shared" si="0"/>
        <v>17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1:18">
      <c r="A29" s="56">
        <f t="shared" si="0"/>
        <v>18</v>
      </c>
      <c r="B29" t="s">
        <v>371</v>
      </c>
      <c r="C29" s="78">
        <v>537320.01</v>
      </c>
      <c r="D29" s="78">
        <v>431152.57999999984</v>
      </c>
      <c r="E29" s="78">
        <v>420679.5199999999</v>
      </c>
      <c r="F29" s="78">
        <v>442603.00999999989</v>
      </c>
      <c r="G29" s="78">
        <v>678464.2899999998</v>
      </c>
      <c r="H29" s="78">
        <v>176422.84999999998</v>
      </c>
      <c r="I29" s="78">
        <v>375942</v>
      </c>
      <c r="J29" s="78">
        <v>375942</v>
      </c>
      <c r="K29" s="78">
        <v>375942</v>
      </c>
      <c r="L29" s="78">
        <v>388440.48447281</v>
      </c>
      <c r="M29" s="78">
        <v>388440.48447281006</v>
      </c>
      <c r="N29" s="78">
        <v>388440.48447280994</v>
      </c>
      <c r="O29" s="78">
        <f t="shared" ref="O29:O34" si="4">SUM(C29:N29)</f>
        <v>4979789.7134184297</v>
      </c>
    </row>
    <row r="30" spans="1:18">
      <c r="A30" s="56">
        <f t="shared" si="0"/>
        <v>19</v>
      </c>
      <c r="B30" t="s">
        <v>381</v>
      </c>
      <c r="C30" s="79">
        <v>61460.53</v>
      </c>
      <c r="D30" s="79">
        <v>50200</v>
      </c>
      <c r="E30" s="79">
        <v>55700</v>
      </c>
      <c r="F30" s="79">
        <v>55700</v>
      </c>
      <c r="G30" s="79">
        <v>55700</v>
      </c>
      <c r="H30" s="79">
        <v>55700</v>
      </c>
      <c r="I30" s="79">
        <v>61300</v>
      </c>
      <c r="J30" s="79">
        <v>61300</v>
      </c>
      <c r="K30" s="79">
        <v>61300</v>
      </c>
      <c r="L30" s="79">
        <v>55800</v>
      </c>
      <c r="M30" s="79">
        <v>55800</v>
      </c>
      <c r="N30" s="79">
        <v>55800</v>
      </c>
      <c r="O30" s="79">
        <f t="shared" si="4"/>
        <v>685760.53</v>
      </c>
    </row>
    <row r="31" spans="1:18">
      <c r="A31" s="56">
        <f t="shared" si="0"/>
        <v>20</v>
      </c>
      <c r="B31" t="s">
        <v>372</v>
      </c>
      <c r="C31" s="79">
        <v>281.74</v>
      </c>
      <c r="D31" s="79">
        <v>145.88999999999999</v>
      </c>
      <c r="E31" s="79">
        <v>690.23</v>
      </c>
      <c r="F31" s="79">
        <v>730.09</v>
      </c>
      <c r="G31" s="79">
        <v>561.62</v>
      </c>
      <c r="H31" s="79">
        <v>534.63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f t="shared" si="4"/>
        <v>2944.2000000000003</v>
      </c>
    </row>
    <row r="32" spans="1:18">
      <c r="A32" s="56">
        <f t="shared" si="0"/>
        <v>21</v>
      </c>
      <c r="B32" t="s">
        <v>382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f t="shared" si="4"/>
        <v>0</v>
      </c>
    </row>
    <row r="33" spans="1:15">
      <c r="A33" s="56">
        <f t="shared" si="0"/>
        <v>22</v>
      </c>
      <c r="C33" s="86"/>
      <c r="D33" s="86"/>
      <c r="E33" s="86"/>
      <c r="F33" s="79"/>
      <c r="G33" s="79"/>
      <c r="H33" s="79"/>
      <c r="I33" s="79"/>
      <c r="J33" s="79"/>
      <c r="K33" s="79"/>
      <c r="L33" s="79"/>
      <c r="M33" s="79"/>
      <c r="N33" s="79"/>
    </row>
    <row r="34" spans="1:15">
      <c r="A34" s="56">
        <f t="shared" si="0"/>
        <v>23</v>
      </c>
      <c r="B34" t="s">
        <v>383</v>
      </c>
      <c r="C34" s="82">
        <f t="shared" ref="C34:N34" si="5">SUM(C27:C32)</f>
        <v>599062.28</v>
      </c>
      <c r="D34" s="82">
        <f t="shared" si="5"/>
        <v>481498.46999999986</v>
      </c>
      <c r="E34" s="82">
        <f t="shared" si="5"/>
        <v>477069.74999999988</v>
      </c>
      <c r="F34" s="82">
        <f t="shared" si="5"/>
        <v>499033.09999999992</v>
      </c>
      <c r="G34" s="82">
        <f t="shared" si="5"/>
        <v>734725.9099999998</v>
      </c>
      <c r="H34" s="82">
        <f t="shared" si="5"/>
        <v>232657.47999999998</v>
      </c>
      <c r="I34" s="82">
        <f t="shared" si="5"/>
        <v>437242</v>
      </c>
      <c r="J34" s="82">
        <f t="shared" si="5"/>
        <v>437242</v>
      </c>
      <c r="K34" s="82">
        <f t="shared" si="5"/>
        <v>437242</v>
      </c>
      <c r="L34" s="82">
        <f t="shared" si="5"/>
        <v>444240.48447281</v>
      </c>
      <c r="M34" s="82">
        <f t="shared" si="5"/>
        <v>444240.48447281006</v>
      </c>
      <c r="N34" s="82">
        <f t="shared" si="5"/>
        <v>444240.48447280994</v>
      </c>
      <c r="O34" s="82">
        <f t="shared" si="4"/>
        <v>5668494.4434184311</v>
      </c>
    </row>
    <row r="35" spans="1:15">
      <c r="A35" s="56">
        <f t="shared" si="0"/>
        <v>24</v>
      </c>
    </row>
    <row r="36" spans="1:15">
      <c r="A36" s="56">
        <f t="shared" si="0"/>
        <v>25</v>
      </c>
      <c r="B36" t="s">
        <v>384</v>
      </c>
      <c r="C36" s="82">
        <f>+C21</f>
        <v>27330.79</v>
      </c>
      <c r="D36" s="82">
        <f t="shared" ref="D36:O36" si="6">+D21</f>
        <v>21967.22</v>
      </c>
      <c r="E36" s="82">
        <f t="shared" si="6"/>
        <v>21765.17</v>
      </c>
      <c r="F36" s="82">
        <f t="shared" si="6"/>
        <v>22787.3</v>
      </c>
      <c r="G36" s="82">
        <f t="shared" si="6"/>
        <v>33520.120000000003</v>
      </c>
      <c r="H36" s="82">
        <f t="shared" si="6"/>
        <v>10614.44</v>
      </c>
      <c r="I36" s="82">
        <f t="shared" si="6"/>
        <v>17445.96</v>
      </c>
      <c r="J36" s="82">
        <f t="shared" si="6"/>
        <v>17445.96</v>
      </c>
      <c r="K36" s="82">
        <f t="shared" si="6"/>
        <v>17445.96</v>
      </c>
      <c r="L36" s="82">
        <f t="shared" si="6"/>
        <v>16170.353634810284</v>
      </c>
      <c r="M36" s="82">
        <f t="shared" si="6"/>
        <v>38592.753634810288</v>
      </c>
      <c r="N36" s="82">
        <f t="shared" si="6"/>
        <v>16170.353634810283</v>
      </c>
      <c r="O36" s="82">
        <f t="shared" si="6"/>
        <v>261256.38090443084</v>
      </c>
    </row>
    <row r="37" spans="1:15">
      <c r="A37" s="56">
        <f t="shared" si="0"/>
        <v>26</v>
      </c>
    </row>
    <row r="38" spans="1:15">
      <c r="A38" s="56">
        <f t="shared" si="0"/>
        <v>27</v>
      </c>
    </row>
    <row r="39" spans="1:15" ht="15.75">
      <c r="A39" s="56">
        <f t="shared" si="0"/>
        <v>28</v>
      </c>
      <c r="B39" s="50" t="s">
        <v>385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spans="1:15">
      <c r="A40" s="56">
        <f t="shared" si="0"/>
        <v>29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</row>
    <row r="41" spans="1:15">
      <c r="A41" s="56">
        <f t="shared" si="0"/>
        <v>30</v>
      </c>
      <c r="B41" t="s">
        <v>371</v>
      </c>
      <c r="C41" s="78">
        <v>337006.07000000007</v>
      </c>
      <c r="D41" s="78">
        <v>248261.93</v>
      </c>
      <c r="E41" s="78">
        <v>245803.37</v>
      </c>
      <c r="F41" s="78">
        <v>258346.00000000003</v>
      </c>
      <c r="G41" s="78">
        <v>380082.30000000005</v>
      </c>
      <c r="H41" s="78">
        <v>92297.18</v>
      </c>
      <c r="I41" s="78">
        <v>215959</v>
      </c>
      <c r="J41" s="78">
        <v>215959</v>
      </c>
      <c r="K41" s="78">
        <v>215959</v>
      </c>
      <c r="L41" s="78">
        <v>251797.6408824088</v>
      </c>
      <c r="M41" s="78">
        <v>251797.64088240883</v>
      </c>
      <c r="N41" s="78">
        <v>251797.64088240883</v>
      </c>
      <c r="O41" s="78">
        <f t="shared" ref="O41:O44" si="7">SUM(C41:N41)</f>
        <v>2965066.7726472262</v>
      </c>
    </row>
    <row r="42" spans="1:15">
      <c r="A42" s="56">
        <f t="shared" si="0"/>
        <v>31</v>
      </c>
      <c r="B42" t="s">
        <v>381</v>
      </c>
      <c r="C42" s="79">
        <v>48200</v>
      </c>
      <c r="D42" s="79">
        <v>40100</v>
      </c>
      <c r="E42" s="79">
        <v>44200</v>
      </c>
      <c r="F42" s="79">
        <v>44200</v>
      </c>
      <c r="G42" s="79">
        <v>44200</v>
      </c>
      <c r="H42" s="79">
        <v>44200</v>
      </c>
      <c r="I42" s="79">
        <v>48200</v>
      </c>
      <c r="J42" s="79">
        <v>48200</v>
      </c>
      <c r="K42" s="79">
        <v>48200</v>
      </c>
      <c r="L42" s="79">
        <v>46100</v>
      </c>
      <c r="M42" s="79">
        <v>46100</v>
      </c>
      <c r="N42" s="79">
        <v>46100</v>
      </c>
      <c r="O42" s="79">
        <f t="shared" si="7"/>
        <v>548000</v>
      </c>
    </row>
    <row r="43" spans="1:15">
      <c r="A43" s="56">
        <f t="shared" si="0"/>
        <v>32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1:15">
      <c r="A44" s="56">
        <f t="shared" si="0"/>
        <v>33</v>
      </c>
      <c r="B44" t="s">
        <v>383</v>
      </c>
      <c r="C44" s="82">
        <f t="shared" ref="C44:N44" si="8">SUM(C39:C42)</f>
        <v>385206.07000000007</v>
      </c>
      <c r="D44" s="82">
        <f t="shared" si="8"/>
        <v>288361.93</v>
      </c>
      <c r="E44" s="82">
        <f t="shared" si="8"/>
        <v>290003.37</v>
      </c>
      <c r="F44" s="82">
        <f t="shared" si="8"/>
        <v>302546</v>
      </c>
      <c r="G44" s="82">
        <f t="shared" si="8"/>
        <v>424282.30000000005</v>
      </c>
      <c r="H44" s="82">
        <f t="shared" si="8"/>
        <v>136497.18</v>
      </c>
      <c r="I44" s="82">
        <f>SUM(I39:I42)</f>
        <v>264159</v>
      </c>
      <c r="J44" s="82">
        <f>SUM(J39:J42)</f>
        <v>264159</v>
      </c>
      <c r="K44" s="82">
        <f t="shared" si="8"/>
        <v>264159</v>
      </c>
      <c r="L44" s="82">
        <f t="shared" si="8"/>
        <v>297897.64088240883</v>
      </c>
      <c r="M44" s="82">
        <f t="shared" si="8"/>
        <v>297897.64088240883</v>
      </c>
      <c r="N44" s="82">
        <f t="shared" si="8"/>
        <v>297897.64088240883</v>
      </c>
      <c r="O44" s="82">
        <f t="shared" si="7"/>
        <v>3513066.7726472262</v>
      </c>
    </row>
    <row r="45" spans="1:15">
      <c r="A45" s="56">
        <f t="shared" si="0"/>
        <v>34</v>
      </c>
    </row>
    <row r="46" spans="1:15">
      <c r="A46" s="56">
        <f t="shared" si="0"/>
        <v>35</v>
      </c>
      <c r="B46" t="s">
        <v>384</v>
      </c>
      <c r="C46" s="82">
        <f>+C20</f>
        <v>20767</v>
      </c>
      <c r="D46" s="82">
        <f t="shared" ref="D46:O46" si="9">+D20</f>
        <v>15546</v>
      </c>
      <c r="E46" s="82">
        <f t="shared" si="9"/>
        <v>15634.49</v>
      </c>
      <c r="F46" s="82">
        <f t="shared" si="9"/>
        <v>16310.68</v>
      </c>
      <c r="G46" s="82">
        <f t="shared" si="9"/>
        <v>22873.65</v>
      </c>
      <c r="H46" s="82">
        <f t="shared" si="9"/>
        <v>7358.75</v>
      </c>
      <c r="I46" s="82">
        <f t="shared" si="9"/>
        <v>10539.93</v>
      </c>
      <c r="J46" s="82">
        <f t="shared" si="9"/>
        <v>10539.93</v>
      </c>
      <c r="K46" s="82">
        <f t="shared" si="9"/>
        <v>10539.93</v>
      </c>
      <c r="L46" s="82">
        <f t="shared" si="9"/>
        <v>10843.474128119682</v>
      </c>
      <c r="M46" s="82">
        <f t="shared" si="9"/>
        <v>10843.474128119682</v>
      </c>
      <c r="N46" s="82">
        <f t="shared" si="9"/>
        <v>10843.474128119682</v>
      </c>
      <c r="O46" s="82">
        <f t="shared" si="9"/>
        <v>162640.78238435902</v>
      </c>
    </row>
    <row r="47" spans="1:15">
      <c r="A47" s="56">
        <f t="shared" si="0"/>
        <v>36</v>
      </c>
      <c r="J47" s="87"/>
    </row>
    <row r="48" spans="1:15">
      <c r="A48" s="56">
        <f t="shared" si="0"/>
        <v>37</v>
      </c>
    </row>
    <row r="49" spans="1:15" ht="15.75">
      <c r="A49" s="56">
        <f t="shared" si="0"/>
        <v>38</v>
      </c>
      <c r="B49" s="50" t="s">
        <v>386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5">
      <c r="A50" s="56">
        <f t="shared" si="0"/>
        <v>39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5">
      <c r="A51" s="56">
        <f t="shared" si="0"/>
        <v>40</v>
      </c>
      <c r="B51" t="s">
        <v>371</v>
      </c>
      <c r="C51" s="78">
        <v>42796.54</v>
      </c>
      <c r="D51" s="78">
        <v>39217.69</v>
      </c>
      <c r="E51" s="78">
        <v>35830.430000000008</v>
      </c>
      <c r="F51" s="78">
        <v>47291.969999999994</v>
      </c>
      <c r="G51" s="78">
        <v>41414.239999999998</v>
      </c>
      <c r="H51" s="78">
        <v>35317.339999999997</v>
      </c>
      <c r="I51" s="78">
        <v>12230</v>
      </c>
      <c r="J51" s="78">
        <v>12230</v>
      </c>
      <c r="K51" s="78">
        <v>12230</v>
      </c>
      <c r="L51" s="78">
        <v>15897.896170892544</v>
      </c>
      <c r="M51" s="78">
        <v>15897.896170892545</v>
      </c>
      <c r="N51" s="78">
        <v>15897.896170892544</v>
      </c>
      <c r="O51" s="78">
        <f>SUM(C51:N51)</f>
        <v>326251.89851267752</v>
      </c>
    </row>
    <row r="52" spans="1:15">
      <c r="A52" s="56">
        <f t="shared" si="0"/>
        <v>41</v>
      </c>
      <c r="B52" t="s">
        <v>372</v>
      </c>
      <c r="C52" s="79">
        <v>0</v>
      </c>
      <c r="D52" s="79">
        <v>0</v>
      </c>
      <c r="E52" s="79">
        <v>0</v>
      </c>
      <c r="F52" s="79"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f t="shared" ref="O52:O56" si="10">SUM(C52:N52)</f>
        <v>0</v>
      </c>
    </row>
    <row r="53" spans="1:15">
      <c r="A53" s="56">
        <f t="shared" si="0"/>
        <v>42</v>
      </c>
      <c r="B53" t="s">
        <v>381</v>
      </c>
      <c r="C53" s="79">
        <v>100</v>
      </c>
      <c r="D53" s="79">
        <v>100</v>
      </c>
      <c r="E53" s="79">
        <v>100</v>
      </c>
      <c r="F53" s="79">
        <v>100</v>
      </c>
      <c r="G53" s="79">
        <v>100</v>
      </c>
      <c r="H53" s="79">
        <v>100</v>
      </c>
      <c r="I53" s="79">
        <v>100</v>
      </c>
      <c r="J53" s="79">
        <v>100</v>
      </c>
      <c r="K53" s="79">
        <v>100</v>
      </c>
      <c r="L53" s="79">
        <v>0</v>
      </c>
      <c r="M53" s="79">
        <v>0</v>
      </c>
      <c r="N53" s="79">
        <v>0</v>
      </c>
      <c r="O53" s="79">
        <f>SUM(C53:N53)</f>
        <v>900</v>
      </c>
    </row>
    <row r="54" spans="1:15">
      <c r="A54" s="56">
        <f t="shared" si="0"/>
        <v>43</v>
      </c>
      <c r="B54" t="s">
        <v>387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f t="shared" si="10"/>
        <v>0</v>
      </c>
    </row>
    <row r="55" spans="1:15">
      <c r="A55" s="56">
        <f t="shared" si="0"/>
        <v>44</v>
      </c>
      <c r="C55" s="79"/>
      <c r="D55" s="79"/>
      <c r="E55" s="86"/>
      <c r="F55" s="86"/>
      <c r="G55" s="79"/>
      <c r="H55" s="79"/>
      <c r="I55" s="79"/>
      <c r="J55" s="79"/>
      <c r="K55" s="79"/>
      <c r="L55" s="79"/>
      <c r="M55" s="79"/>
      <c r="N55" s="79"/>
    </row>
    <row r="56" spans="1:15">
      <c r="A56" s="56">
        <f t="shared" si="0"/>
        <v>45</v>
      </c>
      <c r="B56" t="s">
        <v>383</v>
      </c>
      <c r="C56" s="82">
        <f t="shared" ref="C56:N56" si="11">SUM(C49:C54)</f>
        <v>42896.54</v>
      </c>
      <c r="D56" s="82">
        <f t="shared" si="11"/>
        <v>39317.69</v>
      </c>
      <c r="E56" s="82">
        <f t="shared" si="11"/>
        <v>35930.430000000008</v>
      </c>
      <c r="F56" s="82">
        <f t="shared" si="11"/>
        <v>47391.969999999994</v>
      </c>
      <c r="G56" s="82">
        <f t="shared" si="11"/>
        <v>41514.239999999998</v>
      </c>
      <c r="H56" s="82">
        <f t="shared" si="11"/>
        <v>35417.339999999997</v>
      </c>
      <c r="I56" s="82">
        <f t="shared" si="11"/>
        <v>12330</v>
      </c>
      <c r="J56" s="82">
        <f t="shared" si="11"/>
        <v>12330</v>
      </c>
      <c r="K56" s="82">
        <f t="shared" si="11"/>
        <v>12330</v>
      </c>
      <c r="L56" s="82">
        <f t="shared" si="11"/>
        <v>15897.896170892544</v>
      </c>
      <c r="M56" s="82">
        <f t="shared" si="11"/>
        <v>15897.896170892545</v>
      </c>
      <c r="N56" s="82">
        <f t="shared" si="11"/>
        <v>15897.896170892544</v>
      </c>
      <c r="O56" s="82">
        <f t="shared" si="10"/>
        <v>327151.89851267752</v>
      </c>
    </row>
    <row r="57" spans="1:15">
      <c r="A57" s="56">
        <f t="shared" si="0"/>
        <v>46</v>
      </c>
    </row>
    <row r="58" spans="1:15">
      <c r="A58" s="56">
        <f t="shared" si="0"/>
        <v>47</v>
      </c>
      <c r="B58" t="s">
        <v>349</v>
      </c>
      <c r="C58" s="82">
        <f>+C22</f>
        <v>21435.4</v>
      </c>
      <c r="D58" s="82">
        <f t="shared" ref="D58:O58" si="12">+D22</f>
        <v>19642.05</v>
      </c>
      <c r="E58" s="82">
        <f t="shared" si="12"/>
        <v>17954.439999999999</v>
      </c>
      <c r="F58" s="82">
        <f t="shared" si="12"/>
        <v>23681.77</v>
      </c>
      <c r="G58" s="82">
        <f t="shared" si="12"/>
        <v>20744.68</v>
      </c>
      <c r="H58" s="82">
        <f t="shared" si="12"/>
        <v>17708.060000000001</v>
      </c>
      <c r="I58" s="82">
        <f t="shared" si="12"/>
        <v>6288</v>
      </c>
      <c r="J58" s="82">
        <f t="shared" si="12"/>
        <v>6288</v>
      </c>
      <c r="K58" s="82">
        <f t="shared" si="12"/>
        <v>6288</v>
      </c>
      <c r="L58" s="82">
        <f t="shared" si="12"/>
        <v>7842.4321811012924</v>
      </c>
      <c r="M58" s="82">
        <f t="shared" si="12"/>
        <v>7842.4321811012933</v>
      </c>
      <c r="N58" s="82">
        <f t="shared" si="12"/>
        <v>7842.4321811012924</v>
      </c>
      <c r="O58" s="82">
        <f t="shared" si="12"/>
        <v>163557.69654330387</v>
      </c>
    </row>
    <row r="61" spans="1:15">
      <c r="B61" s="88" t="s">
        <v>388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</row>
    <row r="62" spans="1:15">
      <c r="B62" s="88" t="s">
        <v>417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</row>
    <row r="63" spans="1:15">
      <c r="B63" s="88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</sheetData>
  <mergeCells count="4">
    <mergeCell ref="A1:O1"/>
    <mergeCell ref="A2:O2"/>
    <mergeCell ref="A3:O3"/>
    <mergeCell ref="A4:O4"/>
  </mergeCells>
  <printOptions horizontalCentered="1"/>
  <pageMargins left="0.5" right="0.5" top="0.75" bottom="0.65" header="0.25" footer="0.25"/>
  <pageSetup scale="47" orientation="landscape" r:id="rId1"/>
  <headerFooter alignWithMargins="0">
    <oddHeader xml:space="preserve">&amp;RCASE NO. 2024-00276 
FR 16(8)(c)
ATTACHMENT 1
</oddHeader>
    <oddFooter>&amp;RSchedule &amp;A
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8556-728C-4E92-BEB0-F2F101D4BC77}">
  <sheetPr>
    <tabColor rgb="FF92D050"/>
  </sheetPr>
  <dimension ref="A1:Q63"/>
  <sheetViews>
    <sheetView view="pageBreakPreview" zoomScale="80" zoomScaleNormal="100" zoomScaleSheetLayoutView="80" workbookViewId="0">
      <selection sqref="A1:O1"/>
    </sheetView>
  </sheetViews>
  <sheetFormatPr defaultColWidth="8.88671875" defaultRowHeight="15"/>
  <cols>
    <col min="1" max="1" width="4.6640625" customWidth="1"/>
    <col min="2" max="2" width="40.6640625" customWidth="1"/>
    <col min="3" max="3" width="14.5546875" customWidth="1"/>
    <col min="4" max="5" width="11.109375" bestFit="1" customWidth="1"/>
    <col min="6" max="7" width="11" bestFit="1" customWidth="1"/>
    <col min="8" max="8" width="11.109375" bestFit="1" customWidth="1"/>
    <col min="9" max="12" width="11" bestFit="1" customWidth="1"/>
    <col min="13" max="13" width="12" bestFit="1" customWidth="1"/>
    <col min="14" max="14" width="11" bestFit="1" customWidth="1"/>
    <col min="15" max="15" width="13.88671875" customWidth="1"/>
    <col min="16" max="16" width="13.109375" bestFit="1" customWidth="1"/>
    <col min="17" max="17" width="12.5546875" bestFit="1" customWidth="1"/>
    <col min="18" max="18" width="11.44140625" bestFit="1" customWidth="1"/>
  </cols>
  <sheetData>
    <row r="1" spans="1:16" ht="14.25" customHeight="1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6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16">
      <c r="A3" s="185" t="s">
        <v>365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16">
      <c r="A4" s="185" t="s">
        <v>410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16">
      <c r="B5" s="60"/>
      <c r="C5" s="60"/>
      <c r="D5" s="60"/>
      <c r="E5" s="60"/>
      <c r="F5" s="47"/>
      <c r="G5" s="60"/>
      <c r="H5" s="60"/>
      <c r="I5" s="60"/>
      <c r="J5" s="60"/>
      <c r="K5" s="60"/>
      <c r="L5" s="60"/>
      <c r="M5" s="60"/>
      <c r="N5" s="60"/>
    </row>
    <row r="6" spans="1:16">
      <c r="A6" s="61" t="str">
        <f>'C.2.1 F'!A6</f>
        <v>Data:________Base Period___X____Forecasted Period</v>
      </c>
      <c r="O6" s="62" t="s">
        <v>366</v>
      </c>
    </row>
    <row r="7" spans="1:16">
      <c r="A7" s="61" t="str">
        <f>'C.2.1 F'!A7</f>
        <v>Type of Filing:___X____Original________Updated ________Revised</v>
      </c>
      <c r="N7" s="74"/>
      <c r="O7" s="63" t="s">
        <v>389</v>
      </c>
    </row>
    <row r="8" spans="1:16">
      <c r="A8" s="64" t="str">
        <f>'C.2.1 F'!A8</f>
        <v>Workpaper Reference No(s).____________________</v>
      </c>
      <c r="B8" s="58"/>
      <c r="C8" s="65"/>
      <c r="D8" s="65"/>
      <c r="E8" s="65"/>
      <c r="F8" s="65"/>
      <c r="G8" s="65"/>
      <c r="H8" s="65"/>
      <c r="I8" s="65"/>
      <c r="J8" s="65"/>
      <c r="K8" s="65"/>
      <c r="L8" s="58"/>
      <c r="M8" s="58"/>
      <c r="N8" s="70"/>
      <c r="O8" s="66" t="str">
        <f>'C.2.3 B'!O8</f>
        <v>Witness: Waller</v>
      </c>
    </row>
    <row r="9" spans="1:16">
      <c r="A9" s="67" t="s">
        <v>22</v>
      </c>
      <c r="C9" s="68" t="str">
        <f>'C.2.2-F 09'!D9</f>
        <v>Forecasted</v>
      </c>
      <c r="D9" s="68" t="str">
        <f>'C.2.2-F 09'!E9</f>
        <v>Forecasted</v>
      </c>
      <c r="E9" s="68" t="str">
        <f>'C.2.2-F 09'!F9</f>
        <v>Forecasted</v>
      </c>
      <c r="F9" s="68" t="str">
        <f>'C.2.2-F 09'!G9</f>
        <v>Forecasted</v>
      </c>
      <c r="G9" s="68" t="str">
        <f>'C.2.2-F 09'!H9</f>
        <v>Forecasted</v>
      </c>
      <c r="H9" s="68" t="str">
        <f>'C.2.2-F 09'!I9</f>
        <v>Forecasted</v>
      </c>
      <c r="I9" s="68" t="str">
        <f>'C.2.2-F 09'!J9</f>
        <v>Forecasted</v>
      </c>
      <c r="J9" s="68" t="str">
        <f>'C.2.2-F 09'!K9</f>
        <v>Forecasted</v>
      </c>
      <c r="K9" s="68" t="str">
        <f>'C.2.2-F 09'!L9</f>
        <v>Forecasted</v>
      </c>
      <c r="L9" s="68" t="str">
        <f>'C.2.2-F 09'!M9</f>
        <v>Forecasted</v>
      </c>
      <c r="M9" s="68" t="str">
        <f>'C.2.2-F 09'!N9</f>
        <v>Forecasted</v>
      </c>
      <c r="N9" s="68" t="str">
        <f>'C.2.2-F 09'!O9</f>
        <v>Forecasted</v>
      </c>
      <c r="O9" s="75"/>
    </row>
    <row r="10" spans="1:16">
      <c r="A10" s="69" t="s">
        <v>25</v>
      </c>
      <c r="B10" s="70" t="s">
        <v>369</v>
      </c>
      <c r="C10" s="73">
        <f>'C.2.2-F 09'!D10</f>
        <v>45748</v>
      </c>
      <c r="D10" s="73">
        <f>'C.2.2-F 09'!E10</f>
        <v>45778</v>
      </c>
      <c r="E10" s="73">
        <f>'C.2.2-F 09'!F10</f>
        <v>45809</v>
      </c>
      <c r="F10" s="73">
        <f>'C.2.2-F 09'!G10</f>
        <v>45839</v>
      </c>
      <c r="G10" s="73">
        <f>'C.2.2-F 09'!H10</f>
        <v>45870</v>
      </c>
      <c r="H10" s="73">
        <f>'C.2.2-F 09'!I10</f>
        <v>45901</v>
      </c>
      <c r="I10" s="73">
        <f>'C.2.2-F 09'!J10</f>
        <v>45931</v>
      </c>
      <c r="J10" s="73">
        <f>'C.2.2-F 09'!K10</f>
        <v>45962</v>
      </c>
      <c r="K10" s="73">
        <f>'C.2.2-F 09'!L10</f>
        <v>45992</v>
      </c>
      <c r="L10" s="73">
        <f>'C.2.2-F 09'!M10</f>
        <v>46023</v>
      </c>
      <c r="M10" s="73">
        <f>'C.2.2-F 09'!N10</f>
        <v>46054</v>
      </c>
      <c r="N10" s="73">
        <f>'C.2.2-F 09'!O10</f>
        <v>46082</v>
      </c>
      <c r="O10" s="76" t="str">
        <f>'C.2.2 B 09'!P10</f>
        <v>Total</v>
      </c>
      <c r="P10" s="56"/>
    </row>
    <row r="11" spans="1:16"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spans="1:16" ht="15.75">
      <c r="A12" s="56">
        <v>1</v>
      </c>
      <c r="B12" s="50" t="s">
        <v>370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pans="1:16">
      <c r="A13" s="56">
        <f>A12+1</f>
        <v>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</row>
    <row r="14" spans="1:16">
      <c r="A14" s="56">
        <f t="shared" ref="A14:A58" si="0">A13+1</f>
        <v>3</v>
      </c>
      <c r="B14" t="s">
        <v>390</v>
      </c>
      <c r="C14" s="78">
        <v>36713.451889204982</v>
      </c>
      <c r="D14" s="78">
        <v>36713.451889204982</v>
      </c>
      <c r="E14" s="78">
        <v>36713.451889204982</v>
      </c>
      <c r="F14" s="78">
        <v>36713.451889204982</v>
      </c>
      <c r="G14" s="78">
        <v>36713.451889204982</v>
      </c>
      <c r="H14" s="78">
        <v>36713.451889204982</v>
      </c>
      <c r="I14" s="78">
        <v>37998.422705327153</v>
      </c>
      <c r="J14" s="78">
        <v>37998.422705327153</v>
      </c>
      <c r="K14" s="78">
        <v>37998.422705327153</v>
      </c>
      <c r="L14" s="78">
        <v>37998.422705327153</v>
      </c>
      <c r="M14" s="78">
        <v>37998.422705327153</v>
      </c>
      <c r="N14" s="78">
        <v>37998.422705327153</v>
      </c>
      <c r="O14" s="78">
        <f>SUM(C14:N14)</f>
        <v>448271.24756719283</v>
      </c>
      <c r="P14" s="80"/>
    </row>
    <row r="15" spans="1:16">
      <c r="A15" s="56">
        <f t="shared" si="0"/>
        <v>4</v>
      </c>
      <c r="B15" t="s">
        <v>372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8">
        <f t="shared" ref="O15:O22" si="1">SUM(C15:N15)</f>
        <v>0</v>
      </c>
      <c r="P15" s="80"/>
    </row>
    <row r="16" spans="1:16">
      <c r="A16" s="56">
        <f t="shared" si="0"/>
        <v>5</v>
      </c>
      <c r="B16" t="s">
        <v>373</v>
      </c>
      <c r="C16" s="79">
        <f>'WP C.2.3 F'!$E$27/12</f>
        <v>1032089.3131393114</v>
      </c>
      <c r="D16" s="79">
        <f>'WP C.2.3 F'!$E$27/12</f>
        <v>1032089.3131393114</v>
      </c>
      <c r="E16" s="79">
        <f>'WP C.2.3 F'!$E$27/12</f>
        <v>1032089.3131393114</v>
      </c>
      <c r="F16" s="79">
        <f>'WP C.2.3 F'!$E$27/12</f>
        <v>1032089.3131393114</v>
      </c>
      <c r="G16" s="79">
        <f>'WP C.2.3 F'!$E$27/12</f>
        <v>1032089.3131393114</v>
      </c>
      <c r="H16" s="79">
        <f>'WP C.2.3 F'!$E$27/12</f>
        <v>1032089.3131393114</v>
      </c>
      <c r="I16" s="79">
        <f>'WP C.2.3 F'!$E$27/12</f>
        <v>1032089.3131393114</v>
      </c>
      <c r="J16" s="79">
        <f>'WP C.2.3 F'!$E$27/12</f>
        <v>1032089.3131393114</v>
      </c>
      <c r="K16" s="79">
        <f>'WP C.2.3 F'!$E$27/12</f>
        <v>1032089.3131393114</v>
      </c>
      <c r="L16" s="79">
        <f>'WP C.2.3 F'!$E$27/12</f>
        <v>1032089.3131393114</v>
      </c>
      <c r="M16" s="79">
        <f>'WP C.2.3 F'!$E$27/12</f>
        <v>1032089.3131393114</v>
      </c>
      <c r="N16" s="79">
        <f>'WP C.2.3 F'!$E$27/12</f>
        <v>1032089.3131393114</v>
      </c>
      <c r="O16" s="79">
        <f>SUM(C16:N16)</f>
        <v>12385071.757671738</v>
      </c>
      <c r="P16" s="79"/>
    </row>
    <row r="17" spans="1:17">
      <c r="A17" s="56">
        <f t="shared" si="0"/>
        <v>6</v>
      </c>
      <c r="B17" t="s">
        <v>374</v>
      </c>
      <c r="C17" s="79">
        <v>25000</v>
      </c>
      <c r="D17" s="79">
        <v>5810</v>
      </c>
      <c r="E17" s="79">
        <v>5810</v>
      </c>
      <c r="F17" s="79">
        <v>80000</v>
      </c>
      <c r="G17" s="79">
        <v>5810</v>
      </c>
      <c r="H17" s="79">
        <v>5810</v>
      </c>
      <c r="I17" s="79">
        <v>5810</v>
      </c>
      <c r="J17" s="79">
        <v>5810</v>
      </c>
      <c r="K17" s="79">
        <v>5810</v>
      </c>
      <c r="L17" s="79">
        <v>5810</v>
      </c>
      <c r="M17" s="79">
        <v>5810</v>
      </c>
      <c r="N17" s="79">
        <v>75500</v>
      </c>
      <c r="O17" s="79">
        <f t="shared" si="1"/>
        <v>232790</v>
      </c>
    </row>
    <row r="18" spans="1:17">
      <c r="A18" s="56">
        <f t="shared" si="0"/>
        <v>7</v>
      </c>
      <c r="B18" t="s">
        <v>375</v>
      </c>
      <c r="C18" s="79">
        <v>91</v>
      </c>
      <c r="D18" s="79">
        <v>50</v>
      </c>
      <c r="E18" s="79">
        <v>0</v>
      </c>
      <c r="F18" s="79">
        <v>0</v>
      </c>
      <c r="G18" s="79">
        <v>218</v>
      </c>
      <c r="H18" s="79">
        <v>102</v>
      </c>
      <c r="I18" s="79">
        <v>0</v>
      </c>
      <c r="J18" s="79">
        <v>80</v>
      </c>
      <c r="K18" s="79">
        <v>387</v>
      </c>
      <c r="L18" s="79">
        <v>87</v>
      </c>
      <c r="M18" s="79">
        <v>0</v>
      </c>
      <c r="N18" s="79">
        <v>87</v>
      </c>
      <c r="O18" s="79">
        <f t="shared" si="1"/>
        <v>1102</v>
      </c>
    </row>
    <row r="19" spans="1:17">
      <c r="A19" s="56">
        <f t="shared" si="0"/>
        <v>8</v>
      </c>
      <c r="B19" t="s">
        <v>376</v>
      </c>
      <c r="C19" s="79">
        <f>$O19/12</f>
        <v>24322.950711861937</v>
      </c>
      <c r="D19" s="79">
        <f>C19</f>
        <v>24322.950711861937</v>
      </c>
      <c r="E19" s="79">
        <f t="shared" ref="E19:N19" si="2">D19</f>
        <v>24322.950711861937</v>
      </c>
      <c r="F19" s="79">
        <f t="shared" si="2"/>
        <v>24322.950711861937</v>
      </c>
      <c r="G19" s="79">
        <f t="shared" si="2"/>
        <v>24322.950711861937</v>
      </c>
      <c r="H19" s="79">
        <f t="shared" si="2"/>
        <v>24322.950711861937</v>
      </c>
      <c r="I19" s="79">
        <f t="shared" si="2"/>
        <v>24322.950711861937</v>
      </c>
      <c r="J19" s="79">
        <f t="shared" si="2"/>
        <v>24322.950711861937</v>
      </c>
      <c r="K19" s="79">
        <f t="shared" si="2"/>
        <v>24322.950711861937</v>
      </c>
      <c r="L19" s="79">
        <f t="shared" si="2"/>
        <v>24322.950711861937</v>
      </c>
      <c r="M19" s="79">
        <f t="shared" si="2"/>
        <v>24322.950711861937</v>
      </c>
      <c r="N19" s="79">
        <f t="shared" si="2"/>
        <v>24322.950711861937</v>
      </c>
      <c r="O19" s="79">
        <v>291875.40854234324</v>
      </c>
      <c r="P19" s="81"/>
    </row>
    <row r="20" spans="1:17">
      <c r="A20" s="56">
        <f t="shared" si="0"/>
        <v>9</v>
      </c>
      <c r="B20" t="s">
        <v>377</v>
      </c>
      <c r="C20" s="79">
        <v>10989.074128119682</v>
      </c>
      <c r="D20" s="79">
        <v>10989.074128119682</v>
      </c>
      <c r="E20" s="79">
        <v>10989.074128119682</v>
      </c>
      <c r="F20" s="79">
        <v>10989.074128119682</v>
      </c>
      <c r="G20" s="79">
        <v>10989.074128119682</v>
      </c>
      <c r="H20" s="79">
        <v>10989.074128119682</v>
      </c>
      <c r="I20" s="79">
        <v>10843.474128119682</v>
      </c>
      <c r="J20" s="79">
        <v>10843.474128119682</v>
      </c>
      <c r="K20" s="79">
        <v>10843.474128119682</v>
      </c>
      <c r="L20" s="79">
        <v>10989.074128119682</v>
      </c>
      <c r="M20" s="79">
        <v>10989.074128119682</v>
      </c>
      <c r="N20" s="79">
        <v>10989.074128119682</v>
      </c>
      <c r="O20" s="79">
        <f t="shared" si="1"/>
        <v>131432.08953743617</v>
      </c>
      <c r="P20" s="79"/>
    </row>
    <row r="21" spans="1:17">
      <c r="A21" s="56">
        <f t="shared" si="0"/>
        <v>10</v>
      </c>
      <c r="B21" t="s">
        <v>378</v>
      </c>
      <c r="C21" s="79">
        <v>16439.713634810283</v>
      </c>
      <c r="D21" s="79">
        <v>16439.713634810283</v>
      </c>
      <c r="E21" s="79">
        <v>16439.713634810283</v>
      </c>
      <c r="F21" s="79">
        <v>16439.713634810283</v>
      </c>
      <c r="G21" s="79">
        <v>16439.713634810283</v>
      </c>
      <c r="H21" s="79">
        <v>16439.713634810283</v>
      </c>
      <c r="I21" s="79">
        <v>16170.353634810284</v>
      </c>
      <c r="J21" s="79">
        <v>38592.753634810288</v>
      </c>
      <c r="K21" s="79">
        <v>16170.353634810283</v>
      </c>
      <c r="L21" s="79">
        <v>16439.713634810283</v>
      </c>
      <c r="M21" s="79">
        <v>16439.713634810283</v>
      </c>
      <c r="N21" s="79">
        <v>16439.713634810283</v>
      </c>
      <c r="O21" s="79">
        <f t="shared" si="1"/>
        <v>218890.88361772342</v>
      </c>
      <c r="P21" s="79"/>
    </row>
    <row r="22" spans="1:17">
      <c r="A22" s="56">
        <f t="shared" si="0"/>
        <v>11</v>
      </c>
      <c r="B22" t="s">
        <v>379</v>
      </c>
      <c r="C22" s="79">
        <v>7842.4321811012924</v>
      </c>
      <c r="D22" s="79">
        <v>7842.4321811012915</v>
      </c>
      <c r="E22" s="79">
        <v>7842.4321811012915</v>
      </c>
      <c r="F22" s="79">
        <v>7842.4321811012924</v>
      </c>
      <c r="G22" s="79">
        <v>7842.4321811012915</v>
      </c>
      <c r="H22" s="79">
        <v>7842.4321811012924</v>
      </c>
      <c r="I22" s="79">
        <v>7842.4321811012924</v>
      </c>
      <c r="J22" s="79">
        <v>7842.4321811012933</v>
      </c>
      <c r="K22" s="79">
        <v>7842.4321811012924</v>
      </c>
      <c r="L22" s="79">
        <v>7842.4321811012924</v>
      </c>
      <c r="M22" s="79">
        <v>7842.4321811012924</v>
      </c>
      <c r="N22" s="79">
        <v>7842.4321811012915</v>
      </c>
      <c r="O22" s="79">
        <f t="shared" si="1"/>
        <v>94109.186173215508</v>
      </c>
      <c r="P22" s="79"/>
    </row>
    <row r="23" spans="1:17">
      <c r="A23" s="56">
        <f t="shared" si="0"/>
        <v>12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1:17">
      <c r="A24" s="56">
        <f t="shared" si="0"/>
        <v>13</v>
      </c>
      <c r="B24" t="s">
        <v>246</v>
      </c>
      <c r="C24" s="82">
        <f>SUM(C12:C23)</f>
        <v>1153487.9356844095</v>
      </c>
      <c r="D24" s="82">
        <f t="shared" ref="D24:N24" si="3">SUM(D12:D23)</f>
        <v>1134256.9356844095</v>
      </c>
      <c r="E24" s="82">
        <f t="shared" si="3"/>
        <v>1134206.9356844095</v>
      </c>
      <c r="F24" s="82">
        <f t="shared" si="3"/>
        <v>1208396.9356844095</v>
      </c>
      <c r="G24" s="82">
        <f t="shared" si="3"/>
        <v>1134424.9356844095</v>
      </c>
      <c r="H24" s="82">
        <f t="shared" si="3"/>
        <v>1134308.9356844095</v>
      </c>
      <c r="I24" s="82">
        <f t="shared" si="3"/>
        <v>1135076.9465005316</v>
      </c>
      <c r="J24" s="82">
        <f t="shared" si="3"/>
        <v>1157579.3465005315</v>
      </c>
      <c r="K24" s="82">
        <f t="shared" si="3"/>
        <v>1135463.9465005316</v>
      </c>
      <c r="L24" s="82">
        <f t="shared" si="3"/>
        <v>1135578.9065005316</v>
      </c>
      <c r="M24" s="82">
        <f t="shared" si="3"/>
        <v>1135491.9065005316</v>
      </c>
      <c r="N24" s="82">
        <f t="shared" si="3"/>
        <v>1205268.9065005316</v>
      </c>
      <c r="O24" s="82">
        <f>SUM(C24:N24)</f>
        <v>13803542.573109645</v>
      </c>
      <c r="P24" s="80"/>
    </row>
    <row r="25" spans="1:17">
      <c r="A25" s="56">
        <f t="shared" si="0"/>
        <v>14</v>
      </c>
    </row>
    <row r="26" spans="1:17">
      <c r="A26" s="56">
        <f t="shared" si="0"/>
        <v>15</v>
      </c>
    </row>
    <row r="27" spans="1:17" ht="15.75">
      <c r="A27" s="56">
        <f t="shared" si="0"/>
        <v>16</v>
      </c>
      <c r="B27" s="50" t="s">
        <v>380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spans="1:17">
      <c r="A28" s="56">
        <f t="shared" si="0"/>
        <v>17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</row>
    <row r="29" spans="1:17">
      <c r="A29" s="56">
        <f t="shared" si="0"/>
        <v>18</v>
      </c>
      <c r="B29" t="s">
        <v>371</v>
      </c>
      <c r="C29" s="78">
        <v>388440.48447280994</v>
      </c>
      <c r="D29" s="78">
        <v>388440.48447280994</v>
      </c>
      <c r="E29" s="78">
        <v>388440.48447280994</v>
      </c>
      <c r="F29" s="78">
        <v>388440.48447281</v>
      </c>
      <c r="G29" s="78">
        <v>388440.48447280994</v>
      </c>
      <c r="H29" s="78">
        <v>388440.48447280994</v>
      </c>
      <c r="I29" s="78">
        <v>402035.90142935835</v>
      </c>
      <c r="J29" s="78">
        <v>402035.9014293584</v>
      </c>
      <c r="K29" s="78">
        <v>402035.90142935823</v>
      </c>
      <c r="L29" s="78">
        <v>402035.90142935835</v>
      </c>
      <c r="M29" s="78">
        <v>402035.90142935835</v>
      </c>
      <c r="N29" s="78">
        <v>402035.90142935823</v>
      </c>
      <c r="O29" s="78">
        <f>SUM(C29:N29)</f>
        <v>4742858.3154130094</v>
      </c>
    </row>
    <row r="30" spans="1:17">
      <c r="A30" s="56">
        <f t="shared" si="0"/>
        <v>19</v>
      </c>
      <c r="B30" t="s">
        <v>381</v>
      </c>
      <c r="C30" s="79">
        <v>63200</v>
      </c>
      <c r="D30" s="79">
        <v>63200</v>
      </c>
      <c r="E30" s="79">
        <v>63200</v>
      </c>
      <c r="F30" s="79">
        <v>63200</v>
      </c>
      <c r="G30" s="79">
        <v>63200</v>
      </c>
      <c r="H30" s="79">
        <v>63200</v>
      </c>
      <c r="I30" s="79">
        <v>55800</v>
      </c>
      <c r="J30" s="79">
        <v>55800</v>
      </c>
      <c r="K30" s="79">
        <v>55800</v>
      </c>
      <c r="L30" s="79">
        <v>63200</v>
      </c>
      <c r="M30" s="79">
        <v>63200</v>
      </c>
      <c r="N30" s="79">
        <v>63200</v>
      </c>
      <c r="O30" s="79">
        <f>SUM(C30:N30)</f>
        <v>736200</v>
      </c>
      <c r="P30" s="79"/>
      <c r="Q30" s="79"/>
    </row>
    <row r="31" spans="1:17">
      <c r="A31" s="56">
        <f t="shared" si="0"/>
        <v>20</v>
      </c>
      <c r="B31" t="s">
        <v>391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f t="shared" ref="O31:O34" si="4">SUM(C31:N31)</f>
        <v>0</v>
      </c>
    </row>
    <row r="32" spans="1:17">
      <c r="A32" s="56">
        <f t="shared" si="0"/>
        <v>21</v>
      </c>
      <c r="B32" t="s">
        <v>382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f t="shared" si="4"/>
        <v>0</v>
      </c>
    </row>
    <row r="33" spans="1:17">
      <c r="A33" s="56">
        <f t="shared" si="0"/>
        <v>22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7">
      <c r="A34" s="56">
        <f t="shared" si="0"/>
        <v>23</v>
      </c>
      <c r="B34" t="s">
        <v>383</v>
      </c>
      <c r="C34" s="82">
        <f t="shared" ref="C34:N34" si="5">SUM(C27:C33)</f>
        <v>451640.48447280994</v>
      </c>
      <c r="D34" s="82">
        <f t="shared" si="5"/>
        <v>451640.48447280994</v>
      </c>
      <c r="E34" s="82">
        <f t="shared" si="5"/>
        <v>451640.48447280994</v>
      </c>
      <c r="F34" s="82">
        <f t="shared" si="5"/>
        <v>451640.48447281</v>
      </c>
      <c r="G34" s="82">
        <f t="shared" si="5"/>
        <v>451640.48447280994</v>
      </c>
      <c r="H34" s="82">
        <f t="shared" si="5"/>
        <v>451640.48447280994</v>
      </c>
      <c r="I34" s="82">
        <f t="shared" si="5"/>
        <v>457835.90142935835</v>
      </c>
      <c r="J34" s="82">
        <f t="shared" si="5"/>
        <v>457835.9014293584</v>
      </c>
      <c r="K34" s="82">
        <f t="shared" si="5"/>
        <v>457835.90142935823</v>
      </c>
      <c r="L34" s="82">
        <f t="shared" si="5"/>
        <v>465235.90142935835</v>
      </c>
      <c r="M34" s="82">
        <f t="shared" si="5"/>
        <v>465235.90142935835</v>
      </c>
      <c r="N34" s="82">
        <f t="shared" si="5"/>
        <v>465235.90142935823</v>
      </c>
      <c r="O34" s="82">
        <f t="shared" si="4"/>
        <v>5479058.3154130094</v>
      </c>
    </row>
    <row r="35" spans="1:17">
      <c r="A35" s="56">
        <f t="shared" si="0"/>
        <v>24</v>
      </c>
    </row>
    <row r="36" spans="1:17">
      <c r="A36" s="56">
        <f t="shared" si="0"/>
        <v>25</v>
      </c>
      <c r="B36" t="s">
        <v>384</v>
      </c>
      <c r="C36" s="82">
        <f>+C21</f>
        <v>16439.713634810283</v>
      </c>
      <c r="D36" s="82">
        <f t="shared" ref="D36:O36" si="6">+D21</f>
        <v>16439.713634810283</v>
      </c>
      <c r="E36" s="82">
        <f t="shared" si="6"/>
        <v>16439.713634810283</v>
      </c>
      <c r="F36" s="82">
        <f t="shared" si="6"/>
        <v>16439.713634810283</v>
      </c>
      <c r="G36" s="82">
        <f t="shared" si="6"/>
        <v>16439.713634810283</v>
      </c>
      <c r="H36" s="82">
        <f t="shared" si="6"/>
        <v>16439.713634810283</v>
      </c>
      <c r="I36" s="82">
        <f t="shared" si="6"/>
        <v>16170.353634810284</v>
      </c>
      <c r="J36" s="82">
        <f t="shared" si="6"/>
        <v>38592.753634810288</v>
      </c>
      <c r="K36" s="82">
        <f t="shared" si="6"/>
        <v>16170.353634810283</v>
      </c>
      <c r="L36" s="82">
        <f t="shared" si="6"/>
        <v>16439.713634810283</v>
      </c>
      <c r="M36" s="82">
        <f t="shared" si="6"/>
        <v>16439.713634810283</v>
      </c>
      <c r="N36" s="82">
        <f t="shared" si="6"/>
        <v>16439.713634810283</v>
      </c>
      <c r="O36" s="82">
        <f t="shared" si="6"/>
        <v>218890.88361772342</v>
      </c>
    </row>
    <row r="37" spans="1:17">
      <c r="A37" s="56">
        <f t="shared" si="0"/>
        <v>26</v>
      </c>
    </row>
    <row r="38" spans="1:17">
      <c r="A38" s="56">
        <f t="shared" si="0"/>
        <v>27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1:17" ht="15.75">
      <c r="A39" s="56">
        <f t="shared" si="0"/>
        <v>28</v>
      </c>
      <c r="B39" s="50" t="s">
        <v>385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spans="1:17">
      <c r="A40" s="56">
        <f t="shared" si="0"/>
        <v>29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9"/>
    </row>
    <row r="41" spans="1:17">
      <c r="A41" s="56">
        <f t="shared" si="0"/>
        <v>30</v>
      </c>
      <c r="B41" t="s">
        <v>371</v>
      </c>
      <c r="C41" s="78">
        <v>251797.64088240883</v>
      </c>
      <c r="D41" s="78">
        <v>251797.6408824088</v>
      </c>
      <c r="E41" s="78">
        <v>251797.64088240883</v>
      </c>
      <c r="F41" s="78">
        <v>251797.6408824088</v>
      </c>
      <c r="G41" s="78">
        <v>251797.64088240883</v>
      </c>
      <c r="H41" s="78">
        <v>251797.64088240883</v>
      </c>
      <c r="I41" s="78">
        <v>260610.55831329309</v>
      </c>
      <c r="J41" s="78">
        <v>260610.55831329312</v>
      </c>
      <c r="K41" s="78">
        <v>260610.55831329312</v>
      </c>
      <c r="L41" s="78">
        <v>260610.55831329309</v>
      </c>
      <c r="M41" s="78">
        <v>260610.55831329312</v>
      </c>
      <c r="N41" s="78">
        <v>260610.55831329312</v>
      </c>
      <c r="O41" s="78">
        <f t="shared" ref="O41:O44" si="7">SUM(C41:N41)</f>
        <v>3074449.1951742107</v>
      </c>
    </row>
    <row r="42" spans="1:17">
      <c r="A42" s="56">
        <f t="shared" si="0"/>
        <v>31</v>
      </c>
      <c r="B42" t="s">
        <v>381</v>
      </c>
      <c r="C42" s="79">
        <v>50100</v>
      </c>
      <c r="D42" s="79">
        <v>50100</v>
      </c>
      <c r="E42" s="79">
        <v>50100</v>
      </c>
      <c r="F42" s="79">
        <v>50100</v>
      </c>
      <c r="G42" s="79">
        <v>50100</v>
      </c>
      <c r="H42" s="79">
        <v>50100</v>
      </c>
      <c r="I42" s="79">
        <v>46100</v>
      </c>
      <c r="J42" s="79">
        <v>46100</v>
      </c>
      <c r="K42" s="79">
        <v>46100</v>
      </c>
      <c r="L42" s="79">
        <v>50100</v>
      </c>
      <c r="M42" s="79">
        <v>50100</v>
      </c>
      <c r="N42" s="79">
        <v>50100</v>
      </c>
      <c r="O42" s="79">
        <f>SUM(C42:N42)</f>
        <v>589200</v>
      </c>
      <c r="P42" s="79"/>
      <c r="Q42" s="79"/>
    </row>
    <row r="43" spans="1:17">
      <c r="A43" s="56">
        <f t="shared" si="0"/>
        <v>32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7">
      <c r="A44" s="56">
        <f t="shared" si="0"/>
        <v>33</v>
      </c>
      <c r="B44" t="s">
        <v>383</v>
      </c>
      <c r="C44" s="82">
        <f t="shared" ref="C44:N44" si="8">SUM(C39:C42)</f>
        <v>301897.64088240883</v>
      </c>
      <c r="D44" s="82">
        <f t="shared" si="8"/>
        <v>301897.64088240883</v>
      </c>
      <c r="E44" s="82">
        <f t="shared" si="8"/>
        <v>301897.64088240883</v>
      </c>
      <c r="F44" s="82">
        <f t="shared" si="8"/>
        <v>301897.64088240883</v>
      </c>
      <c r="G44" s="82">
        <f t="shared" si="8"/>
        <v>301897.64088240883</v>
      </c>
      <c r="H44" s="82">
        <f t="shared" si="8"/>
        <v>301897.64088240883</v>
      </c>
      <c r="I44" s="82">
        <f t="shared" si="8"/>
        <v>306710.55831329309</v>
      </c>
      <c r="J44" s="82">
        <f t="shared" si="8"/>
        <v>306710.55831329315</v>
      </c>
      <c r="K44" s="82">
        <f t="shared" si="8"/>
        <v>306710.55831329315</v>
      </c>
      <c r="L44" s="82">
        <f t="shared" si="8"/>
        <v>310710.55831329309</v>
      </c>
      <c r="M44" s="82">
        <f t="shared" si="8"/>
        <v>310710.55831329315</v>
      </c>
      <c r="N44" s="82">
        <f t="shared" si="8"/>
        <v>310710.55831329315</v>
      </c>
      <c r="O44" s="82">
        <f t="shared" si="7"/>
        <v>3663649.1951742116</v>
      </c>
    </row>
    <row r="45" spans="1:17">
      <c r="A45" s="56">
        <f t="shared" si="0"/>
        <v>34</v>
      </c>
    </row>
    <row r="46" spans="1:17">
      <c r="A46" s="56">
        <f t="shared" si="0"/>
        <v>35</v>
      </c>
      <c r="B46" t="s">
        <v>384</v>
      </c>
      <c r="C46" s="82">
        <f>+C20</f>
        <v>10989.074128119682</v>
      </c>
      <c r="D46" s="82">
        <f t="shared" ref="D46:O46" si="9">+D20</f>
        <v>10989.074128119682</v>
      </c>
      <c r="E46" s="82">
        <f t="shared" si="9"/>
        <v>10989.074128119682</v>
      </c>
      <c r="F46" s="82">
        <f t="shared" si="9"/>
        <v>10989.074128119682</v>
      </c>
      <c r="G46" s="82">
        <f t="shared" si="9"/>
        <v>10989.074128119682</v>
      </c>
      <c r="H46" s="82">
        <f t="shared" si="9"/>
        <v>10989.074128119682</v>
      </c>
      <c r="I46" s="82">
        <f t="shared" si="9"/>
        <v>10843.474128119682</v>
      </c>
      <c r="J46" s="82">
        <f t="shared" si="9"/>
        <v>10843.474128119682</v>
      </c>
      <c r="K46" s="82">
        <f t="shared" si="9"/>
        <v>10843.474128119682</v>
      </c>
      <c r="L46" s="82">
        <f t="shared" si="9"/>
        <v>10989.074128119682</v>
      </c>
      <c r="M46" s="82">
        <f t="shared" si="9"/>
        <v>10989.074128119682</v>
      </c>
      <c r="N46" s="82">
        <f t="shared" si="9"/>
        <v>10989.074128119682</v>
      </c>
      <c r="O46" s="82">
        <f t="shared" si="9"/>
        <v>131432.08953743617</v>
      </c>
    </row>
    <row r="47" spans="1:17">
      <c r="A47" s="56">
        <f t="shared" si="0"/>
        <v>36</v>
      </c>
    </row>
    <row r="48" spans="1:17">
      <c r="A48" s="56">
        <f t="shared" si="0"/>
        <v>37</v>
      </c>
    </row>
    <row r="49" spans="1:17" ht="15.75">
      <c r="A49" s="56">
        <f t="shared" si="0"/>
        <v>38</v>
      </c>
      <c r="B49" s="50" t="s">
        <v>386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7">
      <c r="A50" s="56">
        <f t="shared" si="0"/>
        <v>39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9"/>
    </row>
    <row r="51" spans="1:17">
      <c r="A51" s="56">
        <f t="shared" si="0"/>
        <v>40</v>
      </c>
      <c r="B51" t="s">
        <v>371</v>
      </c>
      <c r="C51" s="78">
        <v>15897.896170892544</v>
      </c>
      <c r="D51" s="78">
        <v>15897.896170892542</v>
      </c>
      <c r="E51" s="78">
        <v>15897.896170892542</v>
      </c>
      <c r="F51" s="78">
        <v>15897.896170892544</v>
      </c>
      <c r="G51" s="78">
        <v>15897.896170892542</v>
      </c>
      <c r="H51" s="78">
        <v>15897.896170892544</v>
      </c>
      <c r="I51" s="78">
        <v>16454.32253687378</v>
      </c>
      <c r="J51" s="78">
        <v>16454.322536873784</v>
      </c>
      <c r="K51" s="78">
        <v>16454.32253687378</v>
      </c>
      <c r="L51" s="78">
        <v>16454.32253687378</v>
      </c>
      <c r="M51" s="78">
        <v>16454.32253687378</v>
      </c>
      <c r="N51" s="78">
        <v>16454.32253687378</v>
      </c>
      <c r="O51" s="78">
        <f t="shared" ref="O51:O56" si="10">SUM(C51:N51)</f>
        <v>194113.31224659792</v>
      </c>
    </row>
    <row r="52" spans="1:17">
      <c r="A52" s="56">
        <f t="shared" si="0"/>
        <v>41</v>
      </c>
      <c r="B52" t="s">
        <v>372</v>
      </c>
      <c r="C52" s="79">
        <v>0</v>
      </c>
      <c r="D52" s="79">
        <v>0</v>
      </c>
      <c r="E52" s="79">
        <v>0</v>
      </c>
      <c r="F52" s="79"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f t="shared" si="10"/>
        <v>0</v>
      </c>
    </row>
    <row r="53" spans="1:17">
      <c r="A53" s="56">
        <f t="shared" si="0"/>
        <v>42</v>
      </c>
      <c r="B53" t="s">
        <v>381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f>SUM(C53:N53)</f>
        <v>0</v>
      </c>
      <c r="P53" s="79"/>
      <c r="Q53" s="79"/>
    </row>
    <row r="54" spans="1:17">
      <c r="A54" s="56">
        <f t="shared" si="0"/>
        <v>43</v>
      </c>
      <c r="B54" t="s">
        <v>387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80"/>
    </row>
    <row r="55" spans="1:17">
      <c r="A55" s="56">
        <f t="shared" si="0"/>
        <v>44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</row>
    <row r="56" spans="1:17">
      <c r="A56" s="56">
        <f t="shared" si="0"/>
        <v>45</v>
      </c>
      <c r="B56" t="s">
        <v>383</v>
      </c>
      <c r="C56" s="82">
        <f t="shared" ref="C56:N56" si="11">SUM(C49:C55)</f>
        <v>15897.896170892544</v>
      </c>
      <c r="D56" s="82">
        <f t="shared" si="11"/>
        <v>15897.896170892542</v>
      </c>
      <c r="E56" s="82">
        <f t="shared" si="11"/>
        <v>15897.896170892542</v>
      </c>
      <c r="F56" s="82">
        <f t="shared" si="11"/>
        <v>15897.896170892544</v>
      </c>
      <c r="G56" s="82">
        <f t="shared" si="11"/>
        <v>15897.896170892542</v>
      </c>
      <c r="H56" s="82">
        <f t="shared" si="11"/>
        <v>15897.896170892544</v>
      </c>
      <c r="I56" s="82">
        <f t="shared" si="11"/>
        <v>16454.32253687378</v>
      </c>
      <c r="J56" s="82">
        <f t="shared" si="11"/>
        <v>16454.322536873784</v>
      </c>
      <c r="K56" s="82">
        <f t="shared" si="11"/>
        <v>16454.32253687378</v>
      </c>
      <c r="L56" s="82">
        <f t="shared" si="11"/>
        <v>16454.32253687378</v>
      </c>
      <c r="M56" s="82">
        <f t="shared" si="11"/>
        <v>16454.32253687378</v>
      </c>
      <c r="N56" s="82">
        <f t="shared" si="11"/>
        <v>16454.32253687378</v>
      </c>
      <c r="O56" s="82">
        <f t="shared" si="10"/>
        <v>194113.31224659792</v>
      </c>
    </row>
    <row r="57" spans="1:17">
      <c r="A57" s="56">
        <f t="shared" si="0"/>
        <v>46</v>
      </c>
      <c r="G57" s="80"/>
    </row>
    <row r="58" spans="1:17">
      <c r="A58" s="56">
        <f t="shared" si="0"/>
        <v>47</v>
      </c>
      <c r="B58" t="s">
        <v>349</v>
      </c>
      <c r="C58" s="82">
        <f>+C22</f>
        <v>7842.4321811012924</v>
      </c>
      <c r="D58" s="82">
        <f t="shared" ref="D58:O58" si="12">+D22</f>
        <v>7842.4321811012915</v>
      </c>
      <c r="E58" s="82">
        <f t="shared" si="12"/>
        <v>7842.4321811012915</v>
      </c>
      <c r="F58" s="82">
        <f t="shared" si="12"/>
        <v>7842.4321811012924</v>
      </c>
      <c r="G58" s="82">
        <f t="shared" si="12"/>
        <v>7842.4321811012915</v>
      </c>
      <c r="H58" s="82">
        <f t="shared" si="12"/>
        <v>7842.4321811012924</v>
      </c>
      <c r="I58" s="82">
        <f t="shared" si="12"/>
        <v>7842.4321811012924</v>
      </c>
      <c r="J58" s="82">
        <f t="shared" si="12"/>
        <v>7842.4321811012933</v>
      </c>
      <c r="K58" s="82">
        <f t="shared" si="12"/>
        <v>7842.4321811012924</v>
      </c>
      <c r="L58" s="82">
        <f t="shared" si="12"/>
        <v>7842.4321811012924</v>
      </c>
      <c r="M58" s="82">
        <f t="shared" si="12"/>
        <v>7842.4321811012924</v>
      </c>
      <c r="N58" s="82">
        <f t="shared" si="12"/>
        <v>7842.4321811012915</v>
      </c>
      <c r="O58" s="82">
        <f t="shared" si="12"/>
        <v>94109.186173215508</v>
      </c>
    </row>
    <row r="59" spans="1:17">
      <c r="A59" s="56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</row>
    <row r="60" spans="1:17">
      <c r="A60" s="56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</row>
    <row r="61" spans="1:17">
      <c r="B61" s="84"/>
    </row>
    <row r="62" spans="1:17">
      <c r="B62" t="s">
        <v>392</v>
      </c>
    </row>
    <row r="63" spans="1:17">
      <c r="B63" t="s">
        <v>417</v>
      </c>
    </row>
  </sheetData>
  <mergeCells count="4">
    <mergeCell ref="A1:O1"/>
    <mergeCell ref="A2:O2"/>
    <mergeCell ref="A3:O3"/>
    <mergeCell ref="A4:O4"/>
  </mergeCells>
  <printOptions horizontalCentered="1"/>
  <pageMargins left="0.5" right="0.5" top="0.75" bottom="0.65" header="0.25" footer="0.25"/>
  <pageSetup scale="47" orientation="landscape" r:id="rId1"/>
  <headerFooter alignWithMargins="0">
    <oddHeader xml:space="preserve">&amp;RCASE NO. 2024-00276 
FR 16(8)(c)
ATTACHMENT 1
</oddHeader>
    <oddFooter>&amp;RSchedule &amp;A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7DDA-B2FD-4921-B108-35C1B12B954A}">
  <sheetPr>
    <tabColor rgb="FF92D050"/>
    <pageSetUpPr fitToPage="1"/>
  </sheetPr>
  <dimension ref="A1:F29"/>
  <sheetViews>
    <sheetView view="pageBreakPreview" zoomScale="85" zoomScaleNormal="85" zoomScaleSheetLayoutView="85" workbookViewId="0">
      <selection sqref="A1:E1"/>
    </sheetView>
  </sheetViews>
  <sheetFormatPr defaultRowHeight="15"/>
  <cols>
    <col min="1" max="1" width="6.5546875" customWidth="1"/>
    <col min="2" max="2" width="47.6640625" customWidth="1"/>
    <col min="3" max="3" width="7" bestFit="1" customWidth="1"/>
    <col min="4" max="4" width="5.44140625" customWidth="1"/>
    <col min="5" max="5" width="15.88671875" bestFit="1" customWidth="1"/>
  </cols>
  <sheetData>
    <row r="1" spans="1:6" ht="14.25" customHeight="1">
      <c r="A1" s="185" t="s">
        <v>407</v>
      </c>
      <c r="B1" s="185"/>
      <c r="C1" s="185"/>
      <c r="D1" s="185"/>
      <c r="E1" s="185"/>
    </row>
    <row r="2" spans="1:6">
      <c r="A2" s="185" t="s">
        <v>408</v>
      </c>
      <c r="B2" s="185"/>
      <c r="C2" s="185"/>
      <c r="D2" s="185"/>
      <c r="E2" s="185"/>
    </row>
    <row r="3" spans="1:6">
      <c r="A3" s="185" t="s">
        <v>393</v>
      </c>
      <c r="B3" s="185"/>
      <c r="C3" s="185"/>
      <c r="D3" s="185"/>
      <c r="E3" s="185"/>
    </row>
    <row r="4" spans="1:6">
      <c r="A4" s="185" t="s">
        <v>410</v>
      </c>
      <c r="B4" s="185"/>
      <c r="C4" s="185"/>
      <c r="D4" s="185"/>
      <c r="E4" s="185"/>
    </row>
    <row r="5" spans="1:6">
      <c r="B5" s="60"/>
      <c r="C5" s="60"/>
      <c r="D5" s="60"/>
    </row>
    <row r="6" spans="1:6">
      <c r="A6" s="61" t="str">
        <f>'C.2.1 F'!A6</f>
        <v>Data:________Base Period___X____Forecasted Period</v>
      </c>
      <c r="E6" s="62" t="s">
        <v>366</v>
      </c>
    </row>
    <row r="7" spans="1:6">
      <c r="A7" s="61" t="str">
        <f>'C.2.1 F'!A7</f>
        <v>Type of Filing:___X____Original________Updated ________Revised</v>
      </c>
      <c r="E7" s="63" t="s">
        <v>389</v>
      </c>
    </row>
    <row r="8" spans="1:6">
      <c r="A8" s="64" t="str">
        <f>'C.2.1 F'!A8</f>
        <v>Workpaper Reference No(s).____________________</v>
      </c>
      <c r="B8" s="58"/>
      <c r="C8" s="65"/>
      <c r="D8" s="65"/>
      <c r="E8" s="66" t="str">
        <f>'C.2.3 B'!O8</f>
        <v>Witness: Waller</v>
      </c>
    </row>
    <row r="9" spans="1:6">
      <c r="A9" s="67" t="s">
        <v>22</v>
      </c>
      <c r="C9" s="56" t="s">
        <v>49</v>
      </c>
      <c r="D9" s="56"/>
      <c r="E9" s="68"/>
    </row>
    <row r="10" spans="1:6">
      <c r="A10" s="69" t="s">
        <v>25</v>
      </c>
      <c r="B10" s="70" t="s">
        <v>369</v>
      </c>
      <c r="C10" s="71" t="s">
        <v>56</v>
      </c>
      <c r="D10" s="72"/>
      <c r="E10" s="73" t="s">
        <v>394</v>
      </c>
      <c r="F10" s="56"/>
    </row>
    <row r="12" spans="1:6" ht="15.75">
      <c r="A12" s="56">
        <v>1</v>
      </c>
      <c r="B12" s="50" t="s">
        <v>370</v>
      </c>
    </row>
    <row r="13" spans="1:6">
      <c r="A13" s="56">
        <f>A12+1</f>
        <v>2</v>
      </c>
    </row>
    <row r="14" spans="1:6">
      <c r="A14" s="56">
        <f t="shared" ref="A14:A27" si="0">A13+1</f>
        <v>3</v>
      </c>
      <c r="B14" t="s">
        <v>395</v>
      </c>
      <c r="C14" t="s">
        <v>396</v>
      </c>
      <c r="E14" s="51">
        <f>'C.2.3 B'!O16</f>
        <v>11322473</v>
      </c>
    </row>
    <row r="15" spans="1:6">
      <c r="A15" s="56">
        <f t="shared" si="0"/>
        <v>4</v>
      </c>
    </row>
    <row r="16" spans="1:6" ht="15.75">
      <c r="A16" s="56">
        <f t="shared" si="0"/>
        <v>5</v>
      </c>
      <c r="B16" t="s">
        <v>397</v>
      </c>
      <c r="E16">
        <v>1000000</v>
      </c>
    </row>
    <row r="17" spans="1:5">
      <c r="A17" s="56">
        <f t="shared" si="0"/>
        <v>6</v>
      </c>
      <c r="B17" t="s">
        <v>398</v>
      </c>
      <c r="E17">
        <v>-339931</v>
      </c>
    </row>
    <row r="18" spans="1:5">
      <c r="A18" s="56">
        <f t="shared" si="0"/>
        <v>7</v>
      </c>
    </row>
    <row r="19" spans="1:5">
      <c r="A19" s="56">
        <f t="shared" si="0"/>
        <v>8</v>
      </c>
      <c r="B19" t="s">
        <v>399</v>
      </c>
      <c r="E19" s="52">
        <f>SUM(E14:E18)</f>
        <v>11982542</v>
      </c>
    </row>
    <row r="20" spans="1:5">
      <c r="A20" s="56">
        <f t="shared" si="0"/>
        <v>9</v>
      </c>
    </row>
    <row r="21" spans="1:5">
      <c r="A21" s="56">
        <f t="shared" si="0"/>
        <v>10</v>
      </c>
      <c r="B21" t="s">
        <v>400</v>
      </c>
      <c r="C21" t="s">
        <v>401</v>
      </c>
      <c r="E21" s="53">
        <v>909763471.3569653</v>
      </c>
    </row>
    <row r="22" spans="1:5">
      <c r="A22" s="56">
        <f t="shared" si="0"/>
        <v>11</v>
      </c>
    </row>
    <row r="23" spans="1:5">
      <c r="A23" s="56">
        <f t="shared" si="0"/>
        <v>12</v>
      </c>
      <c r="B23" t="s">
        <v>402</v>
      </c>
      <c r="E23" s="54">
        <f>E19/E21</f>
        <v>1.3171052012153598E-2</v>
      </c>
    </row>
    <row r="24" spans="1:5">
      <c r="A24" s="56">
        <f t="shared" si="0"/>
        <v>13</v>
      </c>
    </row>
    <row r="25" spans="1:5">
      <c r="A25" s="56">
        <f t="shared" si="0"/>
        <v>14</v>
      </c>
      <c r="B25" t="s">
        <v>403</v>
      </c>
      <c r="C25" t="s">
        <v>404</v>
      </c>
      <c r="E25" s="53">
        <v>940325172.67742944</v>
      </c>
    </row>
    <row r="26" spans="1:5">
      <c r="A26" s="56">
        <f t="shared" si="0"/>
        <v>15</v>
      </c>
    </row>
    <row r="27" spans="1:5">
      <c r="A27" s="56">
        <f t="shared" si="0"/>
        <v>16</v>
      </c>
      <c r="B27" t="s">
        <v>405</v>
      </c>
      <c r="E27" s="51">
        <f>E25*E23</f>
        <v>12385071.757671736</v>
      </c>
    </row>
    <row r="29" spans="1:5">
      <c r="A29" s="55" t="s">
        <v>406</v>
      </c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r:id="rId1"/>
  <headerFooter>
    <oddHeader xml:space="preserve">&amp;R&amp;8CASE NO. 2024-00276 
FR 16(8)(c)
ATTACHMENT 1&amp;12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838D-A15B-4C2E-BAB9-C4DF105A872B}">
  <sheetPr>
    <tabColor rgb="FF92D050"/>
    <pageSetUpPr fitToPage="1"/>
  </sheetPr>
  <dimension ref="A1:X35"/>
  <sheetViews>
    <sheetView view="pageBreakPreview" zoomScale="80" zoomScaleNormal="100" zoomScaleSheetLayoutView="80" workbookViewId="0">
      <selection sqref="A1:J1"/>
    </sheetView>
  </sheetViews>
  <sheetFormatPr defaultColWidth="10.109375" defaultRowHeight="15"/>
  <cols>
    <col min="1" max="1" width="5.21875" customWidth="1"/>
    <col min="2" max="2" width="2.21875" customWidth="1"/>
    <col min="3" max="3" width="26.109375" customWidth="1"/>
    <col min="4" max="4" width="14.5546875" bestFit="1" customWidth="1"/>
    <col min="5" max="5" width="2.33203125" customWidth="1"/>
    <col min="6" max="6" width="14.5546875" bestFit="1" customWidth="1"/>
    <col min="7" max="7" width="2.109375" customWidth="1"/>
    <col min="8" max="8" width="12.88671875" customWidth="1"/>
    <col min="9" max="9" width="2.109375" customWidth="1"/>
    <col min="10" max="10" width="13.88671875" customWidth="1"/>
    <col min="11" max="11" width="11.44140625" bestFit="1" customWidth="1"/>
    <col min="12" max="12" width="6.5546875" bestFit="1" customWidth="1"/>
    <col min="13" max="13" width="11.109375" customWidth="1"/>
    <col min="14" max="14" width="8" bestFit="1" customWidth="1"/>
    <col min="15" max="15" width="12" customWidth="1"/>
    <col min="16" max="16" width="10.109375" customWidth="1"/>
    <col min="17" max="17" width="3.21875" customWidth="1"/>
    <col min="18" max="18" width="11.88671875" customWidth="1"/>
    <col min="19" max="19" width="1.33203125" customWidth="1"/>
    <col min="20" max="20" width="12.33203125" customWidth="1"/>
    <col min="21" max="21" width="1.6640625" customWidth="1"/>
    <col min="22" max="22" width="10.5546875" bestFit="1" customWidth="1"/>
    <col min="23" max="23" width="0.88671875" customWidth="1"/>
    <col min="24" max="24" width="10.44140625" bestFit="1" customWidth="1"/>
  </cols>
  <sheetData>
    <row r="1" spans="1:23">
      <c r="A1" s="187" t="s">
        <v>407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23">
      <c r="A2" s="187" t="s">
        <v>408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23">
      <c r="A3" s="187" t="s">
        <v>1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23">
      <c r="A4" s="187" t="s">
        <v>410</v>
      </c>
      <c r="B4" s="187"/>
      <c r="C4" s="187"/>
      <c r="D4" s="187"/>
      <c r="E4" s="187"/>
      <c r="F4" s="187"/>
      <c r="G4" s="187"/>
      <c r="H4" s="187"/>
      <c r="I4" s="187"/>
      <c r="J4" s="187"/>
    </row>
    <row r="5" spans="1:23">
      <c r="A5" s="68"/>
      <c r="B5" s="68"/>
      <c r="C5" s="68"/>
      <c r="D5" s="68"/>
      <c r="E5" s="68"/>
      <c r="F5" s="68"/>
      <c r="G5" s="68"/>
      <c r="H5" s="68"/>
      <c r="I5" s="68"/>
      <c r="J5" s="68"/>
    </row>
    <row r="7" spans="1:23">
      <c r="A7" s="61" t="s">
        <v>14</v>
      </c>
      <c r="I7" s="61"/>
      <c r="J7" s="62" t="s">
        <v>15</v>
      </c>
    </row>
    <row r="8" spans="1:23">
      <c r="A8" s="61" t="s">
        <v>16</v>
      </c>
      <c r="H8" s="61"/>
      <c r="I8" s="61"/>
      <c r="J8" s="174" t="s">
        <v>17</v>
      </c>
    </row>
    <row r="9" spans="1:23">
      <c r="A9" s="89" t="s">
        <v>18</v>
      </c>
      <c r="B9" s="65"/>
      <c r="C9" s="65"/>
      <c r="D9" s="65"/>
      <c r="E9" s="65"/>
      <c r="F9" s="65"/>
      <c r="G9" s="65"/>
      <c r="H9" s="89"/>
      <c r="I9" s="89"/>
      <c r="J9" s="175" t="s">
        <v>19</v>
      </c>
    </row>
    <row r="10" spans="1:23">
      <c r="D10" s="56" t="s">
        <v>20</v>
      </c>
      <c r="F10" s="77" t="s">
        <v>21</v>
      </c>
      <c r="J10" s="77" t="s">
        <v>21</v>
      </c>
    </row>
    <row r="11" spans="1:23">
      <c r="A11" s="77" t="s">
        <v>22</v>
      </c>
      <c r="D11" s="77" t="s">
        <v>23</v>
      </c>
      <c r="F11" s="77" t="s">
        <v>23</v>
      </c>
      <c r="H11" s="77" t="s">
        <v>24</v>
      </c>
      <c r="J11" s="77" t="s">
        <v>23</v>
      </c>
    </row>
    <row r="12" spans="1:23">
      <c r="A12" s="157" t="s">
        <v>25</v>
      </c>
      <c r="B12" s="65"/>
      <c r="C12" s="89" t="s">
        <v>4</v>
      </c>
      <c r="D12" s="157" t="s">
        <v>26</v>
      </c>
      <c r="E12" s="65"/>
      <c r="F12" s="157" t="s">
        <v>26</v>
      </c>
      <c r="G12" s="65"/>
      <c r="H12" s="157" t="s">
        <v>27</v>
      </c>
      <c r="I12" s="65"/>
      <c r="J12" s="157" t="s">
        <v>28</v>
      </c>
      <c r="O12" s="1"/>
      <c r="P12" s="56"/>
      <c r="V12" s="56"/>
      <c r="W12" s="56"/>
    </row>
    <row r="13" spans="1:23">
      <c r="D13" s="77"/>
      <c r="F13" s="77"/>
      <c r="H13" s="77"/>
      <c r="J13" s="77"/>
      <c r="O13" s="56"/>
      <c r="P13" s="56"/>
      <c r="R13" s="88"/>
      <c r="V13" s="88"/>
      <c r="W13" s="88"/>
    </row>
    <row r="15" spans="1:23">
      <c r="A15" s="77">
        <v>1</v>
      </c>
      <c r="C15" s="61" t="s">
        <v>29</v>
      </c>
      <c r="D15" s="137">
        <f>+'C.2'!D14</f>
        <v>154805382.38077351</v>
      </c>
      <c r="F15" s="137">
        <f>'C.2'!O14</f>
        <v>187822013.2190111</v>
      </c>
      <c r="G15" s="143"/>
      <c r="H15" s="171">
        <v>35379819</v>
      </c>
      <c r="I15" s="143"/>
      <c r="J15" s="171">
        <f>+F15+H15</f>
        <v>223201832.2190111</v>
      </c>
      <c r="K15" s="143"/>
      <c r="L15" s="176"/>
      <c r="M15" s="171"/>
      <c r="N15" s="143"/>
      <c r="O15" s="141"/>
      <c r="P15" s="143"/>
      <c r="Q15" s="143"/>
      <c r="R15" s="141"/>
      <c r="S15" s="141"/>
      <c r="T15" s="141"/>
    </row>
    <row r="16" spans="1:23"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T16" s="143"/>
    </row>
    <row r="17" spans="1:24">
      <c r="A17" s="77">
        <v>2</v>
      </c>
      <c r="C17" s="61" t="s">
        <v>30</v>
      </c>
      <c r="D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T17" s="143"/>
    </row>
    <row r="18" spans="1:24">
      <c r="A18" s="77">
        <v>3</v>
      </c>
      <c r="C18" s="162" t="s">
        <v>31</v>
      </c>
      <c r="D18" s="141">
        <f>+'C.2'!D17</f>
        <v>52986727.226981685</v>
      </c>
      <c r="E18" s="79"/>
      <c r="F18" s="141">
        <f>'C.2'!O17</f>
        <v>87640898.071899399</v>
      </c>
      <c r="G18" s="141"/>
      <c r="H18" s="141"/>
      <c r="I18" s="141"/>
      <c r="J18" s="141">
        <f>+F18+H18</f>
        <v>87640898.071899399</v>
      </c>
      <c r="K18" s="143"/>
      <c r="L18" s="176"/>
      <c r="M18" s="143"/>
      <c r="O18" s="141"/>
      <c r="P18" s="143"/>
      <c r="Q18" s="143"/>
      <c r="R18" s="141"/>
      <c r="S18" s="79"/>
      <c r="T18" s="141"/>
    </row>
    <row r="19" spans="1:24">
      <c r="A19" s="77">
        <v>4</v>
      </c>
      <c r="C19" s="162" t="s">
        <v>32</v>
      </c>
      <c r="D19" s="141">
        <f>SUM('C.2'!D18:D25)</f>
        <v>33536926.780049894</v>
      </c>
      <c r="E19" s="79"/>
      <c r="F19" s="141">
        <f>SUM('C.2'!O18:O25)</f>
        <v>33318724.530043691</v>
      </c>
      <c r="G19" s="141"/>
      <c r="H19" s="141">
        <v>353798.19</v>
      </c>
      <c r="I19" s="141"/>
      <c r="J19" s="141">
        <f>+F19+H19</f>
        <v>33672522.720043689</v>
      </c>
      <c r="K19" s="143"/>
      <c r="L19" s="176"/>
      <c r="M19" s="143"/>
      <c r="N19" s="177"/>
      <c r="O19" s="141"/>
      <c r="P19" s="143"/>
      <c r="Q19" s="143"/>
      <c r="R19" s="141"/>
      <c r="S19" s="79"/>
      <c r="T19" s="141"/>
    </row>
    <row r="20" spans="1:24">
      <c r="A20" s="77">
        <v>5</v>
      </c>
      <c r="C20" s="61" t="s">
        <v>33</v>
      </c>
      <c r="D20" s="141">
        <f>+'C.2'!D26</f>
        <v>19915761.448384304</v>
      </c>
      <c r="E20" s="79"/>
      <c r="F20" s="141">
        <f>+'C.2'!O26</f>
        <v>22028374.895356476</v>
      </c>
      <c r="G20" s="167"/>
      <c r="H20" s="141"/>
      <c r="I20" s="167"/>
      <c r="J20" s="167">
        <f>+F20+H20</f>
        <v>22028374.895356476</v>
      </c>
      <c r="K20" s="143"/>
      <c r="L20" s="176"/>
      <c r="M20" s="143"/>
      <c r="N20" s="178"/>
      <c r="O20" s="141"/>
      <c r="P20" s="143"/>
      <c r="Q20" s="143"/>
      <c r="R20" s="141"/>
      <c r="S20" s="79"/>
      <c r="T20" s="141"/>
    </row>
    <row r="21" spans="1:24">
      <c r="A21" s="77">
        <v>6</v>
      </c>
      <c r="C21" s="61" t="s">
        <v>34</v>
      </c>
      <c r="D21" s="141">
        <f>+'C.2'!D27</f>
        <v>12842194.805499708</v>
      </c>
      <c r="E21" s="79"/>
      <c r="F21" s="141">
        <f>+'C.2'!O27</f>
        <v>13731223.681868786</v>
      </c>
      <c r="G21" s="167"/>
      <c r="H21" s="141">
        <v>54980.238726000003</v>
      </c>
      <c r="I21" s="167"/>
      <c r="J21" s="167">
        <f>+F21+H21</f>
        <v>13786203.920594785</v>
      </c>
      <c r="K21" s="143"/>
      <c r="L21" s="176"/>
      <c r="M21" s="143"/>
      <c r="N21" s="177"/>
      <c r="O21" s="141"/>
      <c r="P21" s="143"/>
      <c r="Q21" s="143"/>
      <c r="R21" s="141"/>
      <c r="S21" s="79"/>
      <c r="T21" s="141"/>
    </row>
    <row r="22" spans="1:24">
      <c r="A22" s="77">
        <v>7</v>
      </c>
      <c r="C22" s="61"/>
      <c r="D22" s="179"/>
      <c r="E22" s="179"/>
      <c r="F22" s="167"/>
      <c r="G22" s="167"/>
      <c r="H22" s="141"/>
      <c r="I22" s="167"/>
      <c r="J22" s="167"/>
      <c r="K22" s="143"/>
      <c r="L22" s="143"/>
      <c r="M22" s="143"/>
      <c r="O22" s="141"/>
      <c r="P22" s="143"/>
      <c r="Q22" s="143"/>
      <c r="R22" s="179"/>
      <c r="S22" s="179"/>
      <c r="T22" s="167"/>
    </row>
    <row r="23" spans="1:24">
      <c r="A23" s="77">
        <v>8</v>
      </c>
      <c r="C23" s="61" t="s">
        <v>35</v>
      </c>
      <c r="D23" s="180">
        <v>6401310.5863160249</v>
      </c>
      <c r="E23" s="179"/>
      <c r="F23" s="180">
        <v>5205179.1907985527</v>
      </c>
      <c r="G23" s="167"/>
      <c r="H23" s="180">
        <f>((+H15-H19-H21)*0.05)+((+H15-H19-H21-((+H15-H19-H21)*0.05))*0.21)</f>
        <v>8725274.6225328632</v>
      </c>
      <c r="I23" s="167"/>
      <c r="J23" s="181">
        <f>+F23+H23</f>
        <v>13930453.813331416</v>
      </c>
      <c r="K23" s="143"/>
      <c r="L23" s="182"/>
      <c r="M23" s="143"/>
      <c r="N23" s="143"/>
      <c r="O23" s="141"/>
      <c r="P23" s="143"/>
      <c r="Q23" s="143"/>
      <c r="R23" s="141"/>
      <c r="S23" s="79"/>
      <c r="T23" s="141"/>
    </row>
    <row r="24" spans="1:24">
      <c r="A24" s="77">
        <v>9</v>
      </c>
      <c r="C24" s="61" t="s">
        <v>36</v>
      </c>
      <c r="D24" s="171">
        <f>SUM(D18:D23)</f>
        <v>125682920.8472316</v>
      </c>
      <c r="F24" s="137">
        <f>SUM(F18:F23)</f>
        <v>161924400.36996689</v>
      </c>
      <c r="G24" s="143"/>
      <c r="H24" s="171">
        <f>SUM(H18:H23)</f>
        <v>9134053.0512588639</v>
      </c>
      <c r="I24" s="143"/>
      <c r="J24" s="171">
        <f>SUM(J18:J23)</f>
        <v>171058453.42122576</v>
      </c>
      <c r="K24" s="143"/>
      <c r="L24" s="176"/>
      <c r="M24" s="143"/>
      <c r="N24" s="143"/>
      <c r="O24" s="141"/>
      <c r="P24" s="143"/>
      <c r="Q24" s="143"/>
      <c r="R24" s="141"/>
      <c r="S24" s="79"/>
      <c r="T24" s="141"/>
    </row>
    <row r="25" spans="1:24">
      <c r="D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1"/>
      <c r="S25" s="79"/>
      <c r="T25" s="141"/>
    </row>
    <row r="26" spans="1:24" ht="15.75" thickBot="1">
      <c r="A26" s="77">
        <v>10</v>
      </c>
      <c r="C26" s="61" t="s">
        <v>37</v>
      </c>
      <c r="D26" s="172">
        <f>D15-D24</f>
        <v>29122461.533541918</v>
      </c>
      <c r="F26" s="183">
        <f>F15-F24</f>
        <v>25897612.849044204</v>
      </c>
      <c r="G26" s="143"/>
      <c r="H26" s="183">
        <f>H15-H24</f>
        <v>26245765.948741138</v>
      </c>
      <c r="I26" s="143"/>
      <c r="J26" s="172">
        <f>J15-J24</f>
        <v>52143378.797785342</v>
      </c>
      <c r="K26" s="143"/>
      <c r="L26" s="176"/>
      <c r="M26" s="143"/>
      <c r="N26" s="143"/>
      <c r="O26" s="141"/>
      <c r="P26" s="143"/>
      <c r="Q26" s="143"/>
      <c r="R26" s="141"/>
      <c r="S26" s="79"/>
      <c r="T26" s="141"/>
    </row>
    <row r="27" spans="1:24" ht="15.75" thickTop="1"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S27" s="179"/>
      <c r="T27" s="143"/>
    </row>
    <row r="28" spans="1:24">
      <c r="A28" s="77">
        <v>11</v>
      </c>
      <c r="C28" s="61" t="s">
        <v>38</v>
      </c>
      <c r="D28" s="141">
        <v>625170435.70105505</v>
      </c>
      <c r="E28" s="179"/>
      <c r="F28" s="141">
        <v>628233490.77623868</v>
      </c>
      <c r="G28" s="167"/>
      <c r="H28" s="167"/>
      <c r="I28" s="167"/>
      <c r="J28" s="167">
        <v>628233490.77623868</v>
      </c>
      <c r="K28" s="143"/>
      <c r="L28" s="143"/>
      <c r="M28" s="143"/>
      <c r="N28" s="143"/>
      <c r="O28" s="143"/>
      <c r="P28" s="143"/>
      <c r="Q28" s="143"/>
      <c r="R28" s="141"/>
      <c r="S28" s="179"/>
      <c r="T28" s="141"/>
    </row>
    <row r="29" spans="1:24"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T29" s="143"/>
    </row>
    <row r="30" spans="1:24">
      <c r="A30" s="77">
        <v>12</v>
      </c>
      <c r="C30" s="61" t="s">
        <v>39</v>
      </c>
      <c r="D30" s="161">
        <f>(D26/D28)</f>
        <v>4.6583235339471077E-2</v>
      </c>
      <c r="F30" s="161">
        <f>(F26/F28)</f>
        <v>4.1222910318017884E-2</v>
      </c>
      <c r="H30" s="161"/>
      <c r="J30" s="161">
        <f>(J26/J28)</f>
        <v>8.2999998509085418E-2</v>
      </c>
      <c r="K30" s="143"/>
      <c r="L30" s="143"/>
      <c r="M30" s="143"/>
      <c r="R30" s="161"/>
      <c r="T30" s="161"/>
      <c r="V30" s="161"/>
      <c r="W30" s="161"/>
      <c r="X30" s="161"/>
    </row>
    <row r="31" spans="1:24">
      <c r="F31" s="143"/>
      <c r="H31" s="161"/>
      <c r="J31" s="143"/>
      <c r="K31" s="143"/>
      <c r="L31" s="143"/>
      <c r="M31" s="143"/>
    </row>
    <row r="32" spans="1:24">
      <c r="F32" s="143"/>
      <c r="H32" s="143"/>
      <c r="J32" s="143"/>
      <c r="K32" s="143"/>
      <c r="L32" s="143"/>
      <c r="M32" s="143"/>
    </row>
    <row r="33" spans="3:13">
      <c r="C33" s="62"/>
      <c r="K33" s="143"/>
      <c r="L33" s="143"/>
      <c r="M33" s="143"/>
    </row>
    <row r="34" spans="3:13">
      <c r="F34" s="143"/>
      <c r="K34" s="143"/>
      <c r="L34" s="143"/>
      <c r="M34" s="143"/>
    </row>
    <row r="35" spans="3:13">
      <c r="F35" s="143"/>
      <c r="K35" s="143"/>
      <c r="L35" s="143"/>
      <c r="M35" s="143"/>
    </row>
  </sheetData>
  <mergeCells count="4">
    <mergeCell ref="A1:J1"/>
    <mergeCell ref="A2:J2"/>
    <mergeCell ref="A3:J3"/>
    <mergeCell ref="A4:J4"/>
  </mergeCells>
  <printOptions horizontalCentered="1"/>
  <pageMargins left="0.75" right="0.75" top="1" bottom="1" header="0.25" footer="0.5"/>
  <pageSetup orientation="landscape" r:id="rId1"/>
  <headerFooter alignWithMargins="0">
    <oddHeader>&amp;R&amp;8CASE NO. 2024-00276 
FR 16(8)(c)
ATTACHMENT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1EA13-05A8-4383-8AFC-E8B00C1F0833}">
  <sheetPr>
    <tabColor rgb="FF92D050"/>
    <pageSetUpPr fitToPage="1"/>
  </sheetPr>
  <dimension ref="A1:W95"/>
  <sheetViews>
    <sheetView view="pageBreakPreview" zoomScale="80" zoomScaleNormal="100" zoomScaleSheetLayoutView="80" workbookViewId="0">
      <selection sqref="A1:O1"/>
    </sheetView>
  </sheetViews>
  <sheetFormatPr defaultColWidth="7.109375" defaultRowHeight="15"/>
  <cols>
    <col min="1" max="1" width="3.5546875" customWidth="1"/>
    <col min="2" max="2" width="2.21875" customWidth="1"/>
    <col min="3" max="3" width="27.5546875" customWidth="1"/>
    <col min="4" max="4" width="13.109375" bestFit="1" customWidth="1"/>
    <col min="5" max="5" width="1.33203125" customWidth="1"/>
    <col min="6" max="6" width="12.6640625" customWidth="1"/>
    <col min="7" max="7" width="6.21875" bestFit="1" customWidth="1"/>
    <col min="8" max="8" width="7.33203125" customWidth="1"/>
    <col min="9" max="9" width="6" customWidth="1"/>
    <col min="10" max="10" width="1.44140625" customWidth="1"/>
    <col min="11" max="11" width="12.88671875" customWidth="1"/>
    <col min="12" max="12" width="1.44140625" customWidth="1"/>
    <col min="13" max="13" width="11.5546875" customWidth="1"/>
    <col min="14" max="14" width="23.77734375" bestFit="1" customWidth="1"/>
    <col min="15" max="15" width="13.44140625" customWidth="1"/>
    <col min="16" max="16" width="11.77734375" bestFit="1" customWidth="1"/>
    <col min="17" max="17" width="2.109375" customWidth="1"/>
    <col min="18" max="18" width="8.5546875" customWidth="1"/>
    <col min="22" max="22" width="8" bestFit="1" customWidth="1"/>
    <col min="23" max="23" width="9.21875" customWidth="1"/>
  </cols>
  <sheetData>
    <row r="1" spans="1:20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20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20">
      <c r="A3" s="185" t="s">
        <v>40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20">
      <c r="A4" s="185" t="s">
        <v>409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20">
      <c r="A5" s="185" t="s">
        <v>410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20">
      <c r="C6" s="130"/>
    </row>
    <row r="7" spans="1:20">
      <c r="A7" s="61" t="str">
        <f>'C.1'!A7</f>
        <v>Data:__X____Base Period___X___Forecasted Period</v>
      </c>
      <c r="K7" s="74"/>
      <c r="O7" s="62" t="s">
        <v>41</v>
      </c>
    </row>
    <row r="8" spans="1:20">
      <c r="A8" s="61" t="str">
        <f>'C.1'!A8</f>
        <v>Type of Filing:___X____Original________Updated ________Revised</v>
      </c>
      <c r="K8" s="74"/>
      <c r="O8" s="63" t="s">
        <v>42</v>
      </c>
    </row>
    <row r="9" spans="1:20">
      <c r="A9" s="64" t="str">
        <f>'C.1'!A9</f>
        <v>Workpaper Reference No(s).____________________</v>
      </c>
      <c r="B9" s="65"/>
      <c r="C9" s="65"/>
      <c r="D9" s="65"/>
      <c r="E9" s="65"/>
      <c r="F9" s="65"/>
      <c r="G9" s="65"/>
      <c r="H9" s="65"/>
      <c r="I9" s="65"/>
      <c r="J9" s="65"/>
      <c r="K9" s="70"/>
      <c r="L9" s="65"/>
      <c r="M9" s="58"/>
      <c r="N9" s="58"/>
      <c r="O9" s="66" t="str">
        <f>'C.1'!J9</f>
        <v>Witness: Waller, Wiebe, Troup</v>
      </c>
    </row>
    <row r="10" spans="1:20">
      <c r="D10" s="77" t="s">
        <v>43</v>
      </c>
      <c r="G10" s="2"/>
      <c r="H10" s="56" t="s">
        <v>44</v>
      </c>
      <c r="K10" s="77" t="s">
        <v>21</v>
      </c>
      <c r="O10" s="56" t="s">
        <v>45</v>
      </c>
    </row>
    <row r="11" spans="1:20">
      <c r="A11" s="68" t="s">
        <v>22</v>
      </c>
      <c r="C11" s="77" t="s">
        <v>46</v>
      </c>
      <c r="D11" s="68" t="s">
        <v>47</v>
      </c>
      <c r="F11" s="56" t="s">
        <v>48</v>
      </c>
      <c r="G11" s="56" t="s">
        <v>49</v>
      </c>
      <c r="H11" s="77" t="s">
        <v>50</v>
      </c>
      <c r="I11" s="56" t="s">
        <v>49</v>
      </c>
      <c r="K11" s="68" t="s">
        <v>47</v>
      </c>
      <c r="M11" s="56" t="s">
        <v>51</v>
      </c>
      <c r="N11" s="56" t="s">
        <v>49</v>
      </c>
      <c r="O11" s="56" t="s">
        <v>52</v>
      </c>
    </row>
    <row r="12" spans="1:20">
      <c r="A12" s="129" t="s">
        <v>25</v>
      </c>
      <c r="B12" s="65"/>
      <c r="C12" s="129" t="s">
        <v>53</v>
      </c>
      <c r="D12" s="157" t="s">
        <v>54</v>
      </c>
      <c r="E12" s="65"/>
      <c r="F12" s="157" t="s">
        <v>55</v>
      </c>
      <c r="G12" s="71" t="s">
        <v>56</v>
      </c>
      <c r="H12" s="157" t="s">
        <v>57</v>
      </c>
      <c r="I12" s="71" t="s">
        <v>56</v>
      </c>
      <c r="J12" s="65"/>
      <c r="K12" s="157" t="s">
        <v>54</v>
      </c>
      <c r="L12" s="65"/>
      <c r="M12" s="77" t="s">
        <v>55</v>
      </c>
      <c r="N12" s="71" t="s">
        <v>56</v>
      </c>
      <c r="O12" s="57" t="s">
        <v>58</v>
      </c>
    </row>
    <row r="13" spans="1:20">
      <c r="C13" s="3"/>
      <c r="D13" s="77"/>
      <c r="F13" s="77"/>
      <c r="H13" s="77"/>
      <c r="K13" s="77"/>
      <c r="M13" s="158"/>
      <c r="O13" s="77"/>
    </row>
    <row r="14" spans="1:20">
      <c r="A14" s="159">
        <v>1</v>
      </c>
      <c r="C14" s="61" t="s">
        <v>29</v>
      </c>
      <c r="D14" s="150">
        <f>+'C.2.1 B'!D33</f>
        <v>154805382.38077351</v>
      </c>
      <c r="F14" s="137">
        <f>+K14-D14</f>
        <v>33016630.838237584</v>
      </c>
      <c r="G14" s="68" t="s">
        <v>59</v>
      </c>
      <c r="H14" s="143"/>
      <c r="K14" s="150">
        <f>'C.2.1 F'!D28</f>
        <v>187822013.2190111</v>
      </c>
      <c r="L14" s="130"/>
      <c r="M14" s="150"/>
      <c r="N14" s="68"/>
      <c r="O14" s="137">
        <f>+K14+M14</f>
        <v>187822013.2190111</v>
      </c>
      <c r="P14" s="130"/>
    </row>
    <row r="15" spans="1:20">
      <c r="A15" s="160">
        <v>2</v>
      </c>
      <c r="C15" s="2"/>
      <c r="D15" s="130"/>
      <c r="F15" s="130"/>
      <c r="G15" s="130"/>
      <c r="H15" s="130"/>
      <c r="K15" s="130"/>
      <c r="L15" s="130"/>
      <c r="N15" s="130"/>
      <c r="P15" s="130"/>
      <c r="T15" s="54"/>
    </row>
    <row r="16" spans="1:20">
      <c r="A16" s="159">
        <v>3</v>
      </c>
      <c r="C16" s="61" t="s">
        <v>30</v>
      </c>
      <c r="P16" s="130"/>
      <c r="Q16" s="161"/>
      <c r="S16" s="161"/>
      <c r="T16" s="130"/>
    </row>
    <row r="17" spans="1:20">
      <c r="A17" s="160">
        <v>4</v>
      </c>
      <c r="C17" s="162" t="s">
        <v>31</v>
      </c>
      <c r="D17" s="163">
        <f>+'C.2.1 B'!D105</f>
        <v>52986727.226981685</v>
      </c>
      <c r="F17" s="141">
        <f t="shared" ref="F17:F28" si="0">+K17-D17-H17</f>
        <v>34654170.844917715</v>
      </c>
      <c r="G17" s="68" t="s">
        <v>59</v>
      </c>
      <c r="H17" s="143"/>
      <c r="K17" s="163">
        <f>'C.2.1 F'!D100</f>
        <v>87640898.071899399</v>
      </c>
      <c r="L17" s="130"/>
      <c r="M17" s="141">
        <v>0</v>
      </c>
      <c r="N17" s="130"/>
      <c r="O17" s="141">
        <f t="shared" ref="O17:O22" si="1">+K17+M17</f>
        <v>87640898.071899399</v>
      </c>
      <c r="P17" s="130"/>
      <c r="Q17" s="161"/>
      <c r="S17" s="161"/>
      <c r="T17" s="130"/>
    </row>
    <row r="18" spans="1:20">
      <c r="A18" s="159">
        <v>5</v>
      </c>
      <c r="C18" s="162" t="s">
        <v>60</v>
      </c>
      <c r="D18" s="164">
        <f>+'C.2.1 B'!D39+'C.2.1 B'!D43</f>
        <v>0</v>
      </c>
      <c r="F18" s="141">
        <f t="shared" si="0"/>
        <v>0</v>
      </c>
      <c r="G18" s="68" t="s">
        <v>59</v>
      </c>
      <c r="H18" s="143"/>
      <c r="K18" s="163">
        <f>'C.2.1 F'!D34+'C.2.1 F'!D38</f>
        <v>0</v>
      </c>
      <c r="L18" s="143"/>
      <c r="M18" s="141">
        <v>0</v>
      </c>
      <c r="N18" s="143"/>
      <c r="O18" s="141">
        <f>+K18+M18</f>
        <v>0</v>
      </c>
      <c r="P18" s="130"/>
    </row>
    <row r="19" spans="1:20">
      <c r="A19" s="160">
        <v>6</v>
      </c>
      <c r="C19" s="162" t="s">
        <v>61</v>
      </c>
      <c r="D19" s="164">
        <f>+'C.2.1 B'!D55+'C.2.1 B'!D65</f>
        <v>438181.73554917524</v>
      </c>
      <c r="F19" s="141">
        <f t="shared" si="0"/>
        <v>48156.597989128437</v>
      </c>
      <c r="G19" s="68" t="s">
        <v>59</v>
      </c>
      <c r="H19" s="143"/>
      <c r="K19" s="163">
        <f>'C.2.1 F'!D50+'C.2.1 F'!D60</f>
        <v>486338.33353830368</v>
      </c>
      <c r="L19" s="143"/>
      <c r="M19" s="141">
        <v>0</v>
      </c>
      <c r="N19" s="143"/>
      <c r="O19" s="141">
        <f>+K19+M19</f>
        <v>486338.33353830368</v>
      </c>
      <c r="P19" s="130"/>
    </row>
    <row r="20" spans="1:20">
      <c r="A20" s="159">
        <v>7</v>
      </c>
      <c r="C20" s="162" t="s">
        <v>62</v>
      </c>
      <c r="D20" s="164">
        <f>+'C.2.1 B'!D75+'C.2.1 B'!D83</f>
        <v>163543.80539623208</v>
      </c>
      <c r="F20" s="141">
        <f t="shared" si="0"/>
        <v>17294.628841657337</v>
      </c>
      <c r="G20" s="68" t="s">
        <v>59</v>
      </c>
      <c r="H20" s="143"/>
      <c r="K20" s="163">
        <f>'C.2.1 F'!D70+'C.2.1 F'!D78</f>
        <v>180838.43423788942</v>
      </c>
      <c r="L20" s="143"/>
      <c r="M20" s="141">
        <v>0</v>
      </c>
      <c r="N20" s="143"/>
      <c r="O20" s="141">
        <f>+K20+M20</f>
        <v>180838.43423788942</v>
      </c>
      <c r="P20" s="130"/>
    </row>
    <row r="21" spans="1:20">
      <c r="A21" s="160">
        <v>8</v>
      </c>
      <c r="C21" s="140" t="s">
        <v>63</v>
      </c>
      <c r="D21" s="164">
        <f>+'C.2.1 B'!D120+'C.2.1 B'!D133</f>
        <v>11872518.713488022</v>
      </c>
      <c r="F21" s="141">
        <f t="shared" si="0"/>
        <v>-126287.48273345456</v>
      </c>
      <c r="G21" s="68" t="s">
        <v>59</v>
      </c>
      <c r="H21" s="143"/>
      <c r="I21" s="56" t="s">
        <v>64</v>
      </c>
      <c r="K21" s="165">
        <f>'C.2.1 F'!D115+'C.2.1 F'!D128</f>
        <v>11746231.230754567</v>
      </c>
      <c r="L21" s="143"/>
      <c r="M21" s="141">
        <v>0</v>
      </c>
      <c r="N21" s="77"/>
      <c r="O21" s="141">
        <f t="shared" si="1"/>
        <v>11746231.230754567</v>
      </c>
      <c r="P21" s="130"/>
    </row>
    <row r="22" spans="1:20">
      <c r="A22" s="159">
        <v>9</v>
      </c>
      <c r="C22" s="140" t="s">
        <v>65</v>
      </c>
      <c r="D22" s="164">
        <f>+'C.2.1 B'!D140</f>
        <v>3596930.8615887128</v>
      </c>
      <c r="F22" s="141">
        <f t="shared" si="0"/>
        <v>-1062307.2481336538</v>
      </c>
      <c r="G22" s="68" t="s">
        <v>59</v>
      </c>
      <c r="H22" s="143"/>
      <c r="I22" s="56" t="s">
        <v>64</v>
      </c>
      <c r="K22" s="163">
        <f>'C.2.1 F'!D135</f>
        <v>2534623.613455059</v>
      </c>
      <c r="L22" s="143"/>
      <c r="M22" s="141">
        <v>0</v>
      </c>
      <c r="N22" s="143"/>
      <c r="O22" s="141">
        <f t="shared" si="1"/>
        <v>2534623.613455059</v>
      </c>
      <c r="P22" s="130"/>
      <c r="T22" s="166"/>
    </row>
    <row r="23" spans="1:20">
      <c r="A23" s="160">
        <v>10</v>
      </c>
      <c r="C23" s="162" t="s">
        <v>66</v>
      </c>
      <c r="D23" s="163">
        <f>+'C.2.1 B'!D147</f>
        <v>198663.24391409353</v>
      </c>
      <c r="F23" s="141">
        <f t="shared" si="0"/>
        <v>15797.575774101919</v>
      </c>
      <c r="G23" s="68" t="s">
        <v>59</v>
      </c>
      <c r="H23" s="143"/>
      <c r="I23" s="56" t="s">
        <v>64</v>
      </c>
      <c r="K23" s="163">
        <f>'C.2.1 F'!D142</f>
        <v>214460.81968819545</v>
      </c>
      <c r="L23" s="130"/>
      <c r="M23" s="141">
        <v>0</v>
      </c>
      <c r="N23" s="77"/>
      <c r="O23" s="141">
        <f>+K23+M23</f>
        <v>214460.81968819545</v>
      </c>
      <c r="P23" s="130"/>
      <c r="T23" s="130"/>
    </row>
    <row r="24" spans="1:20">
      <c r="A24" s="159">
        <v>11</v>
      </c>
      <c r="C24" s="140" t="s">
        <v>67</v>
      </c>
      <c r="D24" s="163">
        <f>+'C.2.1 B'!D154</f>
        <v>304171.67164787912</v>
      </c>
      <c r="F24" s="141">
        <f t="shared" si="0"/>
        <v>-31722.55581537442</v>
      </c>
      <c r="G24" s="68" t="s">
        <v>59</v>
      </c>
      <c r="H24" s="143"/>
      <c r="I24" s="56" t="s">
        <v>64</v>
      </c>
      <c r="K24" s="163">
        <f>'C.2.1 F'!D149</f>
        <v>272449.1158325047</v>
      </c>
      <c r="L24" s="130"/>
      <c r="M24" s="141">
        <v>-188721.09767519982</v>
      </c>
      <c r="N24" s="77" t="s">
        <v>68</v>
      </c>
      <c r="O24" s="141">
        <f>+K24+M24</f>
        <v>83728.018157304876</v>
      </c>
      <c r="P24" s="130"/>
      <c r="T24" s="130"/>
    </row>
    <row r="25" spans="1:20">
      <c r="A25" s="160">
        <v>12</v>
      </c>
      <c r="C25" s="140" t="s">
        <v>69</v>
      </c>
      <c r="D25" s="163">
        <f>+'C.2.1 B'!D168+'C.2.1 B'!D172</f>
        <v>16962916.74846578</v>
      </c>
      <c r="F25" s="141">
        <f t="shared" si="0"/>
        <v>2513908.1140263788</v>
      </c>
      <c r="G25" s="68" t="s">
        <v>59</v>
      </c>
      <c r="H25" s="143"/>
      <c r="I25" s="56" t="s">
        <v>64</v>
      </c>
      <c r="K25" s="163">
        <f>'C.2.1 F'!D163+'C.2.1 F'!D167</f>
        <v>19476824.862492159</v>
      </c>
      <c r="L25" s="130"/>
      <c r="M25" s="141">
        <v>-1404320.7822797881</v>
      </c>
      <c r="N25" s="77" t="s">
        <v>70</v>
      </c>
      <c r="O25" s="141">
        <f>+K25+M25</f>
        <v>18072504.08021237</v>
      </c>
      <c r="P25" s="130"/>
      <c r="Q25" s="161"/>
      <c r="T25" s="130"/>
    </row>
    <row r="26" spans="1:20">
      <c r="A26" s="159">
        <v>13</v>
      </c>
      <c r="C26" s="140" t="s">
        <v>71</v>
      </c>
      <c r="D26" s="163">
        <f>+'C.2.1 B'!D176</f>
        <v>19915761.448384304</v>
      </c>
      <c r="F26" s="141">
        <f t="shared" si="0"/>
        <v>2112613.4469721727</v>
      </c>
      <c r="G26" s="68" t="s">
        <v>59</v>
      </c>
      <c r="H26" s="143"/>
      <c r="K26" s="163">
        <f>'C.2.1 F'!D171</f>
        <v>22028374.895356476</v>
      </c>
      <c r="L26" s="130"/>
      <c r="M26" s="141">
        <f>O26-K26</f>
        <v>0</v>
      </c>
      <c r="N26" s="130"/>
      <c r="O26" s="163">
        <f>'C.2.1 F'!D171</f>
        <v>22028374.895356476</v>
      </c>
      <c r="P26" s="130"/>
      <c r="Q26" s="161"/>
      <c r="S26" s="161"/>
      <c r="T26" s="130"/>
    </row>
    <row r="27" spans="1:20">
      <c r="A27" s="160">
        <v>14</v>
      </c>
      <c r="C27" s="140" t="s">
        <v>72</v>
      </c>
      <c r="D27" s="163">
        <f>+'C.2.1 B'!D178</f>
        <v>12842194.805499708</v>
      </c>
      <c r="F27" s="167">
        <f t="shared" si="0"/>
        <v>961347.76760993712</v>
      </c>
      <c r="G27" s="68" t="s">
        <v>59</v>
      </c>
      <c r="H27" s="143"/>
      <c r="K27" s="163">
        <f>'C.2.1 F'!D172</f>
        <v>13803542.573109645</v>
      </c>
      <c r="L27" s="143"/>
      <c r="M27" s="141">
        <v>-72318.891240859972</v>
      </c>
      <c r="N27" s="77" t="s">
        <v>73</v>
      </c>
      <c r="O27" s="167">
        <f>+K27+M27</f>
        <v>13731223.681868786</v>
      </c>
      <c r="P27" s="130"/>
      <c r="Q27" s="161"/>
      <c r="S27" s="161"/>
      <c r="T27" s="143"/>
    </row>
    <row r="28" spans="1:20">
      <c r="A28" s="159">
        <v>15</v>
      </c>
      <c r="C28" s="140" t="s">
        <v>74</v>
      </c>
      <c r="D28" s="163">
        <f>+'C.2.1 B'!D179</f>
        <v>6401310.5863160249</v>
      </c>
      <c r="F28" s="167">
        <f t="shared" si="0"/>
        <v>-1196131.3955174731</v>
      </c>
      <c r="H28" s="143"/>
      <c r="K28" s="163">
        <f>'C.2.1 F'!D173</f>
        <v>5205179.1907985518</v>
      </c>
      <c r="L28" s="130"/>
      <c r="M28" s="163">
        <f>+O28-K28</f>
        <v>0</v>
      </c>
      <c r="N28" s="68"/>
      <c r="O28" s="163">
        <v>5205179.1907985527</v>
      </c>
      <c r="P28" s="130"/>
      <c r="Q28" s="161"/>
      <c r="S28" s="161"/>
      <c r="T28" s="130"/>
    </row>
    <row r="29" spans="1:20">
      <c r="A29" s="160">
        <v>16</v>
      </c>
      <c r="C29" s="74"/>
      <c r="D29" s="168"/>
      <c r="F29" s="169"/>
      <c r="H29" s="170"/>
      <c r="K29" s="168"/>
      <c r="L29" s="143"/>
      <c r="M29" s="147"/>
      <c r="N29" s="143"/>
      <c r="O29" s="147"/>
      <c r="P29" s="130"/>
    </row>
    <row r="30" spans="1:20">
      <c r="A30" s="159">
        <v>17</v>
      </c>
      <c r="C30" s="130"/>
      <c r="D30" s="143"/>
      <c r="F30" s="143"/>
      <c r="H30" s="143"/>
      <c r="K30" s="143"/>
      <c r="L30" s="143"/>
      <c r="N30" s="143"/>
      <c r="P30" s="130"/>
      <c r="T30" s="166"/>
    </row>
    <row r="31" spans="1:20">
      <c r="A31" s="160">
        <v>18</v>
      </c>
      <c r="C31" s="61" t="s">
        <v>36</v>
      </c>
      <c r="D31" s="171">
        <f>SUM(D17:D29)</f>
        <v>125682920.8472316</v>
      </c>
      <c r="F31" s="171">
        <f>SUM(F17:F29)</f>
        <v>37906840.293931149</v>
      </c>
      <c r="H31" s="171">
        <f>SUM(H21:H29)</f>
        <v>0</v>
      </c>
      <c r="K31" s="171">
        <f>SUM(K17:K29)</f>
        <v>163589761.14116275</v>
      </c>
      <c r="L31" s="143"/>
      <c r="M31" s="171">
        <f>SUM(M17:M29)</f>
        <v>-1665360.7711958478</v>
      </c>
      <c r="N31" s="143"/>
      <c r="O31" s="171">
        <f>SUM(O17:O29)</f>
        <v>161924400.36996689</v>
      </c>
      <c r="P31" s="130"/>
    </row>
    <row r="32" spans="1:20">
      <c r="A32" s="159">
        <v>19</v>
      </c>
      <c r="D32" s="130"/>
      <c r="F32" s="130"/>
      <c r="H32" s="130"/>
      <c r="K32" s="130"/>
      <c r="L32" s="130"/>
      <c r="M32" s="130"/>
      <c r="N32" s="130"/>
      <c r="O32" s="130"/>
      <c r="P32" s="130"/>
    </row>
    <row r="33" spans="1:21" ht="15.75" thickBot="1">
      <c r="A33" s="160">
        <v>20</v>
      </c>
      <c r="C33" s="61" t="s">
        <v>75</v>
      </c>
      <c r="D33" s="172">
        <f>D14-D31</f>
        <v>29122461.533541918</v>
      </c>
      <c r="F33" s="172">
        <f>F14-F31</f>
        <v>-4890209.4556935653</v>
      </c>
      <c r="H33" s="172">
        <f>H14-H31</f>
        <v>0</v>
      </c>
      <c r="K33" s="172">
        <f>K14-K31</f>
        <v>24232252.077848345</v>
      </c>
      <c r="L33" s="143"/>
      <c r="M33" s="172">
        <f>M14-M31</f>
        <v>1665360.7711958478</v>
      </c>
      <c r="N33" s="143"/>
      <c r="O33" s="172">
        <f>O14-O31</f>
        <v>25897612.849044204</v>
      </c>
      <c r="P33" s="130"/>
      <c r="Q33" s="161"/>
      <c r="S33" s="161"/>
      <c r="T33" s="143"/>
      <c r="U33" s="143"/>
    </row>
    <row r="34" spans="1:21" ht="15.75" thickTop="1">
      <c r="A34" s="160"/>
      <c r="D34" s="143"/>
      <c r="F34" s="143"/>
      <c r="G34" s="143"/>
      <c r="H34" s="143"/>
      <c r="K34" s="77"/>
      <c r="L34" s="143"/>
      <c r="M34" s="77"/>
      <c r="N34" s="143"/>
      <c r="O34" s="143"/>
      <c r="P34" s="143"/>
      <c r="Q34" s="161"/>
      <c r="S34" s="161"/>
      <c r="T34" s="143"/>
      <c r="U34" s="143"/>
    </row>
    <row r="35" spans="1:21">
      <c r="A35" s="159"/>
      <c r="D35" s="173"/>
      <c r="F35" s="143"/>
      <c r="G35" s="143"/>
      <c r="H35" s="143"/>
      <c r="K35" s="173"/>
      <c r="L35" s="143"/>
      <c r="M35" s="161"/>
      <c r="N35" s="143"/>
      <c r="O35" s="173"/>
      <c r="P35" s="143"/>
    </row>
    <row r="36" spans="1:21">
      <c r="A36" s="159"/>
      <c r="C36" s="62"/>
      <c r="D36" s="143"/>
      <c r="F36" s="143"/>
      <c r="G36" s="143"/>
      <c r="H36" s="143"/>
      <c r="K36" s="143"/>
      <c r="L36" s="143"/>
      <c r="M36" s="141"/>
      <c r="N36" s="143"/>
      <c r="O36" s="173"/>
      <c r="P36" s="143"/>
    </row>
    <row r="37" spans="1:21">
      <c r="A37" s="159"/>
      <c r="D37" s="173"/>
      <c r="F37" s="143"/>
      <c r="G37" s="143"/>
      <c r="H37" s="143"/>
      <c r="K37" s="173"/>
      <c r="L37" s="143"/>
      <c r="M37" s="161"/>
      <c r="N37" s="143"/>
      <c r="O37" s="173"/>
      <c r="P37" s="143"/>
    </row>
    <row r="38" spans="1:21">
      <c r="A38" s="160"/>
      <c r="B38" s="4"/>
      <c r="C38" s="62"/>
      <c r="D38" s="143"/>
      <c r="F38" s="143"/>
      <c r="G38" s="143"/>
      <c r="H38" s="143"/>
      <c r="K38" s="143"/>
      <c r="L38" s="143"/>
      <c r="N38" s="143"/>
      <c r="P38" s="143"/>
    </row>
    <row r="39" spans="1:21">
      <c r="A39" s="159"/>
      <c r="B39" s="5"/>
      <c r="C39" s="62"/>
      <c r="D39" s="143"/>
      <c r="F39" s="143"/>
      <c r="G39" s="143"/>
      <c r="H39" s="143"/>
      <c r="K39" s="143"/>
      <c r="L39" s="143"/>
      <c r="M39" s="161"/>
      <c r="N39" s="143"/>
      <c r="O39" s="161"/>
      <c r="P39" s="143"/>
      <c r="T39" s="166"/>
    </row>
    <row r="40" spans="1:21">
      <c r="D40" s="143"/>
      <c r="F40" s="143"/>
      <c r="G40" s="143"/>
      <c r="K40" s="143"/>
      <c r="L40" s="143"/>
      <c r="M40" s="143"/>
    </row>
    <row r="41" spans="1:21">
      <c r="D41" s="143"/>
      <c r="F41" s="143"/>
      <c r="G41" s="143"/>
      <c r="H41" s="161"/>
      <c r="K41" s="143"/>
      <c r="L41" s="143"/>
      <c r="M41" s="143"/>
      <c r="N41" s="143"/>
      <c r="O41" s="161"/>
      <c r="P41" s="143"/>
    </row>
    <row r="42" spans="1:21">
      <c r="A42" s="130"/>
      <c r="D42" s="143"/>
      <c r="F42" s="143"/>
      <c r="G42" s="143"/>
      <c r="K42" s="143"/>
      <c r="L42" s="143"/>
      <c r="M42" s="143"/>
      <c r="N42" s="143"/>
      <c r="P42" s="143"/>
      <c r="Q42" s="161"/>
      <c r="S42" s="161"/>
      <c r="T42" s="143"/>
      <c r="U42" s="143"/>
    </row>
    <row r="43" spans="1:21">
      <c r="A43" s="130"/>
      <c r="D43" s="143"/>
      <c r="F43" s="143"/>
      <c r="G43" s="143"/>
      <c r="H43" s="161"/>
      <c r="K43" s="143"/>
      <c r="L43" s="143"/>
      <c r="N43" s="143"/>
      <c r="O43" s="161"/>
      <c r="P43" s="143"/>
      <c r="Q43" s="161"/>
      <c r="S43" s="161"/>
      <c r="T43" s="143"/>
      <c r="U43" s="143"/>
    </row>
    <row r="44" spans="1:21">
      <c r="A44" s="130"/>
      <c r="C44" s="130"/>
      <c r="D44" s="143"/>
      <c r="F44" s="143"/>
      <c r="G44" s="143"/>
      <c r="M44" s="143"/>
    </row>
    <row r="45" spans="1:21">
      <c r="A45" s="130"/>
      <c r="C45" s="130"/>
      <c r="D45" s="143"/>
      <c r="F45" s="143"/>
      <c r="G45" s="143"/>
    </row>
    <row r="46" spans="1:21">
      <c r="D46" s="143"/>
      <c r="F46" s="143"/>
      <c r="G46" s="143"/>
      <c r="K46" s="166"/>
      <c r="L46" s="166"/>
      <c r="N46" s="166"/>
      <c r="P46" s="166"/>
      <c r="T46" s="166"/>
    </row>
    <row r="47" spans="1:21">
      <c r="A47" s="130"/>
      <c r="D47" s="143"/>
      <c r="F47" s="143"/>
      <c r="G47" s="143"/>
    </row>
    <row r="48" spans="1:21">
      <c r="C48" s="2"/>
      <c r="E48" s="143"/>
      <c r="G48" s="143"/>
    </row>
    <row r="49" spans="1:23">
      <c r="A49" s="130"/>
      <c r="C49" s="130"/>
      <c r="E49" s="143"/>
      <c r="F49" s="161"/>
      <c r="G49" s="143"/>
      <c r="H49" s="161"/>
      <c r="K49" s="161"/>
      <c r="L49" s="130"/>
      <c r="M49" s="161"/>
      <c r="N49" s="130"/>
      <c r="O49" s="161"/>
      <c r="P49" s="130"/>
      <c r="Q49" s="161"/>
      <c r="S49" s="161"/>
      <c r="T49" s="143"/>
      <c r="V49" s="130"/>
    </row>
    <row r="50" spans="1:23">
      <c r="C50" s="130"/>
      <c r="D50" s="161"/>
      <c r="E50" s="143"/>
      <c r="F50" s="161"/>
      <c r="G50" s="143"/>
      <c r="H50" s="161"/>
      <c r="K50" s="161"/>
      <c r="L50" s="130"/>
      <c r="M50" s="161"/>
      <c r="N50" s="130"/>
      <c r="O50" s="161"/>
      <c r="P50" s="130"/>
      <c r="Q50" s="161"/>
      <c r="S50" s="161"/>
      <c r="T50" s="143"/>
    </row>
    <row r="51" spans="1:23">
      <c r="D51" s="161"/>
      <c r="V51" s="130"/>
    </row>
    <row r="52" spans="1:23">
      <c r="V52" s="130"/>
      <c r="W52" s="143"/>
    </row>
    <row r="53" spans="1:23">
      <c r="V53" s="130"/>
      <c r="W53" s="143"/>
    </row>
    <row r="56" spans="1:23">
      <c r="V56" s="166"/>
    </row>
    <row r="58" spans="1:23">
      <c r="S58" s="143"/>
      <c r="T58" s="143"/>
    </row>
    <row r="59" spans="1:23">
      <c r="E59" s="130"/>
      <c r="R59" s="130"/>
      <c r="S59" s="143"/>
      <c r="T59" s="143"/>
    </row>
    <row r="62" spans="1:23">
      <c r="R62" s="166"/>
    </row>
    <row r="63" spans="1:23">
      <c r="R63" s="130"/>
    </row>
    <row r="64" spans="1:23">
      <c r="R64" s="130"/>
    </row>
    <row r="65" spans="1:18">
      <c r="R65" s="130"/>
    </row>
    <row r="67" spans="1:18">
      <c r="A67" s="130"/>
    </row>
    <row r="68" spans="1:18">
      <c r="A68" s="130"/>
      <c r="C68" s="130"/>
      <c r="G68" s="166"/>
      <c r="I68" s="166"/>
      <c r="J68" s="166"/>
      <c r="L68" s="166"/>
      <c r="N68" s="166"/>
      <c r="P68" s="166"/>
      <c r="R68" s="166"/>
    </row>
    <row r="69" spans="1:18">
      <c r="G69" s="130"/>
      <c r="R69" s="130"/>
    </row>
    <row r="70" spans="1:18">
      <c r="A70" s="130"/>
    </row>
    <row r="71" spans="1:18">
      <c r="A71" s="130"/>
    </row>
    <row r="72" spans="1:18">
      <c r="A72" s="130"/>
    </row>
    <row r="73" spans="1:18">
      <c r="A73" s="130"/>
    </row>
    <row r="75" spans="1:18">
      <c r="A75" s="130"/>
    </row>
    <row r="76" spans="1:18">
      <c r="A76" s="130"/>
    </row>
    <row r="79" spans="1:18">
      <c r="A79" s="130"/>
    </row>
    <row r="80" spans="1:18">
      <c r="C80" s="130"/>
    </row>
    <row r="86" spans="7:18">
      <c r="G86" s="130"/>
      <c r="I86" s="130"/>
      <c r="J86" s="130"/>
      <c r="L86" s="130"/>
      <c r="N86" s="130"/>
      <c r="P86" s="130"/>
      <c r="R86" s="130"/>
    </row>
    <row r="87" spans="7:18">
      <c r="G87" s="130"/>
      <c r="I87" s="130"/>
      <c r="J87" s="130"/>
      <c r="L87" s="130"/>
      <c r="N87" s="130"/>
      <c r="P87" s="130"/>
      <c r="R87" s="130"/>
    </row>
    <row r="88" spans="7:18">
      <c r="G88" s="130"/>
      <c r="I88" s="130"/>
      <c r="J88" s="130"/>
      <c r="L88" s="130"/>
      <c r="N88" s="130"/>
      <c r="P88" s="130"/>
      <c r="R88" s="130"/>
    </row>
    <row r="89" spans="7:18">
      <c r="G89" s="130"/>
      <c r="I89" s="130"/>
      <c r="J89" s="130"/>
      <c r="L89" s="130"/>
      <c r="N89" s="130"/>
      <c r="P89" s="130"/>
      <c r="R89" s="130"/>
    </row>
    <row r="90" spans="7:18">
      <c r="G90" s="130"/>
      <c r="I90" s="130"/>
      <c r="J90" s="130"/>
      <c r="L90" s="130"/>
      <c r="N90" s="130"/>
      <c r="P90" s="130"/>
      <c r="R90" s="130"/>
    </row>
    <row r="91" spans="7:18">
      <c r="G91" s="130"/>
      <c r="I91" s="130"/>
      <c r="J91" s="130"/>
      <c r="L91" s="130"/>
      <c r="N91" s="130"/>
      <c r="P91" s="130"/>
      <c r="R91" s="130"/>
    </row>
    <row r="92" spans="7:18">
      <c r="G92" s="130"/>
      <c r="I92" s="130"/>
      <c r="J92" s="130"/>
      <c r="L92" s="130"/>
      <c r="N92" s="130"/>
      <c r="P92" s="130"/>
      <c r="R92" s="130"/>
    </row>
    <row r="93" spans="7:18">
      <c r="G93" s="130"/>
      <c r="I93" s="130"/>
      <c r="J93" s="130"/>
      <c r="L93" s="130"/>
      <c r="N93" s="130"/>
      <c r="P93" s="130"/>
      <c r="R93" s="130"/>
    </row>
    <row r="94" spans="7:18">
      <c r="G94" s="130"/>
      <c r="I94" s="130"/>
      <c r="J94" s="130"/>
      <c r="L94" s="130"/>
      <c r="N94" s="130"/>
      <c r="P94" s="130"/>
      <c r="R94" s="130"/>
    </row>
    <row r="95" spans="7:18">
      <c r="G95" s="130"/>
      <c r="I95" s="130"/>
      <c r="J95" s="130"/>
      <c r="L95" s="130"/>
      <c r="N95" s="130"/>
      <c r="P95" s="130"/>
      <c r="R95" s="130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5" right="0.75" top="1" bottom="1" header="0.25" footer="0.5"/>
  <pageSetup scale="70" orientation="landscape" r:id="rId1"/>
  <headerFooter alignWithMargins="0">
    <oddHeader>&amp;R&amp;8CASE NO. 2024-00276 
FR 16(8)(c)
ATTACHMENT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5BE3-27F7-431F-B3A4-C417E54D59E1}">
  <sheetPr>
    <tabColor rgb="FF92D050"/>
  </sheetPr>
  <dimension ref="A1:G192"/>
  <sheetViews>
    <sheetView view="pageBreakPreview" zoomScale="80" zoomScaleNormal="100" zoomScaleSheetLayoutView="80" workbookViewId="0">
      <selection sqref="A1:D1"/>
    </sheetView>
  </sheetViews>
  <sheetFormatPr defaultColWidth="8.44140625" defaultRowHeight="15.75" customHeight="1"/>
  <cols>
    <col min="1" max="1" width="4.77734375" style="6" customWidth="1"/>
    <col min="2" max="2" width="11.88671875" style="6" customWidth="1"/>
    <col min="3" max="3" width="49.109375" style="6" customWidth="1"/>
    <col min="4" max="4" width="15.5546875" style="6" customWidth="1"/>
    <col min="5" max="5" width="7.21875" style="6" customWidth="1"/>
    <col min="6" max="6" width="11.44140625" style="6" bestFit="1" customWidth="1"/>
    <col min="7" max="7" width="10" style="6" bestFit="1" customWidth="1"/>
    <col min="8" max="8" width="10.21875" style="6" customWidth="1"/>
    <col min="9" max="16384" width="8.44140625" style="6"/>
  </cols>
  <sheetData>
    <row r="1" spans="1:7" ht="15.75" customHeight="1">
      <c r="A1" s="188" t="s">
        <v>407</v>
      </c>
      <c r="B1" s="188"/>
      <c r="C1" s="188"/>
      <c r="D1" s="188"/>
    </row>
    <row r="2" spans="1:7" ht="15.75" customHeight="1">
      <c r="A2" s="188" t="s">
        <v>408</v>
      </c>
      <c r="B2" s="188"/>
      <c r="C2" s="188"/>
      <c r="D2" s="188"/>
    </row>
    <row r="3" spans="1:7" ht="15.75" customHeight="1">
      <c r="A3" s="188" t="s">
        <v>9</v>
      </c>
      <c r="B3" s="188"/>
      <c r="C3" s="188"/>
      <c r="D3" s="188"/>
    </row>
    <row r="4" spans="1:7" ht="15.75" customHeight="1">
      <c r="A4" s="188" t="s">
        <v>409</v>
      </c>
      <c r="B4" s="188"/>
      <c r="C4" s="188"/>
      <c r="D4" s="188"/>
    </row>
    <row r="5" spans="1:7" ht="15.75" customHeight="1">
      <c r="A5" s="8"/>
      <c r="B5" s="8"/>
      <c r="C5" s="9"/>
      <c r="D5" s="9"/>
    </row>
    <row r="6" spans="1:7" ht="15.75" customHeight="1">
      <c r="A6" s="10" t="s">
        <v>76</v>
      </c>
      <c r="D6" s="11" t="s">
        <v>77</v>
      </c>
    </row>
    <row r="7" spans="1:7" ht="15.75" customHeight="1">
      <c r="A7" s="61" t="s">
        <v>16</v>
      </c>
      <c r="D7" s="12" t="s">
        <v>78</v>
      </c>
    </row>
    <row r="8" spans="1:7" ht="15.75" customHeight="1">
      <c r="A8" s="13" t="s">
        <v>18</v>
      </c>
      <c r="B8" s="14"/>
      <c r="C8" s="14"/>
      <c r="D8" s="152" t="str">
        <f>'C.1'!J9</f>
        <v>Witness: Waller, Wiebe, Troup</v>
      </c>
    </row>
    <row r="9" spans="1:7" ht="15.75" customHeight="1">
      <c r="D9" s="7"/>
    </row>
    <row r="10" spans="1:7" ht="15.75" customHeight="1">
      <c r="A10" s="15" t="s">
        <v>22</v>
      </c>
      <c r="B10" s="7" t="s">
        <v>79</v>
      </c>
      <c r="C10" s="15" t="s">
        <v>79</v>
      </c>
      <c r="D10" s="7" t="s">
        <v>80</v>
      </c>
    </row>
    <row r="11" spans="1:7" ht="15.75" customHeight="1">
      <c r="A11" s="16" t="s">
        <v>25</v>
      </c>
      <c r="B11" s="17" t="s">
        <v>81</v>
      </c>
      <c r="C11" s="16" t="s">
        <v>82</v>
      </c>
      <c r="D11" s="17" t="s">
        <v>83</v>
      </c>
    </row>
    <row r="12" spans="1:7" ht="15.75" customHeight="1">
      <c r="D12" s="7" t="s">
        <v>84</v>
      </c>
    </row>
    <row r="13" spans="1:7" ht="15.75" customHeight="1">
      <c r="A13" s="7">
        <v>1</v>
      </c>
      <c r="B13" s="18"/>
      <c r="C13" s="19" t="s">
        <v>85</v>
      </c>
    </row>
    <row r="14" spans="1:7" ht="15.75" customHeight="1">
      <c r="A14" s="7">
        <f>A13+1</f>
        <v>2</v>
      </c>
      <c r="B14" s="18"/>
      <c r="C14" s="19" t="s">
        <v>86</v>
      </c>
    </row>
    <row r="15" spans="1:7" ht="15.75" customHeight="1">
      <c r="A15" s="7">
        <f t="shared" ref="A15:A78" si="0">A14+1</f>
        <v>3</v>
      </c>
      <c r="B15" s="20">
        <v>4800</v>
      </c>
      <c r="C15" s="21" t="s">
        <v>87</v>
      </c>
      <c r="D15" s="30">
        <f>-'C.2.2 B 09'!P17</f>
        <v>87647010.4563988</v>
      </c>
      <c r="F15" s="22"/>
      <c r="G15" s="22"/>
    </row>
    <row r="16" spans="1:7" ht="15.75" customHeight="1">
      <c r="A16" s="7">
        <f t="shared" si="0"/>
        <v>4</v>
      </c>
      <c r="B16" s="20">
        <v>4805</v>
      </c>
      <c r="C16" s="21" t="s">
        <v>88</v>
      </c>
      <c r="D16" s="31">
        <f>-'C.2.2 B 09'!P18</f>
        <v>-4396720.34</v>
      </c>
      <c r="F16" s="22"/>
      <c r="G16" s="22"/>
    </row>
    <row r="17" spans="1:7" ht="15.75" customHeight="1">
      <c r="A17" s="7">
        <f t="shared" si="0"/>
        <v>5</v>
      </c>
      <c r="B17" s="20">
        <v>4811</v>
      </c>
      <c r="C17" s="21" t="s">
        <v>89</v>
      </c>
      <c r="D17" s="31">
        <f>-'C.2.2 B 09'!P19</f>
        <v>41998643.1162287</v>
      </c>
      <c r="F17" s="22"/>
      <c r="G17" s="22"/>
    </row>
    <row r="18" spans="1:7" ht="15.75" customHeight="1">
      <c r="A18" s="7">
        <f t="shared" si="0"/>
        <v>6</v>
      </c>
      <c r="B18" s="20">
        <v>4812</v>
      </c>
      <c r="C18" s="21" t="s">
        <v>90</v>
      </c>
      <c r="D18" s="31">
        <f>-'C.2.2 B 09'!P20</f>
        <v>4073458.9587275949</v>
      </c>
      <c r="F18" s="22"/>
      <c r="G18" s="22"/>
    </row>
    <row r="19" spans="1:7" ht="15.75" customHeight="1">
      <c r="A19" s="7">
        <f t="shared" si="0"/>
        <v>7</v>
      </c>
      <c r="B19" s="20">
        <v>4815</v>
      </c>
      <c r="C19" s="21" t="s">
        <v>91</v>
      </c>
      <c r="D19" s="31">
        <f>-'C.2.2 B 09'!P21</f>
        <v>-1896159.99</v>
      </c>
      <c r="F19" s="22"/>
      <c r="G19" s="22"/>
    </row>
    <row r="20" spans="1:7" ht="15.75" customHeight="1">
      <c r="A20" s="7">
        <f t="shared" si="0"/>
        <v>8</v>
      </c>
      <c r="B20" s="20">
        <v>4816</v>
      </c>
      <c r="C20" s="21" t="s">
        <v>92</v>
      </c>
      <c r="D20" s="31">
        <f>-'C.2.2 B 09'!P22</f>
        <v>-34310.17</v>
      </c>
      <c r="F20" s="22"/>
      <c r="G20" s="22"/>
    </row>
    <row r="21" spans="1:7" ht="15.75" customHeight="1">
      <c r="A21" s="7">
        <f t="shared" si="0"/>
        <v>9</v>
      </c>
      <c r="B21" s="20">
        <v>4820</v>
      </c>
      <c r="C21" s="21" t="s">
        <v>93</v>
      </c>
      <c r="D21" s="31">
        <f>-'C.2.2 B 09'!P23</f>
        <v>5745917.5156199615</v>
      </c>
      <c r="F21" s="22"/>
      <c r="G21" s="22"/>
    </row>
    <row r="22" spans="1:7" ht="15.75" customHeight="1">
      <c r="A22" s="7">
        <f t="shared" si="0"/>
        <v>10</v>
      </c>
      <c r="B22" s="20">
        <v>4825</v>
      </c>
      <c r="C22" s="21" t="s">
        <v>94</v>
      </c>
      <c r="D22" s="37">
        <f>-'C.2.2 B 09'!P24</f>
        <v>-337566.93</v>
      </c>
      <c r="F22" s="22"/>
      <c r="G22" s="22"/>
    </row>
    <row r="23" spans="1:7" ht="15.75" customHeight="1">
      <c r="A23" s="7">
        <f t="shared" si="0"/>
        <v>11</v>
      </c>
      <c r="B23" s="7"/>
      <c r="C23" s="15" t="s">
        <v>95</v>
      </c>
      <c r="D23" s="30">
        <f>SUM(D15:D22)</f>
        <v>132800272.61697505</v>
      </c>
    </row>
    <row r="24" spans="1:7" ht="15.75" customHeight="1">
      <c r="A24" s="7">
        <f t="shared" si="0"/>
        <v>12</v>
      </c>
      <c r="B24" s="7"/>
    </row>
    <row r="25" spans="1:7" ht="15.75" customHeight="1">
      <c r="A25" s="7">
        <f t="shared" si="0"/>
        <v>13</v>
      </c>
      <c r="B25" s="23"/>
      <c r="C25" s="19" t="s">
        <v>96</v>
      </c>
      <c r="D25" s="24"/>
    </row>
    <row r="26" spans="1:7" ht="15.75" customHeight="1">
      <c r="A26" s="7">
        <f t="shared" si="0"/>
        <v>14</v>
      </c>
      <c r="B26" s="20">
        <v>4870</v>
      </c>
      <c r="C26" s="21" t="s">
        <v>97</v>
      </c>
      <c r="D26" s="30">
        <f>-'C.2.2 B 09'!P25</f>
        <v>197310.00629602867</v>
      </c>
    </row>
    <row r="27" spans="1:7" ht="15.75" customHeight="1">
      <c r="A27" s="7">
        <f t="shared" si="0"/>
        <v>15</v>
      </c>
      <c r="B27" s="20">
        <v>4880</v>
      </c>
      <c r="C27" s="21" t="s">
        <v>98</v>
      </c>
      <c r="D27" s="31">
        <f>-'C.2.2 B 09'!P26</f>
        <v>58913</v>
      </c>
    </row>
    <row r="28" spans="1:7" ht="15.75" customHeight="1">
      <c r="A28" s="7">
        <f t="shared" si="0"/>
        <v>16</v>
      </c>
      <c r="B28" s="20">
        <v>4893</v>
      </c>
      <c r="C28" s="21" t="s">
        <v>99</v>
      </c>
      <c r="D28" s="31">
        <f>-'C.2.2 B 09'!P27</f>
        <v>21748886.757502422</v>
      </c>
    </row>
    <row r="29" spans="1:7" ht="15.75" customHeight="1">
      <c r="A29" s="7">
        <f t="shared" si="0"/>
        <v>17</v>
      </c>
      <c r="B29" s="20">
        <v>4950</v>
      </c>
      <c r="C29" s="21" t="s">
        <v>100</v>
      </c>
      <c r="D29" s="31">
        <f>-'C.2.2 B 09'!P28</f>
        <v>0</v>
      </c>
    </row>
    <row r="30" spans="1:7" ht="15.75" customHeight="1">
      <c r="A30" s="7"/>
      <c r="B30" s="20">
        <v>4960</v>
      </c>
      <c r="C30" s="21" t="s">
        <v>101</v>
      </c>
      <c r="D30" s="31">
        <f>-'C.2.2 B 09'!P29</f>
        <v>0</v>
      </c>
    </row>
    <row r="31" spans="1:7" ht="15.75" customHeight="1">
      <c r="A31" s="7">
        <f>A29+1</f>
        <v>18</v>
      </c>
      <c r="B31" s="23"/>
      <c r="C31" s="15" t="s">
        <v>102</v>
      </c>
      <c r="D31" s="153">
        <f>SUM(D26:D30)</f>
        <v>22005109.763798449</v>
      </c>
    </row>
    <row r="32" spans="1:7" ht="15.75" customHeight="1">
      <c r="A32" s="7">
        <f t="shared" si="0"/>
        <v>19</v>
      </c>
      <c r="B32" s="23"/>
      <c r="D32" s="24"/>
    </row>
    <row r="33" spans="1:5" ht="15.75" customHeight="1">
      <c r="A33" s="7">
        <f t="shared" si="0"/>
        <v>20</v>
      </c>
      <c r="B33" s="7"/>
      <c r="C33" s="15" t="s">
        <v>103</v>
      </c>
      <c r="D33" s="30">
        <f>D23+D31</f>
        <v>154805382.38077351</v>
      </c>
      <c r="E33" s="25"/>
    </row>
    <row r="34" spans="1:5" ht="15.75" customHeight="1">
      <c r="A34" s="7">
        <f t="shared" si="0"/>
        <v>21</v>
      </c>
      <c r="B34" s="23"/>
      <c r="D34" s="24"/>
    </row>
    <row r="35" spans="1:5" ht="15.75" customHeight="1">
      <c r="A35" s="7">
        <f t="shared" si="0"/>
        <v>22</v>
      </c>
      <c r="B35" s="23"/>
      <c r="C35" s="19" t="s">
        <v>104</v>
      </c>
      <c r="D35" s="24"/>
    </row>
    <row r="36" spans="1:5" ht="15.75" customHeight="1">
      <c r="A36" s="7">
        <f t="shared" si="0"/>
        <v>23</v>
      </c>
      <c r="B36" s="23"/>
      <c r="C36" s="26" t="s">
        <v>105</v>
      </c>
      <c r="D36" s="27"/>
    </row>
    <row r="37" spans="1:5" ht="15.75" customHeight="1">
      <c r="A37" s="7">
        <f t="shared" si="0"/>
        <v>24</v>
      </c>
      <c r="B37" s="28">
        <v>7560</v>
      </c>
      <c r="C37" s="21" t="s">
        <v>106</v>
      </c>
      <c r="D37" s="33">
        <f>'C.2.2 B 09'!P30</f>
        <v>0</v>
      </c>
    </row>
    <row r="38" spans="1:5" ht="15.75" customHeight="1">
      <c r="A38" s="7">
        <f t="shared" si="0"/>
        <v>25</v>
      </c>
      <c r="B38" s="28">
        <v>7590</v>
      </c>
      <c r="C38" s="21" t="s">
        <v>107</v>
      </c>
      <c r="D38" s="37">
        <f>'C.2.2 B 09'!P31</f>
        <v>0</v>
      </c>
    </row>
    <row r="39" spans="1:5" ht="15.75" customHeight="1">
      <c r="A39" s="7">
        <f t="shared" si="0"/>
        <v>26</v>
      </c>
      <c r="B39" s="23"/>
      <c r="C39" s="29" t="s">
        <v>108</v>
      </c>
      <c r="D39" s="30">
        <f>SUM(D37:D38)</f>
        <v>0</v>
      </c>
    </row>
    <row r="40" spans="1:5" ht="15.75" customHeight="1">
      <c r="A40" s="7">
        <f t="shared" si="0"/>
        <v>27</v>
      </c>
      <c r="B40" s="23"/>
      <c r="C40" s="29"/>
      <c r="D40" s="30"/>
    </row>
    <row r="41" spans="1:5" ht="15.75" customHeight="1">
      <c r="A41" s="7">
        <f t="shared" si="0"/>
        <v>28</v>
      </c>
      <c r="B41" s="23"/>
      <c r="C41" s="26" t="s">
        <v>109</v>
      </c>
      <c r="D41" s="31"/>
    </row>
    <row r="42" spans="1:5" ht="15.75" customHeight="1">
      <c r="A42" s="7">
        <f t="shared" si="0"/>
        <v>29</v>
      </c>
      <c r="B42" s="28">
        <v>7610</v>
      </c>
      <c r="C42" s="21" t="s">
        <v>110</v>
      </c>
      <c r="D42" s="32">
        <v>0</v>
      </c>
    </row>
    <row r="43" spans="1:5" ht="15.75" customHeight="1">
      <c r="A43" s="7">
        <f t="shared" si="0"/>
        <v>30</v>
      </c>
      <c r="B43" s="23"/>
      <c r="C43" s="10"/>
      <c r="D43" s="30">
        <f>SUM(D42)</f>
        <v>0</v>
      </c>
    </row>
    <row r="44" spans="1:5" ht="15.75" customHeight="1">
      <c r="A44" s="7">
        <f t="shared" si="0"/>
        <v>31</v>
      </c>
      <c r="B44" s="23"/>
      <c r="C44" s="26" t="s">
        <v>111</v>
      </c>
      <c r="D44" s="27"/>
    </row>
    <row r="45" spans="1:5" ht="15.75" customHeight="1">
      <c r="A45" s="7">
        <f t="shared" si="0"/>
        <v>32</v>
      </c>
      <c r="B45" s="28">
        <v>8140</v>
      </c>
      <c r="C45" s="21" t="s">
        <v>112</v>
      </c>
      <c r="D45" s="38">
        <f>'C.2.2 B 09'!P47</f>
        <v>0</v>
      </c>
    </row>
    <row r="46" spans="1:5" ht="15.75" customHeight="1">
      <c r="A46" s="7">
        <f t="shared" si="0"/>
        <v>33</v>
      </c>
      <c r="B46" s="28">
        <v>8150</v>
      </c>
      <c r="C46" s="21" t="s">
        <v>113</v>
      </c>
      <c r="D46" s="33">
        <v>0</v>
      </c>
    </row>
    <row r="47" spans="1:5" ht="15.75" customHeight="1">
      <c r="A47" s="7">
        <f t="shared" si="0"/>
        <v>34</v>
      </c>
      <c r="B47" s="28">
        <v>8160</v>
      </c>
      <c r="C47" s="21" t="s">
        <v>114</v>
      </c>
      <c r="D47" s="33">
        <f>'C.2.2 B 09'!P48</f>
        <v>33549.474566406876</v>
      </c>
    </row>
    <row r="48" spans="1:5" ht="15.75" customHeight="1">
      <c r="A48" s="7">
        <f t="shared" si="0"/>
        <v>35</v>
      </c>
      <c r="B48" s="28">
        <v>8170</v>
      </c>
      <c r="C48" s="21" t="s">
        <v>115</v>
      </c>
      <c r="D48" s="33">
        <f>'C.2.2 B 09'!P49</f>
        <v>21362.49709374841</v>
      </c>
    </row>
    <row r="49" spans="1:4" ht="15.75" customHeight="1">
      <c r="A49" s="7">
        <f t="shared" si="0"/>
        <v>36</v>
      </c>
      <c r="B49" s="28">
        <v>8180</v>
      </c>
      <c r="C49" s="21" t="s">
        <v>116</v>
      </c>
      <c r="D49" s="33">
        <f>'C.2.2 B 09'!P50</f>
        <v>39826.50315490854</v>
      </c>
    </row>
    <row r="50" spans="1:4" ht="15.75" customHeight="1">
      <c r="A50" s="7">
        <f t="shared" si="0"/>
        <v>37</v>
      </c>
      <c r="B50" s="34">
        <v>8190</v>
      </c>
      <c r="C50" s="35" t="s">
        <v>117</v>
      </c>
      <c r="D50" s="33">
        <f>'C.2.2 B 09'!P51</f>
        <v>0</v>
      </c>
    </row>
    <row r="51" spans="1:4" ht="15.75" customHeight="1">
      <c r="A51" s="7">
        <f t="shared" si="0"/>
        <v>38</v>
      </c>
      <c r="B51" s="34">
        <v>8200</v>
      </c>
      <c r="C51" s="35" t="s">
        <v>118</v>
      </c>
      <c r="D51" s="33">
        <f>'C.2.2 B 09'!P52</f>
        <v>8836.0304460746102</v>
      </c>
    </row>
    <row r="52" spans="1:4" ht="15.75" customHeight="1">
      <c r="A52" s="7">
        <f t="shared" si="0"/>
        <v>39</v>
      </c>
      <c r="B52" s="34">
        <v>8210</v>
      </c>
      <c r="C52" s="35" t="s">
        <v>119</v>
      </c>
      <c r="D52" s="33">
        <f>'C.2.2 B 09'!P53</f>
        <v>76520.962523018723</v>
      </c>
    </row>
    <row r="53" spans="1:4" ht="15.75" customHeight="1">
      <c r="A53" s="7">
        <f t="shared" si="0"/>
        <v>40</v>
      </c>
      <c r="B53" s="34">
        <v>8240</v>
      </c>
      <c r="C53" s="35" t="s">
        <v>120</v>
      </c>
      <c r="D53" s="33">
        <f>'C.2.2 B 09'!P54</f>
        <v>0</v>
      </c>
    </row>
    <row r="54" spans="1:4" ht="15.75" customHeight="1">
      <c r="A54" s="7">
        <f t="shared" si="0"/>
        <v>41</v>
      </c>
      <c r="B54" s="34">
        <v>8250</v>
      </c>
      <c r="C54" s="35" t="s">
        <v>121</v>
      </c>
      <c r="D54" s="37">
        <f>'C.2.2 B 09'!P55</f>
        <v>10110.669291810842</v>
      </c>
    </row>
    <row r="55" spans="1:4" ht="15.75" customHeight="1">
      <c r="A55" s="7">
        <f t="shared" si="0"/>
        <v>42</v>
      </c>
      <c r="B55" s="23"/>
      <c r="C55" s="29" t="s">
        <v>122</v>
      </c>
      <c r="D55" s="30">
        <f>SUM(D45:D54)</f>
        <v>190206.13707596797</v>
      </c>
    </row>
    <row r="56" spans="1:4" ht="15.75" customHeight="1">
      <c r="A56" s="7">
        <f t="shared" si="0"/>
        <v>43</v>
      </c>
      <c r="B56" s="23"/>
      <c r="C56" s="10"/>
      <c r="D56" s="31"/>
    </row>
    <row r="57" spans="1:4" ht="15.75" customHeight="1">
      <c r="A57" s="7">
        <f t="shared" si="0"/>
        <v>44</v>
      </c>
      <c r="B57" s="23"/>
      <c r="C57" s="26" t="s">
        <v>123</v>
      </c>
      <c r="D57" s="31"/>
    </row>
    <row r="58" spans="1:4" ht="15.75" customHeight="1">
      <c r="A58" s="7">
        <f t="shared" si="0"/>
        <v>45</v>
      </c>
      <c r="B58" s="34">
        <v>8310</v>
      </c>
      <c r="C58" s="35" t="s">
        <v>124</v>
      </c>
      <c r="D58" s="38">
        <f>'C.2.2 B 09'!P56</f>
        <v>0</v>
      </c>
    </row>
    <row r="59" spans="1:4" ht="15.75" customHeight="1">
      <c r="A59" s="7">
        <f t="shared" si="0"/>
        <v>46</v>
      </c>
      <c r="B59" s="34">
        <v>8320</v>
      </c>
      <c r="C59" s="35" t="s">
        <v>125</v>
      </c>
      <c r="D59" s="33">
        <v>0</v>
      </c>
    </row>
    <row r="60" spans="1:4" ht="15.75" customHeight="1">
      <c r="A60" s="7">
        <f t="shared" si="0"/>
        <v>47</v>
      </c>
      <c r="B60" s="34">
        <v>8340</v>
      </c>
      <c r="C60" s="35" t="s">
        <v>126</v>
      </c>
      <c r="D60" s="33">
        <f>'C.2.2 B 09'!P57</f>
        <v>41017.471971377607</v>
      </c>
    </row>
    <row r="61" spans="1:4" ht="15.75" customHeight="1">
      <c r="A61" s="7">
        <f t="shared" si="0"/>
        <v>48</v>
      </c>
      <c r="B61" s="34">
        <v>8350</v>
      </c>
      <c r="C61" s="35" t="s">
        <v>127</v>
      </c>
      <c r="D61" s="33">
        <f>'C.2.2 B 09'!P58</f>
        <v>0</v>
      </c>
    </row>
    <row r="62" spans="1:4" ht="15.75" customHeight="1">
      <c r="A62" s="7">
        <f t="shared" si="0"/>
        <v>49</v>
      </c>
      <c r="B62" s="34">
        <v>8360</v>
      </c>
      <c r="C62" s="35" t="s">
        <v>128</v>
      </c>
      <c r="D62" s="33">
        <f>'C.2.2 B 09'!P59</f>
        <v>0</v>
      </c>
    </row>
    <row r="63" spans="1:4" ht="15.75" customHeight="1">
      <c r="A63" s="7">
        <f t="shared" si="0"/>
        <v>50</v>
      </c>
      <c r="B63" s="34">
        <v>8370</v>
      </c>
      <c r="C63" s="35" t="s">
        <v>129</v>
      </c>
      <c r="D63" s="33">
        <f>'C.2.2 B 09'!P60</f>
        <v>0</v>
      </c>
    </row>
    <row r="64" spans="1:4" ht="15.75" customHeight="1">
      <c r="A64" s="7">
        <f t="shared" si="0"/>
        <v>51</v>
      </c>
      <c r="B64" s="36" t="s">
        <v>130</v>
      </c>
      <c r="C64" s="35" t="s">
        <v>131</v>
      </c>
      <c r="D64" s="33">
        <f>'C.2.2 B 09'!P61</f>
        <v>206958.12650182965</v>
      </c>
    </row>
    <row r="65" spans="1:4" ht="15.75" customHeight="1">
      <c r="A65" s="7">
        <f t="shared" si="0"/>
        <v>52</v>
      </c>
      <c r="B65" s="23"/>
      <c r="C65" s="29" t="s">
        <v>132</v>
      </c>
      <c r="D65" s="153">
        <f>SUM(D58:D64)</f>
        <v>247975.59847320727</v>
      </c>
    </row>
    <row r="66" spans="1:4" ht="15.75" customHeight="1">
      <c r="A66" s="7">
        <f t="shared" si="0"/>
        <v>53</v>
      </c>
      <c r="B66" s="23"/>
      <c r="C66" s="10"/>
      <c r="D66" s="31"/>
    </row>
    <row r="67" spans="1:4" ht="15.75" customHeight="1">
      <c r="A67" s="7">
        <f t="shared" si="0"/>
        <v>54</v>
      </c>
      <c r="B67" s="23"/>
      <c r="C67" s="26" t="s">
        <v>133</v>
      </c>
      <c r="D67" s="31"/>
    </row>
    <row r="68" spans="1:4" ht="15.75" customHeight="1">
      <c r="A68" s="7">
        <f t="shared" si="0"/>
        <v>55</v>
      </c>
      <c r="B68" s="34">
        <v>8500</v>
      </c>
      <c r="C68" s="35" t="s">
        <v>112</v>
      </c>
      <c r="D68" s="38">
        <f>'C.2.2 B 09'!P62</f>
        <v>0</v>
      </c>
    </row>
    <row r="69" spans="1:4" ht="15.75" customHeight="1">
      <c r="A69" s="7">
        <f t="shared" si="0"/>
        <v>56</v>
      </c>
      <c r="B69" s="34">
        <v>8520</v>
      </c>
      <c r="C69" s="35" t="s">
        <v>134</v>
      </c>
      <c r="D69" s="33">
        <f>'C.2.2 B 09'!P63</f>
        <v>0</v>
      </c>
    </row>
    <row r="70" spans="1:4" ht="15.75" customHeight="1">
      <c r="A70" s="7">
        <f t="shared" si="0"/>
        <v>57</v>
      </c>
      <c r="B70" s="34">
        <v>8550</v>
      </c>
      <c r="C70" s="35" t="s">
        <v>135</v>
      </c>
      <c r="D70" s="33">
        <f>'C.2.2 B 09'!P64</f>
        <v>471.06802709329565</v>
      </c>
    </row>
    <row r="71" spans="1:4" ht="15.75" customHeight="1">
      <c r="A71" s="7">
        <f t="shared" si="0"/>
        <v>58</v>
      </c>
      <c r="B71" s="34">
        <v>8560</v>
      </c>
      <c r="C71" s="35" t="s">
        <v>136</v>
      </c>
      <c r="D71" s="33">
        <f>'C.2.2 B 09'!P65</f>
        <v>131469.5837375955</v>
      </c>
    </row>
    <row r="72" spans="1:4" ht="15.75" customHeight="1">
      <c r="A72" s="7">
        <f t="shared" si="0"/>
        <v>59</v>
      </c>
      <c r="B72" s="34">
        <v>8570</v>
      </c>
      <c r="C72" s="35" t="s">
        <v>137</v>
      </c>
      <c r="D72" s="33">
        <f>'C.2.2 B 09'!P66</f>
        <v>11353.078366342539</v>
      </c>
    </row>
    <row r="73" spans="1:4" ht="15.75" customHeight="1">
      <c r="A73" s="7">
        <f t="shared" si="0"/>
        <v>60</v>
      </c>
      <c r="B73" s="34">
        <v>8590</v>
      </c>
      <c r="C73" s="35" t="s">
        <v>138</v>
      </c>
      <c r="D73" s="33">
        <v>0</v>
      </c>
    </row>
    <row r="74" spans="1:4" ht="15.75" customHeight="1">
      <c r="A74" s="7">
        <f t="shared" si="0"/>
        <v>61</v>
      </c>
      <c r="B74" s="34">
        <v>8600</v>
      </c>
      <c r="C74" s="35" t="s">
        <v>139</v>
      </c>
      <c r="D74" s="37">
        <v>0</v>
      </c>
    </row>
    <row r="75" spans="1:4" ht="15.75" customHeight="1">
      <c r="A75" s="7">
        <f t="shared" si="0"/>
        <v>62</v>
      </c>
      <c r="B75" s="23"/>
      <c r="C75" s="29" t="s">
        <v>140</v>
      </c>
      <c r="D75" s="30">
        <f>SUM(D68:D74)</f>
        <v>143293.73013103136</v>
      </c>
    </row>
    <row r="76" spans="1:4" ht="15.75" customHeight="1">
      <c r="A76" s="7">
        <f t="shared" si="0"/>
        <v>63</v>
      </c>
      <c r="B76" s="23"/>
      <c r="C76" s="10"/>
      <c r="D76" s="31"/>
    </row>
    <row r="77" spans="1:4" ht="15.75" customHeight="1">
      <c r="A77" s="7">
        <f t="shared" si="0"/>
        <v>64</v>
      </c>
      <c r="B77" s="23"/>
      <c r="C77" s="26" t="s">
        <v>141</v>
      </c>
      <c r="D77" s="31"/>
    </row>
    <row r="78" spans="1:4" ht="15.75" customHeight="1">
      <c r="A78" s="7">
        <f t="shared" si="0"/>
        <v>65</v>
      </c>
      <c r="B78" s="34">
        <v>8620</v>
      </c>
      <c r="C78" s="35" t="s">
        <v>142</v>
      </c>
      <c r="D78" s="38">
        <v>0</v>
      </c>
    </row>
    <row r="79" spans="1:4" ht="15.75" customHeight="1">
      <c r="A79" s="7">
        <f t="shared" ref="A79:A142" si="1">A78+1</f>
        <v>66</v>
      </c>
      <c r="B79" s="34">
        <v>8630</v>
      </c>
      <c r="C79" s="35" t="s">
        <v>143</v>
      </c>
      <c r="D79" s="33">
        <f>'C.2.2 B 09'!P67</f>
        <v>20250.075265200732</v>
      </c>
    </row>
    <row r="80" spans="1:4" ht="15.75" customHeight="1">
      <c r="A80" s="7">
        <f t="shared" si="1"/>
        <v>67</v>
      </c>
      <c r="B80" s="34">
        <v>8640</v>
      </c>
      <c r="C80" s="35" t="s">
        <v>144</v>
      </c>
      <c r="D80" s="33">
        <f>'C.2.2 B 09'!P68</f>
        <v>0</v>
      </c>
    </row>
    <row r="81" spans="1:5" ht="15.75" customHeight="1">
      <c r="A81" s="7">
        <f t="shared" si="1"/>
        <v>68</v>
      </c>
      <c r="B81" s="34">
        <v>8650</v>
      </c>
      <c r="C81" s="35" t="s">
        <v>145</v>
      </c>
      <c r="D81" s="33">
        <f>'C.2.2 B 09'!P69</f>
        <v>0</v>
      </c>
    </row>
    <row r="82" spans="1:5" ht="15.75" customHeight="1">
      <c r="A82" s="7">
        <f t="shared" si="1"/>
        <v>69</v>
      </c>
      <c r="B82" s="34">
        <v>8670</v>
      </c>
      <c r="C82" s="35" t="s">
        <v>146</v>
      </c>
      <c r="D82" s="37">
        <v>0</v>
      </c>
    </row>
    <row r="83" spans="1:5" ht="15.75" customHeight="1">
      <c r="A83" s="7">
        <f t="shared" si="1"/>
        <v>70</v>
      </c>
      <c r="B83" s="23"/>
      <c r="C83" s="29" t="s">
        <v>147</v>
      </c>
      <c r="D83" s="30">
        <f>SUM(D78:D82)</f>
        <v>20250.075265200732</v>
      </c>
    </row>
    <row r="84" spans="1:5" ht="15.75" customHeight="1">
      <c r="A84" s="7">
        <f t="shared" si="1"/>
        <v>71</v>
      </c>
      <c r="B84" s="23"/>
      <c r="C84" s="10"/>
      <c r="D84" s="31"/>
    </row>
    <row r="85" spans="1:5" ht="15.75" customHeight="1">
      <c r="A85" s="7">
        <f t="shared" si="1"/>
        <v>72</v>
      </c>
      <c r="B85" s="23"/>
      <c r="C85" s="26" t="s">
        <v>148</v>
      </c>
      <c r="D85" s="24"/>
    </row>
    <row r="86" spans="1:5" ht="15.75" customHeight="1">
      <c r="A86" s="7">
        <f t="shared" si="1"/>
        <v>73</v>
      </c>
      <c r="B86" s="20">
        <v>8001</v>
      </c>
      <c r="C86" s="21" t="s">
        <v>149</v>
      </c>
      <c r="D86" s="38">
        <f>'C.2.2 B 09'!P32</f>
        <v>0</v>
      </c>
      <c r="E86" s="95"/>
    </row>
    <row r="87" spans="1:5" ht="15.75" customHeight="1">
      <c r="A87" s="7">
        <f t="shared" si="1"/>
        <v>74</v>
      </c>
      <c r="B87" s="20">
        <v>8010</v>
      </c>
      <c r="C87" t="s">
        <v>150</v>
      </c>
      <c r="D87" s="33">
        <f>'C.2.2 B 09'!P33</f>
        <v>78633.147871665016</v>
      </c>
      <c r="E87" s="95"/>
    </row>
    <row r="88" spans="1:5" ht="15.75" customHeight="1">
      <c r="A88" s="7">
        <f t="shared" si="1"/>
        <v>75</v>
      </c>
      <c r="B88" s="20">
        <v>8040</v>
      </c>
      <c r="C88" s="15" t="s">
        <v>151</v>
      </c>
      <c r="D88" s="33">
        <f>'C.2.2 B 09'!P34</f>
        <v>32087760.242114902</v>
      </c>
      <c r="E88" s="95"/>
    </row>
    <row r="89" spans="1:5" ht="15.75" customHeight="1">
      <c r="A89" s="7">
        <f t="shared" si="1"/>
        <v>76</v>
      </c>
      <c r="B89" s="20">
        <v>8045</v>
      </c>
      <c r="C89" s="15" t="s">
        <v>152</v>
      </c>
      <c r="D89" s="33">
        <v>0</v>
      </c>
      <c r="E89" s="95"/>
    </row>
    <row r="90" spans="1:5" ht="15.75" customHeight="1">
      <c r="A90" s="7">
        <f t="shared" si="1"/>
        <v>77</v>
      </c>
      <c r="B90" s="20">
        <v>8050</v>
      </c>
      <c r="C90" s="21" t="s">
        <v>153</v>
      </c>
      <c r="D90" s="33">
        <f>'C.2.2 B 09'!P35</f>
        <v>-18609.964245879011</v>
      </c>
      <c r="E90" s="95"/>
    </row>
    <row r="91" spans="1:5" ht="15.75" customHeight="1">
      <c r="A91" s="7">
        <f t="shared" si="1"/>
        <v>78</v>
      </c>
      <c r="B91" s="20">
        <v>8051</v>
      </c>
      <c r="C91" s="15" t="s">
        <v>154</v>
      </c>
      <c r="D91" s="33">
        <f>'C.2.2 B 09'!P36</f>
        <v>30681357.622449085</v>
      </c>
      <c r="E91" s="95"/>
    </row>
    <row r="92" spans="1:5" ht="15.75" customHeight="1">
      <c r="A92" s="7">
        <f t="shared" si="1"/>
        <v>79</v>
      </c>
      <c r="B92" s="20">
        <v>8052</v>
      </c>
      <c r="C92" s="15" t="s">
        <v>155</v>
      </c>
      <c r="D92" s="33">
        <f>'C.2.2 B 09'!P37</f>
        <v>17566888.719616137</v>
      </c>
      <c r="E92" s="95"/>
    </row>
    <row r="93" spans="1:5" ht="15.75" customHeight="1">
      <c r="A93" s="7">
        <f t="shared" si="1"/>
        <v>80</v>
      </c>
      <c r="B93" s="20">
        <v>8053</v>
      </c>
      <c r="C93" s="15" t="s">
        <v>156</v>
      </c>
      <c r="D93" s="33">
        <f>'C.2.2 B 09'!P38</f>
        <v>2750613.0606452972</v>
      </c>
      <c r="E93" s="95"/>
    </row>
    <row r="94" spans="1:5" ht="15.75" customHeight="1">
      <c r="A94" s="7">
        <f t="shared" si="1"/>
        <v>81</v>
      </c>
      <c r="B94" s="20">
        <v>8054</v>
      </c>
      <c r="C94" s="15" t="s">
        <v>157</v>
      </c>
      <c r="D94" s="33">
        <f>'C.2.2 B 09'!P39</f>
        <v>2873224.1677383347</v>
      </c>
      <c r="E94" s="95"/>
    </row>
    <row r="95" spans="1:5" ht="15.75" customHeight="1">
      <c r="A95" s="7">
        <f t="shared" si="1"/>
        <v>82</v>
      </c>
      <c r="B95" s="20">
        <v>8057</v>
      </c>
      <c r="C95" s="15" t="s">
        <v>158</v>
      </c>
      <c r="D95" s="33">
        <v>0</v>
      </c>
      <c r="E95" s="95"/>
    </row>
    <row r="96" spans="1:5" ht="15.75" customHeight="1">
      <c r="A96" s="7">
        <f t="shared" si="1"/>
        <v>83</v>
      </c>
      <c r="B96" s="20">
        <v>8058</v>
      </c>
      <c r="C96" s="15" t="s">
        <v>159</v>
      </c>
      <c r="D96" s="33">
        <f>'C.2.2 B 09'!P40</f>
        <v>-882038.44174539368</v>
      </c>
      <c r="E96" s="95"/>
    </row>
    <row r="97" spans="1:6" ht="15.75" customHeight="1">
      <c r="A97" s="7">
        <f t="shared" si="1"/>
        <v>84</v>
      </c>
      <c r="B97" s="20">
        <v>8059</v>
      </c>
      <c r="C97" s="15" t="s">
        <v>160</v>
      </c>
      <c r="D97" s="33">
        <f>'C.2.2 B 09'!P41</f>
        <v>-60206553.559992135</v>
      </c>
      <c r="E97" s="95"/>
    </row>
    <row r="98" spans="1:6" ht="15.75" customHeight="1">
      <c r="A98" s="7">
        <f t="shared" si="1"/>
        <v>85</v>
      </c>
      <c r="B98" s="20">
        <v>8060</v>
      </c>
      <c r="C98" s="15" t="s">
        <v>161</v>
      </c>
      <c r="D98" s="33">
        <f>'C.2.2 B 09'!P42</f>
        <v>-1879958.1750652608</v>
      </c>
      <c r="E98" s="95"/>
    </row>
    <row r="99" spans="1:6" ht="15.75" customHeight="1">
      <c r="A99" s="7">
        <f t="shared" si="1"/>
        <v>86</v>
      </c>
      <c r="B99" s="20">
        <v>8081</v>
      </c>
      <c r="C99" s="15" t="s">
        <v>162</v>
      </c>
      <c r="D99" s="33">
        <f>'C.2.2 B 09'!P43</f>
        <v>15361965.699634133</v>
      </c>
      <c r="E99" s="95"/>
    </row>
    <row r="100" spans="1:6" ht="15.75" customHeight="1">
      <c r="A100" s="7">
        <f t="shared" si="1"/>
        <v>87</v>
      </c>
      <c r="B100" s="20">
        <v>8082</v>
      </c>
      <c r="C100" s="15" t="s">
        <v>163</v>
      </c>
      <c r="D100" s="33">
        <f>'C.2.2 B 09'!P44</f>
        <v>-9917319.6572858151</v>
      </c>
      <c r="E100" s="95"/>
    </row>
    <row r="101" spans="1:6" ht="15.75" customHeight="1">
      <c r="A101" s="7">
        <f t="shared" si="1"/>
        <v>88</v>
      </c>
      <c r="B101" s="20">
        <v>8110</v>
      </c>
      <c r="C101" s="15" t="s">
        <v>164</v>
      </c>
      <c r="D101" s="33">
        <v>0</v>
      </c>
      <c r="E101" s="95"/>
    </row>
    <row r="102" spans="1:6" ht="15.75" customHeight="1">
      <c r="A102" s="7">
        <f t="shared" si="1"/>
        <v>89</v>
      </c>
      <c r="B102" s="20">
        <v>8120</v>
      </c>
      <c r="C102" s="15" t="s">
        <v>165</v>
      </c>
      <c r="D102" s="33">
        <f>'C.2.2 B 09'!P45</f>
        <v>-3317.9017217770629</v>
      </c>
      <c r="E102" s="95"/>
    </row>
    <row r="103" spans="1:6" ht="15.75" customHeight="1">
      <c r="A103" s="7">
        <f t="shared" si="1"/>
        <v>90</v>
      </c>
      <c r="B103" s="20">
        <v>8130</v>
      </c>
      <c r="C103" s="15" t="s">
        <v>165</v>
      </c>
      <c r="D103" s="33">
        <v>0</v>
      </c>
      <c r="E103" s="95"/>
    </row>
    <row r="104" spans="1:6" ht="15.75" customHeight="1">
      <c r="A104" s="7">
        <f t="shared" si="1"/>
        <v>91</v>
      </c>
      <c r="B104" s="20">
        <v>8580</v>
      </c>
      <c r="C104" s="15" t="s">
        <v>166</v>
      </c>
      <c r="D104" s="37">
        <f>'C.2.2 B 09'!P46</f>
        <v>24494082.266968403</v>
      </c>
      <c r="E104" s="95"/>
      <c r="F104"/>
    </row>
    <row r="105" spans="1:6" ht="15.75" customHeight="1">
      <c r="A105" s="7">
        <f t="shared" si="1"/>
        <v>92</v>
      </c>
      <c r="B105" s="23"/>
      <c r="C105" s="26" t="s">
        <v>167</v>
      </c>
      <c r="D105" s="30">
        <f>SUM(D86:D104)</f>
        <v>52986727.226981685</v>
      </c>
      <c r="F105" s="39"/>
    </row>
    <row r="106" spans="1:6" ht="15.75" customHeight="1">
      <c r="A106" s="7">
        <f t="shared" si="1"/>
        <v>93</v>
      </c>
      <c r="B106" s="23"/>
      <c r="D106" s="27"/>
    </row>
    <row r="107" spans="1:6" ht="15.75" customHeight="1">
      <c r="A107" s="7">
        <f t="shared" si="1"/>
        <v>94</v>
      </c>
      <c r="B107" s="23"/>
      <c r="C107" s="26" t="s">
        <v>168</v>
      </c>
      <c r="D107" s="27"/>
    </row>
    <row r="108" spans="1:6" ht="15.75" customHeight="1">
      <c r="A108" s="7">
        <f t="shared" si="1"/>
        <v>95</v>
      </c>
      <c r="B108" s="20">
        <v>8700</v>
      </c>
      <c r="C108" s="21" t="s">
        <v>169</v>
      </c>
      <c r="D108" s="38">
        <f>'C.2.2 B 09'!P70</f>
        <v>2267606.0370536172</v>
      </c>
    </row>
    <row r="109" spans="1:6" ht="15.75" customHeight="1">
      <c r="A109" s="7">
        <f t="shared" si="1"/>
        <v>96</v>
      </c>
      <c r="B109" s="20">
        <v>8710</v>
      </c>
      <c r="C109" s="21" t="s">
        <v>170</v>
      </c>
      <c r="D109" s="33">
        <f>'C.2.2 B 09'!P71</f>
        <v>-40.017865916545027</v>
      </c>
    </row>
    <row r="110" spans="1:6" ht="15.75" customHeight="1">
      <c r="A110" s="7">
        <f t="shared" si="1"/>
        <v>97</v>
      </c>
      <c r="B110" s="20">
        <v>8711</v>
      </c>
      <c r="C110" s="15" t="s">
        <v>171</v>
      </c>
      <c r="D110" s="33">
        <f>'C.2.2 B 09'!P72</f>
        <v>137138.35666538301</v>
      </c>
    </row>
    <row r="111" spans="1:6" ht="15.75" customHeight="1">
      <c r="A111" s="7">
        <f t="shared" si="1"/>
        <v>98</v>
      </c>
      <c r="B111" s="20">
        <v>8720</v>
      </c>
      <c r="C111" s="21" t="s">
        <v>172</v>
      </c>
      <c r="D111" s="33">
        <f>'C.2.2 B 09'!P73</f>
        <v>0</v>
      </c>
    </row>
    <row r="112" spans="1:6" ht="15.75" customHeight="1">
      <c r="A112" s="7">
        <f t="shared" si="1"/>
        <v>99</v>
      </c>
      <c r="B112" s="20">
        <v>8740</v>
      </c>
      <c r="C112" s="21" t="s">
        <v>173</v>
      </c>
      <c r="D112" s="33">
        <f>'C.2.2 B 09'!P74</f>
        <v>6959626.696582621</v>
      </c>
    </row>
    <row r="113" spans="1:4" ht="15.75" customHeight="1">
      <c r="A113" s="7">
        <f t="shared" si="1"/>
        <v>100</v>
      </c>
      <c r="B113" s="20">
        <v>8750</v>
      </c>
      <c r="C113" s="21" t="s">
        <v>174</v>
      </c>
      <c r="D113" s="33">
        <f>'C.2.2 B 09'!P75</f>
        <v>1231731.0873517669</v>
      </c>
    </row>
    <row r="114" spans="1:4" ht="15.75" customHeight="1">
      <c r="A114" s="7">
        <f t="shared" si="1"/>
        <v>101</v>
      </c>
      <c r="B114" s="20">
        <v>8760</v>
      </c>
      <c r="C114" s="21" t="s">
        <v>175</v>
      </c>
      <c r="D114" s="33">
        <f>'C.2.2 B 09'!P76</f>
        <v>540.07041731509321</v>
      </c>
    </row>
    <row r="115" spans="1:4" ht="15.75" customHeight="1">
      <c r="A115" s="7">
        <f t="shared" si="1"/>
        <v>102</v>
      </c>
      <c r="B115" s="20">
        <v>8770</v>
      </c>
      <c r="C115" s="21" t="s">
        <v>176</v>
      </c>
      <c r="D115" s="33">
        <f>'C.2.2 B 09'!P77</f>
        <v>5297.9441351836495</v>
      </c>
    </row>
    <row r="116" spans="1:4" ht="15.75" customHeight="1">
      <c r="A116" s="7">
        <f t="shared" si="1"/>
        <v>103</v>
      </c>
      <c r="B116" s="20">
        <v>8780</v>
      </c>
      <c r="C116" s="21" t="s">
        <v>177</v>
      </c>
      <c r="D116" s="33">
        <f>'C.2.2 B 09'!P78</f>
        <v>833460.57177074486</v>
      </c>
    </row>
    <row r="117" spans="1:4" ht="15.75" customHeight="1">
      <c r="A117" s="7">
        <f t="shared" si="1"/>
        <v>104</v>
      </c>
      <c r="B117" s="20">
        <v>8790</v>
      </c>
      <c r="C117" s="21" t="s">
        <v>178</v>
      </c>
      <c r="D117" s="33">
        <f>'C.2.2 B 09'!P79</f>
        <v>265.76742389392768</v>
      </c>
    </row>
    <row r="118" spans="1:4" ht="15.75" customHeight="1">
      <c r="A118" s="7">
        <f t="shared" si="1"/>
        <v>105</v>
      </c>
      <c r="B118" s="20">
        <v>8800</v>
      </c>
      <c r="C118" s="21" t="s">
        <v>179</v>
      </c>
      <c r="D118" s="33">
        <f>'C.2.2 B 09'!P80</f>
        <v>3157.0878232647892</v>
      </c>
    </row>
    <row r="119" spans="1:4" ht="15.75" customHeight="1">
      <c r="A119" s="7">
        <f t="shared" si="1"/>
        <v>106</v>
      </c>
      <c r="B119" s="20">
        <v>8810</v>
      </c>
      <c r="C119" s="21" t="s">
        <v>139</v>
      </c>
      <c r="D119" s="37">
        <f>'C.2.2 B 09'!P81</f>
        <v>99414.162673842657</v>
      </c>
    </row>
    <row r="120" spans="1:4" ht="15.75" customHeight="1">
      <c r="A120" s="7">
        <f t="shared" si="1"/>
        <v>107</v>
      </c>
      <c r="B120" s="23"/>
      <c r="C120" s="29" t="s">
        <v>180</v>
      </c>
      <c r="D120" s="30">
        <f>SUM(D108:D119)</f>
        <v>11538197.764031716</v>
      </c>
    </row>
    <row r="121" spans="1:4" ht="15.75" customHeight="1">
      <c r="A121" s="7">
        <f t="shared" si="1"/>
        <v>108</v>
      </c>
      <c r="B121" s="23"/>
      <c r="C121" s="10"/>
      <c r="D121" s="31"/>
    </row>
    <row r="122" spans="1:4" ht="15.75" customHeight="1">
      <c r="A122" s="7">
        <f t="shared" si="1"/>
        <v>109</v>
      </c>
      <c r="B122" s="7"/>
      <c r="C122" s="26" t="s">
        <v>181</v>
      </c>
      <c r="D122" s="24"/>
    </row>
    <row r="123" spans="1:4" ht="15.75" customHeight="1">
      <c r="A123" s="7">
        <f t="shared" si="1"/>
        <v>110</v>
      </c>
      <c r="B123" s="20">
        <v>8850</v>
      </c>
      <c r="C123" s="21" t="s">
        <v>169</v>
      </c>
      <c r="D123" s="38">
        <f>'C.2.2 B 09'!P82</f>
        <v>0</v>
      </c>
    </row>
    <row r="124" spans="1:4" ht="15.75" customHeight="1">
      <c r="A124" s="7">
        <f t="shared" si="1"/>
        <v>111</v>
      </c>
      <c r="B124" s="20">
        <v>8860</v>
      </c>
      <c r="C124" s="21" t="s">
        <v>142</v>
      </c>
      <c r="D124" s="33">
        <f>'C.2.2 B 09'!P83</f>
        <v>0</v>
      </c>
    </row>
    <row r="125" spans="1:4" ht="15.75" customHeight="1">
      <c r="A125" s="7">
        <f t="shared" si="1"/>
        <v>112</v>
      </c>
      <c r="B125" s="20">
        <v>8870</v>
      </c>
      <c r="C125" s="21" t="s">
        <v>143</v>
      </c>
      <c r="D125" s="33">
        <f>'C.2.2 B 09'!P84</f>
        <v>145969.86264548459</v>
      </c>
    </row>
    <row r="126" spans="1:4" ht="15.75" customHeight="1">
      <c r="A126" s="7">
        <f t="shared" si="1"/>
        <v>113</v>
      </c>
      <c r="B126" s="20">
        <v>8890</v>
      </c>
      <c r="C126" s="21" t="s">
        <v>174</v>
      </c>
      <c r="D126" s="33">
        <f>'C.2.2 B 09'!P85</f>
        <v>188075.1258516442</v>
      </c>
    </row>
    <row r="127" spans="1:4" ht="15.75" customHeight="1">
      <c r="A127" s="7">
        <f t="shared" si="1"/>
        <v>114</v>
      </c>
      <c r="B127" s="20">
        <v>8900</v>
      </c>
      <c r="C127" s="21" t="s">
        <v>175</v>
      </c>
      <c r="D127" s="33">
        <f>'C.2.2 B 09'!P86</f>
        <v>0</v>
      </c>
    </row>
    <row r="128" spans="1:4" ht="15.75" customHeight="1">
      <c r="A128" s="7">
        <f t="shared" si="1"/>
        <v>115</v>
      </c>
      <c r="B128" s="20">
        <v>8910</v>
      </c>
      <c r="C128" s="21" t="s">
        <v>176</v>
      </c>
      <c r="D128" s="33">
        <f>'C.2.2 B 09'!P87</f>
        <v>118.90807403812885</v>
      </c>
    </row>
    <row r="129" spans="1:5" ht="15.75" customHeight="1">
      <c r="A129" s="7">
        <f t="shared" si="1"/>
        <v>116</v>
      </c>
      <c r="B129" s="20">
        <v>8920</v>
      </c>
      <c r="C129" s="21" t="s">
        <v>182</v>
      </c>
      <c r="D129" s="33">
        <f>'C.2.2 B 09'!P88</f>
        <v>157.05288513905532</v>
      </c>
    </row>
    <row r="130" spans="1:5" ht="15.75" customHeight="1">
      <c r="A130" s="7">
        <f t="shared" si="1"/>
        <v>117</v>
      </c>
      <c r="B130" s="20">
        <v>8930</v>
      </c>
      <c r="C130" s="21" t="s">
        <v>183</v>
      </c>
      <c r="D130" s="33">
        <f>'C.2.2 B 09'!P89</f>
        <v>0</v>
      </c>
    </row>
    <row r="131" spans="1:5" ht="15.75" customHeight="1">
      <c r="A131" s="7">
        <f t="shared" si="1"/>
        <v>118</v>
      </c>
      <c r="B131" s="20">
        <v>8940</v>
      </c>
      <c r="C131" s="21" t="s">
        <v>146</v>
      </c>
      <c r="D131" s="33">
        <f>'C.2.2 B 09'!P90</f>
        <v>0</v>
      </c>
    </row>
    <row r="132" spans="1:5" ht="15.75" customHeight="1">
      <c r="A132" s="7">
        <f t="shared" si="1"/>
        <v>119</v>
      </c>
      <c r="B132" s="20">
        <v>8950</v>
      </c>
      <c r="C132" s="21" t="s">
        <v>184</v>
      </c>
      <c r="D132" s="37">
        <v>0</v>
      </c>
    </row>
    <row r="133" spans="1:5" ht="15.75" customHeight="1">
      <c r="A133" s="7">
        <f t="shared" si="1"/>
        <v>120</v>
      </c>
      <c r="B133" s="23"/>
      <c r="C133" s="29" t="s">
        <v>185</v>
      </c>
      <c r="D133" s="30">
        <f>SUM(D123:D132)</f>
        <v>334320.949456306</v>
      </c>
    </row>
    <row r="134" spans="1:5" ht="15.75" customHeight="1">
      <c r="A134" s="7">
        <f t="shared" si="1"/>
        <v>121</v>
      </c>
      <c r="B134" s="23"/>
      <c r="C134" s="29"/>
      <c r="D134" s="31"/>
    </row>
    <row r="135" spans="1:5" ht="15.75" customHeight="1">
      <c r="A135" s="7">
        <f t="shared" si="1"/>
        <v>122</v>
      </c>
      <c r="B135" s="7"/>
      <c r="C135" s="26" t="s">
        <v>186</v>
      </c>
      <c r="D135" s="24"/>
    </row>
    <row r="136" spans="1:5" ht="15.75" customHeight="1">
      <c r="A136" s="7">
        <f t="shared" si="1"/>
        <v>123</v>
      </c>
      <c r="B136" s="20">
        <v>9010</v>
      </c>
      <c r="C136" s="21" t="s">
        <v>187</v>
      </c>
      <c r="D136" s="38">
        <f>'C.2.2 B 09'!P91</f>
        <v>0</v>
      </c>
    </row>
    <row r="137" spans="1:5" ht="15.75" customHeight="1">
      <c r="A137" s="7">
        <f t="shared" si="1"/>
        <v>124</v>
      </c>
      <c r="B137" s="20">
        <v>9020</v>
      </c>
      <c r="C137" s="21" t="s">
        <v>188</v>
      </c>
      <c r="D137" s="33">
        <f>'C.2.2 B 09'!P92</f>
        <v>691927.99959628459</v>
      </c>
    </row>
    <row r="138" spans="1:5" ht="15.75" customHeight="1">
      <c r="A138" s="7">
        <f t="shared" si="1"/>
        <v>125</v>
      </c>
      <c r="B138" s="20">
        <v>9030</v>
      </c>
      <c r="C138" s="21" t="s">
        <v>189</v>
      </c>
      <c r="D138" s="33">
        <f>'C.2.2 B 09'!P93</f>
        <v>1301394.8289674281</v>
      </c>
    </row>
    <row r="139" spans="1:5" ht="15.75" customHeight="1">
      <c r="A139" s="7">
        <f t="shared" si="1"/>
        <v>126</v>
      </c>
      <c r="B139" s="20">
        <v>9040</v>
      </c>
      <c r="C139" s="21" t="s">
        <v>190</v>
      </c>
      <c r="D139" s="37">
        <f>'C.2.2 B 09'!P94</f>
        <v>1603608.033025</v>
      </c>
      <c r="E139" s="40"/>
    </row>
    <row r="140" spans="1:5" ht="15.75" customHeight="1">
      <c r="A140" s="7">
        <f t="shared" si="1"/>
        <v>127</v>
      </c>
      <c r="B140" s="7"/>
      <c r="C140" s="29" t="s">
        <v>191</v>
      </c>
      <c r="D140" s="30">
        <f>SUM(D136:D139)</f>
        <v>3596930.8615887128</v>
      </c>
    </row>
    <row r="141" spans="1:5" ht="15.75" customHeight="1">
      <c r="A141" s="7">
        <f t="shared" si="1"/>
        <v>128</v>
      </c>
      <c r="B141" s="23"/>
      <c r="C141" s="29"/>
      <c r="D141" s="31"/>
    </row>
    <row r="142" spans="1:5" ht="15.75" customHeight="1">
      <c r="A142" s="7">
        <f t="shared" si="1"/>
        <v>129</v>
      </c>
      <c r="B142" s="23"/>
      <c r="C142" s="26" t="s">
        <v>192</v>
      </c>
      <c r="D142" s="27"/>
    </row>
    <row r="143" spans="1:5" ht="15.75" customHeight="1">
      <c r="A143" s="7">
        <f t="shared" ref="A143:A183" si="2">A142+1</f>
        <v>130</v>
      </c>
      <c r="B143" s="20">
        <v>9070</v>
      </c>
      <c r="C143" s="21" t="s">
        <v>187</v>
      </c>
      <c r="D143" s="38">
        <v>0</v>
      </c>
    </row>
    <row r="144" spans="1:5" ht="15.75" customHeight="1">
      <c r="A144" s="7">
        <f t="shared" si="2"/>
        <v>131</v>
      </c>
      <c r="B144" s="20">
        <v>9080</v>
      </c>
      <c r="C144" s="21" t="s">
        <v>193</v>
      </c>
      <c r="D144" s="33">
        <v>0</v>
      </c>
    </row>
    <row r="145" spans="1:4" ht="15.75" customHeight="1">
      <c r="A145" s="7">
        <f t="shared" si="2"/>
        <v>132</v>
      </c>
      <c r="B145" s="20">
        <v>9090</v>
      </c>
      <c r="C145" s="21" t="s">
        <v>194</v>
      </c>
      <c r="D145" s="33">
        <f>'C.2.2 B 09'!P95</f>
        <v>198663.24391409353</v>
      </c>
    </row>
    <row r="146" spans="1:4" ht="15.75" customHeight="1">
      <c r="A146" s="7">
        <f t="shared" si="2"/>
        <v>133</v>
      </c>
      <c r="B146" s="20">
        <v>9100</v>
      </c>
      <c r="C146" s="21" t="s">
        <v>195</v>
      </c>
      <c r="D146" s="37">
        <f>'C.2.2 B 09'!P96</f>
        <v>0</v>
      </c>
    </row>
    <row r="147" spans="1:4" ht="15.75" customHeight="1">
      <c r="A147" s="7">
        <f t="shared" si="2"/>
        <v>134</v>
      </c>
      <c r="B147" s="7"/>
      <c r="C147" s="29" t="s">
        <v>196</v>
      </c>
      <c r="D147" s="30">
        <f>SUM(D143:D146)</f>
        <v>198663.24391409353</v>
      </c>
    </row>
    <row r="148" spans="1:4" ht="15.75" customHeight="1">
      <c r="A148" s="7">
        <f t="shared" si="2"/>
        <v>135</v>
      </c>
      <c r="B148" s="7"/>
      <c r="C148" s="18"/>
      <c r="D148" s="24"/>
    </row>
    <row r="149" spans="1:4" ht="15.75" customHeight="1">
      <c r="A149" s="7">
        <f t="shared" si="2"/>
        <v>136</v>
      </c>
      <c r="B149" s="7"/>
      <c r="C149" s="26" t="s">
        <v>67</v>
      </c>
      <c r="D149" s="24"/>
    </row>
    <row r="150" spans="1:4" ht="15.75" customHeight="1">
      <c r="A150" s="7">
        <f t="shared" si="2"/>
        <v>137</v>
      </c>
      <c r="B150" s="20">
        <v>9110</v>
      </c>
      <c r="C150" s="21" t="s">
        <v>187</v>
      </c>
      <c r="D150" s="38">
        <f>'C.2.2 B 09'!P97</f>
        <v>143620.08528522789</v>
      </c>
    </row>
    <row r="151" spans="1:4" ht="15.75" customHeight="1">
      <c r="A151" s="7">
        <f t="shared" si="2"/>
        <v>138</v>
      </c>
      <c r="B151" s="20">
        <v>9120</v>
      </c>
      <c r="C151" s="21" t="s">
        <v>197</v>
      </c>
      <c r="D151" s="33">
        <f>'C.2.2 B 09'!P98</f>
        <v>88415.442438524173</v>
      </c>
    </row>
    <row r="152" spans="1:4" ht="15.75" customHeight="1">
      <c r="A152" s="7">
        <f t="shared" si="2"/>
        <v>139</v>
      </c>
      <c r="B152" s="20">
        <v>9130</v>
      </c>
      <c r="C152" s="21" t="s">
        <v>198</v>
      </c>
      <c r="D152" s="33">
        <f>'C.2.2 B 09'!P99</f>
        <v>69534.95513628998</v>
      </c>
    </row>
    <row r="153" spans="1:4" ht="15.75" customHeight="1">
      <c r="A153" s="7">
        <f t="shared" si="2"/>
        <v>140</v>
      </c>
      <c r="B153" s="20">
        <v>9160</v>
      </c>
      <c r="C153" s="21" t="s">
        <v>199</v>
      </c>
      <c r="D153" s="33">
        <f>'C.2.2 B 09'!P100</f>
        <v>2601.188787837048</v>
      </c>
    </row>
    <row r="154" spans="1:4" ht="15.75" customHeight="1">
      <c r="A154" s="7">
        <f t="shared" si="2"/>
        <v>141</v>
      </c>
      <c r="B154" s="7"/>
      <c r="C154" s="29" t="s">
        <v>200</v>
      </c>
      <c r="D154" s="30">
        <f>SUM(D150:D153)</f>
        <v>304171.67164787912</v>
      </c>
    </row>
    <row r="155" spans="1:4" ht="15.75" customHeight="1">
      <c r="A155" s="7">
        <f t="shared" si="2"/>
        <v>142</v>
      </c>
      <c r="B155" s="23"/>
      <c r="D155" s="24"/>
    </row>
    <row r="156" spans="1:4" ht="15.75" customHeight="1">
      <c r="A156" s="7">
        <f t="shared" si="2"/>
        <v>143</v>
      </c>
      <c r="B156" s="7"/>
      <c r="C156" s="26" t="s">
        <v>201</v>
      </c>
      <c r="D156" s="24"/>
    </row>
    <row r="157" spans="1:4" ht="15.75" customHeight="1">
      <c r="A157" s="7">
        <f t="shared" si="2"/>
        <v>144</v>
      </c>
      <c r="B157" s="20">
        <v>9200</v>
      </c>
      <c r="C157" s="21" t="s">
        <v>202</v>
      </c>
      <c r="D157" s="38">
        <f>'C.2.2 B 09'!P101</f>
        <v>0</v>
      </c>
    </row>
    <row r="158" spans="1:4" ht="15.75" customHeight="1">
      <c r="A158" s="7">
        <f t="shared" si="2"/>
        <v>145</v>
      </c>
      <c r="B158" s="20">
        <v>9210</v>
      </c>
      <c r="C158" s="21" t="s">
        <v>203</v>
      </c>
      <c r="D158" s="33">
        <f>'C.2.2 B 09'!P102</f>
        <v>49458.461520724071</v>
      </c>
    </row>
    <row r="159" spans="1:4" ht="15.75" customHeight="1">
      <c r="A159" s="7">
        <f t="shared" si="2"/>
        <v>146</v>
      </c>
      <c r="B159" s="20">
        <v>9220</v>
      </c>
      <c r="C159" s="21" t="s">
        <v>204</v>
      </c>
      <c r="D159" s="33">
        <f>'C.2.2 B 09'!P103</f>
        <v>15853827.764478171</v>
      </c>
    </row>
    <row r="160" spans="1:4" ht="15.75" customHeight="1">
      <c r="A160" s="7">
        <f t="shared" si="2"/>
        <v>147</v>
      </c>
      <c r="B160" s="20">
        <v>9230</v>
      </c>
      <c r="C160" s="21" t="s">
        <v>205</v>
      </c>
      <c r="D160" s="33">
        <f>'C.2.2 B 09'!P104</f>
        <v>96909.051195151013</v>
      </c>
    </row>
    <row r="161" spans="1:4" ht="15.75" customHeight="1">
      <c r="A161" s="7">
        <f t="shared" si="2"/>
        <v>148</v>
      </c>
      <c r="B161" s="20">
        <v>9240</v>
      </c>
      <c r="C161" s="21" t="s">
        <v>206</v>
      </c>
      <c r="D161" s="33">
        <f>'C.2.2 B 09'!P105</f>
        <v>5555.3937063118419</v>
      </c>
    </row>
    <row r="162" spans="1:4" ht="15.75" customHeight="1">
      <c r="A162" s="7">
        <f t="shared" si="2"/>
        <v>149</v>
      </c>
      <c r="B162" s="20">
        <v>9250</v>
      </c>
      <c r="C162" s="21" t="s">
        <v>207</v>
      </c>
      <c r="D162" s="33">
        <f>'C.2.2 B 09'!P106</f>
        <v>58037.119126408179</v>
      </c>
    </row>
    <row r="163" spans="1:4" ht="15.75" customHeight="1">
      <c r="A163" s="7">
        <f t="shared" si="2"/>
        <v>150</v>
      </c>
      <c r="B163" s="20">
        <v>9260</v>
      </c>
      <c r="C163" s="21" t="s">
        <v>208</v>
      </c>
      <c r="D163" s="33">
        <f>'C.2.2 B 09'!P107</f>
        <v>767058.87110375497</v>
      </c>
    </row>
    <row r="164" spans="1:4" ht="15.75" customHeight="1">
      <c r="A164" s="7">
        <f t="shared" si="2"/>
        <v>151</v>
      </c>
      <c r="B164" s="20">
        <v>9270</v>
      </c>
      <c r="C164" s="21" t="s">
        <v>209</v>
      </c>
      <c r="D164" s="33">
        <f>'C.2.2 B 09'!P108</f>
        <v>474.3635801120983</v>
      </c>
    </row>
    <row r="165" spans="1:4" ht="15.75" customHeight="1">
      <c r="A165" s="7">
        <f t="shared" si="2"/>
        <v>152</v>
      </c>
      <c r="B165" s="20">
        <v>9280</v>
      </c>
      <c r="C165" s="21" t="s">
        <v>210</v>
      </c>
      <c r="D165" s="33">
        <f>'C.2.2 B 09'!P109</f>
        <v>106317.29050083317</v>
      </c>
    </row>
    <row r="166" spans="1:4" ht="15.75" customHeight="1">
      <c r="A166" s="7">
        <f t="shared" si="2"/>
        <v>153</v>
      </c>
      <c r="B166" s="41">
        <v>930.2</v>
      </c>
      <c r="C166" s="21" t="s">
        <v>211</v>
      </c>
      <c r="D166" s="33">
        <f>'C.2.2 B 09'!P110</f>
        <v>25278.433254311007</v>
      </c>
    </row>
    <row r="167" spans="1:4" ht="15.75" customHeight="1">
      <c r="A167" s="7">
        <f t="shared" si="2"/>
        <v>154</v>
      </c>
      <c r="B167" s="20">
        <v>9310</v>
      </c>
      <c r="C167" s="21" t="s">
        <v>212</v>
      </c>
      <c r="D167" s="32">
        <f>'C.2.2 B 09'!P111</f>
        <v>0</v>
      </c>
    </row>
    <row r="168" spans="1:4" ht="15.75" customHeight="1">
      <c r="A168" s="7">
        <f t="shared" si="2"/>
        <v>155</v>
      </c>
      <c r="B168" s="7"/>
      <c r="C168" s="29" t="s">
        <v>213</v>
      </c>
      <c r="D168" s="30">
        <f>SUM(D157:D167)</f>
        <v>16962916.74846578</v>
      </c>
    </row>
    <row r="169" spans="1:4" ht="15.75" customHeight="1">
      <c r="A169" s="7">
        <f t="shared" si="2"/>
        <v>156</v>
      </c>
      <c r="B169" s="7"/>
      <c r="C169" s="18"/>
      <c r="D169" s="24"/>
    </row>
    <row r="170" spans="1:4" ht="15.75" customHeight="1">
      <c r="A170" s="7">
        <f t="shared" si="2"/>
        <v>157</v>
      </c>
      <c r="B170" s="7"/>
      <c r="C170" s="26" t="s">
        <v>214</v>
      </c>
      <c r="D170" s="24"/>
    </row>
    <row r="171" spans="1:4" ht="15.75" customHeight="1">
      <c r="A171" s="7">
        <f t="shared" si="2"/>
        <v>158</v>
      </c>
      <c r="B171" s="20">
        <v>9320</v>
      </c>
      <c r="C171" s="21" t="s">
        <v>215</v>
      </c>
      <c r="D171" s="32">
        <f>'C.2.2 B 09'!P112</f>
        <v>0</v>
      </c>
    </row>
    <row r="172" spans="1:4" ht="15.75" customHeight="1">
      <c r="A172" s="7">
        <f t="shared" si="2"/>
        <v>159</v>
      </c>
      <c r="B172" s="7"/>
      <c r="C172" s="29" t="s">
        <v>216</v>
      </c>
      <c r="D172" s="154">
        <f>SUM(D171:D171)</f>
        <v>0</v>
      </c>
    </row>
    <row r="173" spans="1:4" ht="15.75" customHeight="1">
      <c r="A173" s="7">
        <f t="shared" si="2"/>
        <v>160</v>
      </c>
      <c r="B173" s="23"/>
      <c r="D173" s="27"/>
    </row>
    <row r="174" spans="1:4" ht="15.75" customHeight="1">
      <c r="A174" s="7">
        <f t="shared" si="2"/>
        <v>161</v>
      </c>
      <c r="B174" s="7"/>
      <c r="C174" s="19" t="s">
        <v>217</v>
      </c>
      <c r="D174" s="155">
        <f>+D39+D43+D55+D65+D75+D83+D105+D120+D133+D140+D147+D154+D168+D172</f>
        <v>86523654.007031575</v>
      </c>
    </row>
    <row r="175" spans="1:4" ht="15.75" customHeight="1">
      <c r="A175" s="7">
        <f t="shared" si="2"/>
        <v>162</v>
      </c>
      <c r="B175" s="23"/>
      <c r="D175" s="27"/>
    </row>
    <row r="176" spans="1:4" ht="15.75" customHeight="1">
      <c r="A176" s="7">
        <f t="shared" si="2"/>
        <v>163</v>
      </c>
      <c r="B176" s="7">
        <v>403</v>
      </c>
      <c r="C176" s="15" t="s">
        <v>218</v>
      </c>
      <c r="D176" s="154">
        <f>SUM('C.2.2 B 09'!P14)</f>
        <v>19915761.448384304</v>
      </c>
    </row>
    <row r="177" spans="1:4" ht="15.75" customHeight="1">
      <c r="A177" s="7">
        <f t="shared" si="2"/>
        <v>164</v>
      </c>
      <c r="B177" s="7">
        <v>406</v>
      </c>
      <c r="C177" s="15" t="s">
        <v>219</v>
      </c>
      <c r="D177" s="154">
        <f>'C.2.2 B 09'!P15</f>
        <v>49304.75999999998</v>
      </c>
    </row>
    <row r="178" spans="1:4" ht="15.75" customHeight="1">
      <c r="A178" s="7">
        <f t="shared" si="2"/>
        <v>165</v>
      </c>
      <c r="B178" s="20">
        <v>4081</v>
      </c>
      <c r="C178" s="15" t="s">
        <v>220</v>
      </c>
      <c r="D178" s="33">
        <f>'C.2.2 B 09'!P16</f>
        <v>12842194.805499708</v>
      </c>
    </row>
    <row r="179" spans="1:4" ht="15.75" customHeight="1">
      <c r="A179" s="7">
        <f t="shared" si="2"/>
        <v>166</v>
      </c>
      <c r="B179" s="20" t="s">
        <v>221</v>
      </c>
      <c r="C179" s="15" t="s">
        <v>222</v>
      </c>
      <c r="D179" s="37">
        <v>6401310.5863160249</v>
      </c>
    </row>
    <row r="180" spans="1:4" ht="15.75" customHeight="1">
      <c r="A180" s="7">
        <f t="shared" si="2"/>
        <v>167</v>
      </c>
      <c r="B180" s="23"/>
      <c r="D180" s="27"/>
    </row>
    <row r="181" spans="1:4" ht="15.75" customHeight="1">
      <c r="A181" s="7">
        <f t="shared" si="2"/>
        <v>168</v>
      </c>
      <c r="B181" s="18"/>
      <c r="C181" s="15" t="s">
        <v>223</v>
      </c>
      <c r="D181" s="32">
        <f>+D174+SUM(D176:D179)</f>
        <v>125732225.60723162</v>
      </c>
    </row>
    <row r="182" spans="1:4" ht="15.75" customHeight="1">
      <c r="A182" s="7">
        <f t="shared" si="2"/>
        <v>169</v>
      </c>
      <c r="D182" s="27"/>
    </row>
    <row r="183" spans="1:4" ht="15.75" customHeight="1" thickBot="1">
      <c r="A183" s="7">
        <f t="shared" si="2"/>
        <v>170</v>
      </c>
      <c r="B183" s="18"/>
      <c r="C183" s="15" t="s">
        <v>224</v>
      </c>
      <c r="D183" s="156">
        <f>D33-D181</f>
        <v>29073156.773541898</v>
      </c>
    </row>
    <row r="184" spans="1:4" ht="15.75" customHeight="1" thickTop="1">
      <c r="B184" s="39"/>
    </row>
    <row r="185" spans="1:4" ht="15.75" customHeight="1">
      <c r="A185" s="18"/>
      <c r="B185" s="39"/>
    </row>
    <row r="186" spans="1:4" ht="15.75" customHeight="1">
      <c r="B186" s="39"/>
    </row>
    <row r="187" spans="1:4" ht="15.75" customHeight="1">
      <c r="B187" s="39"/>
    </row>
    <row r="188" spans="1:4" ht="15.75" customHeight="1">
      <c r="B188" s="39"/>
    </row>
    <row r="189" spans="1:4" ht="15.75" customHeight="1">
      <c r="B189" s="39"/>
    </row>
    <row r="190" spans="1:4" ht="15.75" customHeight="1">
      <c r="B190" s="39"/>
    </row>
    <row r="191" spans="1:4" ht="15.75" customHeight="1">
      <c r="B191" s="39"/>
    </row>
    <row r="192" spans="1:4" ht="15.75" customHeight="1">
      <c r="B192" s="39"/>
    </row>
  </sheetData>
  <mergeCells count="4">
    <mergeCell ref="A1:D1"/>
    <mergeCell ref="A2:D2"/>
    <mergeCell ref="A3:D3"/>
    <mergeCell ref="A4:D4"/>
  </mergeCells>
  <printOptions horizontalCentered="1"/>
  <pageMargins left="0.84" right="0.67" top="0.62" bottom="1.04" header="0.25" footer="0.5"/>
  <pageSetup scale="81" fitToHeight="15" orientation="portrait" r:id="rId1"/>
  <headerFooter alignWithMargins="0">
    <oddHeader>&amp;R&amp;9CASE NO. 2024-00276 
FR 16(8)(c)
ATTACHMENT 1</oddHeader>
    <oddFooter>&amp;RSchedule &amp;A
Page &amp;P of &amp;N</oddFooter>
  </headerFooter>
  <rowBreaks count="4" manualBreakCount="4">
    <brk id="42" max="3" man="1"/>
    <brk id="83" max="3" man="1"/>
    <brk id="120" max="3" man="1"/>
    <brk id="154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1E84-BF4B-4CAF-9463-0379EC8BEE88}">
  <sheetPr>
    <tabColor rgb="FF92D050"/>
  </sheetPr>
  <dimension ref="A1:J183"/>
  <sheetViews>
    <sheetView view="pageBreakPreview" zoomScale="80" zoomScaleNormal="100" zoomScaleSheetLayoutView="80" workbookViewId="0">
      <selection sqref="A1:D1"/>
    </sheetView>
  </sheetViews>
  <sheetFormatPr defaultColWidth="8.44140625" defaultRowHeight="15"/>
  <cols>
    <col min="1" max="1" width="4.77734375" customWidth="1"/>
    <col min="2" max="2" width="11.88671875" customWidth="1"/>
    <col min="3" max="3" width="45.77734375" customWidth="1"/>
    <col min="4" max="4" width="13.109375" customWidth="1"/>
    <col min="5" max="5" width="3.77734375" customWidth="1"/>
    <col min="6" max="6" width="14" customWidth="1"/>
    <col min="7" max="7" width="11.109375" customWidth="1"/>
    <col min="8" max="8" width="10.88671875" customWidth="1"/>
  </cols>
  <sheetData>
    <row r="1" spans="1:8">
      <c r="A1" s="187" t="s">
        <v>407</v>
      </c>
      <c r="B1" s="187"/>
      <c r="C1" s="187"/>
      <c r="D1" s="187"/>
      <c r="E1" s="68"/>
    </row>
    <row r="2" spans="1:8">
      <c r="A2" s="187" t="s">
        <v>408</v>
      </c>
      <c r="B2" s="187"/>
      <c r="C2" s="187"/>
      <c r="D2" s="187"/>
      <c r="E2" s="68"/>
    </row>
    <row r="3" spans="1:8">
      <c r="A3" s="187" t="s">
        <v>225</v>
      </c>
      <c r="B3" s="187"/>
      <c r="C3" s="187"/>
      <c r="D3" s="187"/>
      <c r="E3" s="68"/>
    </row>
    <row r="4" spans="1:8">
      <c r="A4" s="187" t="s">
        <v>410</v>
      </c>
      <c r="B4" s="187"/>
      <c r="C4" s="187"/>
      <c r="D4" s="187"/>
      <c r="E4" s="68"/>
    </row>
    <row r="5" spans="1:8">
      <c r="A5" s="127"/>
      <c r="B5" s="127"/>
      <c r="C5" s="60"/>
      <c r="D5" s="60"/>
      <c r="E5" s="60"/>
    </row>
    <row r="6" spans="1:8">
      <c r="A6" s="61" t="s">
        <v>226</v>
      </c>
      <c r="D6" s="11" t="s">
        <v>77</v>
      </c>
      <c r="E6" s="11"/>
    </row>
    <row r="7" spans="1:8">
      <c r="A7" s="61" t="str">
        <f>'C.2.1 B'!A7</f>
        <v>Type of Filing:___X____Original________Updated ________Revised</v>
      </c>
      <c r="D7" s="12" t="s">
        <v>227</v>
      </c>
      <c r="E7" s="12"/>
    </row>
    <row r="8" spans="1:8">
      <c r="A8" s="89" t="s">
        <v>18</v>
      </c>
      <c r="B8" s="65"/>
      <c r="C8" s="65"/>
      <c r="D8" s="128" t="str">
        <f>'C.1'!J9</f>
        <v>Witness: Waller, Wiebe, Troup</v>
      </c>
      <c r="E8" s="62"/>
    </row>
    <row r="9" spans="1:8">
      <c r="D9" s="68"/>
      <c r="E9" s="68"/>
    </row>
    <row r="10" spans="1:8">
      <c r="A10" s="74" t="s">
        <v>22</v>
      </c>
      <c r="B10" s="68" t="s">
        <v>79</v>
      </c>
      <c r="C10" s="74" t="s">
        <v>79</v>
      </c>
      <c r="D10" s="68" t="s">
        <v>80</v>
      </c>
      <c r="E10" s="68"/>
    </row>
    <row r="11" spans="1:8">
      <c r="A11" s="70" t="s">
        <v>25</v>
      </c>
      <c r="B11" s="129" t="s">
        <v>81</v>
      </c>
      <c r="C11" s="70" t="s">
        <v>82</v>
      </c>
      <c r="D11" s="129" t="s">
        <v>83</v>
      </c>
      <c r="E11" s="68"/>
    </row>
    <row r="12" spans="1:8">
      <c r="D12" s="68" t="s">
        <v>84</v>
      </c>
      <c r="E12" s="68"/>
    </row>
    <row r="13" spans="1:8">
      <c r="A13" s="68">
        <v>1</v>
      </c>
      <c r="B13" s="130"/>
      <c r="C13" s="42" t="s">
        <v>85</v>
      </c>
    </row>
    <row r="14" spans="1:8">
      <c r="A14" s="68">
        <f>A13+1</f>
        <v>2</v>
      </c>
      <c r="B14" s="68"/>
      <c r="C14" s="42" t="s">
        <v>86</v>
      </c>
      <c r="H14" s="131"/>
    </row>
    <row r="15" spans="1:8">
      <c r="A15" s="68">
        <f t="shared" ref="A15:A78" si="0">A14+1</f>
        <v>3</v>
      </c>
      <c r="B15" s="132">
        <v>4800</v>
      </c>
      <c r="C15" s="133" t="s">
        <v>87</v>
      </c>
      <c r="D15" s="134">
        <f>-'C.2.2-F 09'!P17</f>
        <v>103051755.40043777</v>
      </c>
      <c r="E15" s="134"/>
    </row>
    <row r="16" spans="1:8">
      <c r="A16" s="68">
        <f t="shared" si="0"/>
        <v>4</v>
      </c>
      <c r="B16" s="132">
        <v>4811</v>
      </c>
      <c r="C16" s="133" t="s">
        <v>89</v>
      </c>
      <c r="D16" s="135">
        <f>-'C.2.2-F 09'!P19</f>
        <v>51443822.090331733</v>
      </c>
      <c r="E16" s="135"/>
    </row>
    <row r="17" spans="1:5">
      <c r="A17" s="68">
        <f t="shared" si="0"/>
        <v>5</v>
      </c>
      <c r="B17" s="132">
        <v>4812</v>
      </c>
      <c r="C17" s="133" t="s">
        <v>90</v>
      </c>
      <c r="D17" s="135">
        <f>-'C.2.2-F 09'!P20</f>
        <v>5130632.042026856</v>
      </c>
      <c r="E17" s="135"/>
    </row>
    <row r="18" spans="1:5">
      <c r="A18" s="68">
        <f t="shared" si="0"/>
        <v>6</v>
      </c>
      <c r="B18" s="132">
        <v>4820</v>
      </c>
      <c r="C18" s="133" t="s">
        <v>93</v>
      </c>
      <c r="D18" s="136">
        <f>-'C.2.2-F 09'!P23</f>
        <v>7198509.0309889168</v>
      </c>
      <c r="E18" s="135"/>
    </row>
    <row r="19" spans="1:5">
      <c r="A19" s="68">
        <f t="shared" si="0"/>
        <v>7</v>
      </c>
      <c r="B19" s="68"/>
      <c r="C19" s="74" t="s">
        <v>95</v>
      </c>
      <c r="D19" s="137">
        <f>SUM(D15:D18)</f>
        <v>166824718.56378525</v>
      </c>
      <c r="E19" s="137"/>
    </row>
    <row r="20" spans="1:5">
      <c r="A20" s="68">
        <f t="shared" si="0"/>
        <v>8</v>
      </c>
      <c r="B20" s="56"/>
    </row>
    <row r="21" spans="1:5">
      <c r="A21" s="68">
        <f t="shared" si="0"/>
        <v>9</v>
      </c>
      <c r="B21" s="56"/>
      <c r="C21" s="42" t="s">
        <v>96</v>
      </c>
      <c r="D21" s="130"/>
      <c r="E21" s="130"/>
    </row>
    <row r="22" spans="1:5">
      <c r="A22" s="68">
        <f t="shared" si="0"/>
        <v>10</v>
      </c>
      <c r="B22" s="132">
        <v>4870</v>
      </c>
      <c r="C22" s="133" t="s">
        <v>97</v>
      </c>
      <c r="D22" s="134">
        <f>-'C.2.2-F 09'!P25</f>
        <v>367461.89996584691</v>
      </c>
      <c r="E22" s="134"/>
    </row>
    <row r="23" spans="1:5">
      <c r="A23" s="68">
        <f t="shared" si="0"/>
        <v>11</v>
      </c>
      <c r="B23" s="132">
        <v>4880</v>
      </c>
      <c r="C23" s="133" t="s">
        <v>98</v>
      </c>
      <c r="D23" s="135">
        <f>-'C.2.2-F 09'!P26</f>
        <v>58912</v>
      </c>
      <c r="E23" s="135"/>
    </row>
    <row r="24" spans="1:5">
      <c r="A24" s="68">
        <f t="shared" si="0"/>
        <v>12</v>
      </c>
      <c r="B24" s="132" t="s">
        <v>228</v>
      </c>
      <c r="C24" s="133" t="s">
        <v>99</v>
      </c>
      <c r="D24" s="135">
        <f>-'C.2.2-F 09'!P27</f>
        <v>20570920.755260002</v>
      </c>
      <c r="E24" s="135"/>
    </row>
    <row r="25" spans="1:5">
      <c r="A25" s="68">
        <f t="shared" si="0"/>
        <v>13</v>
      </c>
      <c r="B25" s="132">
        <v>4950</v>
      </c>
      <c r="C25" s="133" t="s">
        <v>100</v>
      </c>
      <c r="D25" s="135">
        <f>-'C.2.2-F 09'!P28</f>
        <v>0</v>
      </c>
      <c r="E25" s="135"/>
    </row>
    <row r="26" spans="1:5">
      <c r="A26" s="68">
        <f t="shared" si="0"/>
        <v>14</v>
      </c>
      <c r="B26" s="56"/>
      <c r="C26" s="74" t="s">
        <v>102</v>
      </c>
      <c r="D26" s="138">
        <f>SUM(D22:D25)</f>
        <v>20997294.655225851</v>
      </c>
      <c r="E26" s="137"/>
    </row>
    <row r="27" spans="1:5">
      <c r="A27" s="68">
        <f t="shared" si="0"/>
        <v>15</v>
      </c>
      <c r="B27" s="56"/>
      <c r="D27" s="130"/>
      <c r="E27" s="130"/>
    </row>
    <row r="28" spans="1:5">
      <c r="A28" s="68">
        <f t="shared" si="0"/>
        <v>16</v>
      </c>
      <c r="B28" s="68"/>
      <c r="C28" s="74" t="s">
        <v>103</v>
      </c>
      <c r="D28" s="51">
        <f>D26+D19</f>
        <v>187822013.2190111</v>
      </c>
      <c r="E28" s="51"/>
    </row>
    <row r="29" spans="1:5">
      <c r="A29" s="68">
        <f t="shared" si="0"/>
        <v>17</v>
      </c>
      <c r="B29" s="56"/>
      <c r="D29" s="130"/>
      <c r="E29" s="130"/>
    </row>
    <row r="30" spans="1:5">
      <c r="A30" s="68">
        <f t="shared" si="0"/>
        <v>18</v>
      </c>
      <c r="B30" s="56"/>
      <c r="C30" s="42" t="s">
        <v>104</v>
      </c>
      <c r="D30" s="130"/>
      <c r="E30" s="130"/>
    </row>
    <row r="31" spans="1:5">
      <c r="A31" s="68">
        <f t="shared" si="0"/>
        <v>19</v>
      </c>
      <c r="B31" s="56"/>
      <c r="C31" s="43" t="s">
        <v>105</v>
      </c>
    </row>
    <row r="32" spans="1:5">
      <c r="A32" s="68">
        <f t="shared" si="0"/>
        <v>20</v>
      </c>
      <c r="B32" s="139">
        <v>7560</v>
      </c>
      <c r="C32" s="133" t="s">
        <v>106</v>
      </c>
      <c r="D32" s="135">
        <f>'C.2.2-F 09'!P30</f>
        <v>0</v>
      </c>
      <c r="E32" s="135"/>
    </row>
    <row r="33" spans="1:10">
      <c r="A33" s="68">
        <f t="shared" si="0"/>
        <v>21</v>
      </c>
      <c r="B33" s="28">
        <v>7590</v>
      </c>
      <c r="C33" s="21" t="s">
        <v>107</v>
      </c>
      <c r="D33">
        <f>'C.2.2-F 09'!P31</f>
        <v>0</v>
      </c>
      <c r="E33" s="135"/>
    </row>
    <row r="34" spans="1:10">
      <c r="A34" s="68">
        <f t="shared" si="0"/>
        <v>22</v>
      </c>
      <c r="B34" s="56"/>
      <c r="C34" s="140" t="s">
        <v>108</v>
      </c>
      <c r="D34" s="138">
        <f>SUM(D32:D33)</f>
        <v>0</v>
      </c>
      <c r="E34" s="137"/>
    </row>
    <row r="35" spans="1:10">
      <c r="A35" s="68">
        <f t="shared" si="0"/>
        <v>23</v>
      </c>
      <c r="B35" s="56"/>
      <c r="C35" s="61"/>
      <c r="D35" s="141"/>
      <c r="E35" s="141"/>
    </row>
    <row r="36" spans="1:10">
      <c r="A36" s="68">
        <f t="shared" si="0"/>
        <v>24</v>
      </c>
      <c r="B36" s="56"/>
      <c r="C36" s="43" t="s">
        <v>109</v>
      </c>
      <c r="D36" s="141"/>
      <c r="E36" s="141"/>
    </row>
    <row r="37" spans="1:10">
      <c r="A37" s="68">
        <f t="shared" si="0"/>
        <v>25</v>
      </c>
      <c r="B37" s="139">
        <v>7610</v>
      </c>
      <c r="C37" s="133" t="s">
        <v>229</v>
      </c>
      <c r="D37" s="142">
        <v>0</v>
      </c>
      <c r="E37" s="134"/>
    </row>
    <row r="38" spans="1:10">
      <c r="A38" s="68">
        <f t="shared" si="0"/>
        <v>26</v>
      </c>
      <c r="B38" s="56"/>
      <c r="C38" s="61"/>
      <c r="D38" s="137">
        <f>SUM(D37)</f>
        <v>0</v>
      </c>
      <c r="E38" s="137"/>
    </row>
    <row r="39" spans="1:10">
      <c r="A39" s="68">
        <f t="shared" si="0"/>
        <v>27</v>
      </c>
      <c r="B39" s="56"/>
      <c r="C39" s="43" t="s">
        <v>111</v>
      </c>
    </row>
    <row r="40" spans="1:10">
      <c r="A40" s="68">
        <f t="shared" si="0"/>
        <v>28</v>
      </c>
      <c r="B40" s="139">
        <v>8140</v>
      </c>
      <c r="C40" s="133" t="s">
        <v>112</v>
      </c>
      <c r="D40" s="134">
        <f>'C.2.2-F 09'!P47</f>
        <v>0</v>
      </c>
      <c r="E40" s="134"/>
      <c r="J40" s="115"/>
    </row>
    <row r="41" spans="1:10">
      <c r="A41" s="68">
        <f t="shared" si="0"/>
        <v>29</v>
      </c>
      <c r="B41" s="139">
        <v>8150</v>
      </c>
      <c r="C41" s="133" t="s">
        <v>113</v>
      </c>
      <c r="D41" s="135">
        <v>0</v>
      </c>
      <c r="E41" s="143"/>
    </row>
    <row r="42" spans="1:10">
      <c r="A42" s="68">
        <f t="shared" si="0"/>
        <v>30</v>
      </c>
      <c r="B42" s="139">
        <v>8160</v>
      </c>
      <c r="C42" s="133" t="s">
        <v>114</v>
      </c>
      <c r="D42" s="135">
        <f>'C.2.2-F 09'!P48</f>
        <v>35163.556111411126</v>
      </c>
      <c r="E42" s="143"/>
      <c r="J42" s="115"/>
    </row>
    <row r="43" spans="1:10">
      <c r="A43" s="68">
        <f t="shared" si="0"/>
        <v>31</v>
      </c>
      <c r="B43" s="139">
        <v>8170</v>
      </c>
      <c r="C43" s="133" t="s">
        <v>115</v>
      </c>
      <c r="D43" s="135">
        <f>'C.2.2-F 09'!P49</f>
        <v>22781.574479535</v>
      </c>
      <c r="E43" s="143"/>
      <c r="J43" s="115"/>
    </row>
    <row r="44" spans="1:10">
      <c r="A44" s="68">
        <f t="shared" si="0"/>
        <v>32</v>
      </c>
      <c r="B44" s="139">
        <v>8180</v>
      </c>
      <c r="C44" s="133" t="s">
        <v>116</v>
      </c>
      <c r="D44" s="135">
        <f>'C.2.2-F 09'!P50</f>
        <v>44776.428910792289</v>
      </c>
      <c r="E44" s="143"/>
      <c r="J44" s="115"/>
    </row>
    <row r="45" spans="1:10">
      <c r="A45" s="68">
        <f t="shared" si="0"/>
        <v>33</v>
      </c>
      <c r="B45" s="144">
        <v>8190</v>
      </c>
      <c r="C45" s="145" t="s">
        <v>117</v>
      </c>
      <c r="D45" s="135">
        <f>'C.2.2-F 09'!P51</f>
        <v>0</v>
      </c>
      <c r="E45" s="143"/>
      <c r="J45" s="115"/>
    </row>
    <row r="46" spans="1:10">
      <c r="A46" s="68">
        <f t="shared" si="0"/>
        <v>34</v>
      </c>
      <c r="B46" s="144">
        <v>8200</v>
      </c>
      <c r="C46" s="145" t="s">
        <v>118</v>
      </c>
      <c r="D46" s="135">
        <f>'C.2.2-F 09'!P52</f>
        <v>9536.025668122531</v>
      </c>
      <c r="E46" s="143"/>
      <c r="J46" s="115"/>
    </row>
    <row r="47" spans="1:10">
      <c r="A47" s="68">
        <f t="shared" si="0"/>
        <v>35</v>
      </c>
      <c r="B47" s="144">
        <v>8210</v>
      </c>
      <c r="C47" s="145" t="s">
        <v>119</v>
      </c>
      <c r="D47" s="135">
        <f>'C.2.2-F 09'!P53</f>
        <v>83939.945612840456</v>
      </c>
      <c r="E47" s="143"/>
      <c r="J47" s="115"/>
    </row>
    <row r="48" spans="1:10">
      <c r="A48" s="68">
        <f t="shared" si="0"/>
        <v>36</v>
      </c>
      <c r="B48" s="144">
        <v>8240</v>
      </c>
      <c r="C48" s="145" t="s">
        <v>120</v>
      </c>
      <c r="D48" s="135">
        <f>'C.2.2-F 09'!P54</f>
        <v>0</v>
      </c>
      <c r="E48" s="143"/>
      <c r="J48" s="115"/>
    </row>
    <row r="49" spans="1:10">
      <c r="A49" s="68">
        <f t="shared" si="0"/>
        <v>37</v>
      </c>
      <c r="B49" s="144">
        <v>8250</v>
      </c>
      <c r="C49" s="145" t="s">
        <v>121</v>
      </c>
      <c r="D49" s="135">
        <f>'C.2.2-F 09'!P55</f>
        <v>10481.951060833655</v>
      </c>
      <c r="E49" s="143"/>
      <c r="J49" s="115"/>
    </row>
    <row r="50" spans="1:10">
      <c r="A50" s="68">
        <f t="shared" si="0"/>
        <v>38</v>
      </c>
      <c r="B50" s="56"/>
      <c r="C50" s="140" t="s">
        <v>122</v>
      </c>
      <c r="D50" s="138">
        <f>SUM(D40:D49)</f>
        <v>206679.48184353503</v>
      </c>
      <c r="E50" s="137"/>
    </row>
    <row r="51" spans="1:10">
      <c r="A51" s="68">
        <f t="shared" si="0"/>
        <v>39</v>
      </c>
      <c r="B51" s="56"/>
      <c r="C51" s="61"/>
      <c r="D51" s="143"/>
      <c r="E51" s="143"/>
    </row>
    <row r="52" spans="1:10">
      <c r="A52" s="68">
        <f t="shared" si="0"/>
        <v>40</v>
      </c>
      <c r="B52" s="56"/>
      <c r="C52" s="43" t="s">
        <v>123</v>
      </c>
      <c r="D52" s="143"/>
      <c r="E52" s="143"/>
    </row>
    <row r="53" spans="1:10">
      <c r="A53" s="68">
        <f t="shared" si="0"/>
        <v>41</v>
      </c>
      <c r="B53" s="144">
        <v>8310</v>
      </c>
      <c r="C53" s="145" t="s">
        <v>124</v>
      </c>
      <c r="D53" s="134">
        <f>'C.2.2-F 09'!P56</f>
        <v>0</v>
      </c>
      <c r="E53" s="134"/>
      <c r="J53" s="115"/>
    </row>
    <row r="54" spans="1:10">
      <c r="A54" s="68">
        <f t="shared" si="0"/>
        <v>42</v>
      </c>
      <c r="B54" s="144">
        <v>8320</v>
      </c>
      <c r="C54" s="145" t="s">
        <v>125</v>
      </c>
      <c r="D54" s="135">
        <v>0</v>
      </c>
      <c r="E54" s="143"/>
    </row>
    <row r="55" spans="1:10">
      <c r="A55" s="68">
        <f t="shared" si="0"/>
        <v>43</v>
      </c>
      <c r="B55" s="144">
        <v>8340</v>
      </c>
      <c r="C55" s="145" t="s">
        <v>126</v>
      </c>
      <c r="D55" s="135">
        <f>'C.2.2-F 09'!P57</f>
        <v>46416.013989040512</v>
      </c>
      <c r="E55" s="143"/>
      <c r="J55" s="115"/>
    </row>
    <row r="56" spans="1:10">
      <c r="A56" s="68">
        <f t="shared" si="0"/>
        <v>44</v>
      </c>
      <c r="B56" s="144">
        <v>8350</v>
      </c>
      <c r="C56" s="145" t="s">
        <v>127</v>
      </c>
      <c r="D56" s="135">
        <f>'C.2.2-F 09'!P58</f>
        <v>0</v>
      </c>
      <c r="E56" s="143"/>
      <c r="J56" s="115"/>
    </row>
    <row r="57" spans="1:10">
      <c r="A57" s="68">
        <f t="shared" si="0"/>
        <v>45</v>
      </c>
      <c r="B57" s="144">
        <v>8360</v>
      </c>
      <c r="C57" s="145" t="s">
        <v>128</v>
      </c>
      <c r="D57" s="135">
        <f>'C.2.2-F 09'!P59</f>
        <v>0</v>
      </c>
      <c r="E57" s="143"/>
      <c r="J57" s="115"/>
    </row>
    <row r="58" spans="1:10">
      <c r="A58" s="68">
        <f t="shared" si="0"/>
        <v>46</v>
      </c>
      <c r="B58" s="144">
        <v>8370</v>
      </c>
      <c r="C58" s="145" t="s">
        <v>129</v>
      </c>
      <c r="D58" s="135">
        <f>'C.2.2-F 09'!P60</f>
        <v>0</v>
      </c>
      <c r="E58" s="143"/>
      <c r="J58" s="115"/>
    </row>
    <row r="59" spans="1:10">
      <c r="A59" s="68">
        <f t="shared" si="0"/>
        <v>47</v>
      </c>
      <c r="B59" s="146" t="s">
        <v>230</v>
      </c>
      <c r="C59" s="145" t="s">
        <v>131</v>
      </c>
      <c r="D59" s="135">
        <f>'C.2.2-F 09'!P61</f>
        <v>233242.8377057281</v>
      </c>
      <c r="E59" s="143"/>
    </row>
    <row r="60" spans="1:10">
      <c r="A60" s="68">
        <f t="shared" si="0"/>
        <v>48</v>
      </c>
      <c r="B60" s="56"/>
      <c r="C60" s="140" t="s">
        <v>132</v>
      </c>
      <c r="D60" s="138">
        <f>SUM(D53:D59)</f>
        <v>279658.85169476864</v>
      </c>
      <c r="E60" s="134"/>
    </row>
    <row r="61" spans="1:10">
      <c r="A61" s="68">
        <f t="shared" si="0"/>
        <v>49</v>
      </c>
      <c r="B61" s="56"/>
      <c r="C61" s="61"/>
      <c r="D61" s="143"/>
      <c r="E61" s="143"/>
    </row>
    <row r="62" spans="1:10">
      <c r="A62" s="68">
        <f t="shared" si="0"/>
        <v>50</v>
      </c>
      <c r="B62" s="56"/>
      <c r="C62" s="43" t="s">
        <v>133</v>
      </c>
      <c r="D62" s="143"/>
      <c r="E62" s="143"/>
    </row>
    <row r="63" spans="1:10">
      <c r="A63" s="68">
        <f t="shared" si="0"/>
        <v>51</v>
      </c>
      <c r="B63" s="144">
        <v>8500</v>
      </c>
      <c r="C63" s="145" t="s">
        <v>112</v>
      </c>
      <c r="D63" s="134">
        <f>'C.2.2-F 09'!P62</f>
        <v>0</v>
      </c>
      <c r="E63" s="134"/>
      <c r="J63" s="115"/>
    </row>
    <row r="64" spans="1:10">
      <c r="A64" s="68">
        <f t="shared" si="0"/>
        <v>52</v>
      </c>
      <c r="B64" s="144">
        <v>8520</v>
      </c>
      <c r="C64" s="35" t="s">
        <v>134</v>
      </c>
      <c r="D64" s="135">
        <f>'C.2.2-F 09'!P63</f>
        <v>0</v>
      </c>
      <c r="E64" s="134"/>
      <c r="J64" s="115"/>
    </row>
    <row r="65" spans="1:10">
      <c r="A65" s="68">
        <f t="shared" si="0"/>
        <v>53</v>
      </c>
      <c r="B65" s="144">
        <v>8550</v>
      </c>
      <c r="C65" s="35" t="s">
        <v>231</v>
      </c>
      <c r="D65" s="135">
        <f>'C.2.2-F 09'!P64</f>
        <v>488.36648334593411</v>
      </c>
      <c r="E65" s="134"/>
      <c r="J65" s="115"/>
    </row>
    <row r="66" spans="1:10">
      <c r="A66" s="68">
        <f t="shared" si="0"/>
        <v>54</v>
      </c>
      <c r="B66" s="144">
        <v>8560</v>
      </c>
      <c r="C66" s="145" t="s">
        <v>136</v>
      </c>
      <c r="D66" s="135">
        <f>'C.2.2-F 09'!P65</f>
        <v>145498.73442544707</v>
      </c>
      <c r="E66" s="143"/>
      <c r="J66" s="115"/>
    </row>
    <row r="67" spans="1:10">
      <c r="A67" s="68">
        <f t="shared" si="0"/>
        <v>55</v>
      </c>
      <c r="B67" s="144">
        <v>8570</v>
      </c>
      <c r="C67" s="145" t="s">
        <v>137</v>
      </c>
      <c r="D67" s="135">
        <f>'C.2.2-F 09'!P66</f>
        <v>11936.030858857095</v>
      </c>
      <c r="E67" s="143"/>
      <c r="J67" s="115"/>
    </row>
    <row r="68" spans="1:10">
      <c r="A68" s="68">
        <f t="shared" si="0"/>
        <v>56</v>
      </c>
      <c r="B68" s="144">
        <v>8590</v>
      </c>
      <c r="C68" s="145" t="s">
        <v>138</v>
      </c>
      <c r="D68" s="143">
        <v>0</v>
      </c>
      <c r="E68" s="143"/>
    </row>
    <row r="69" spans="1:10">
      <c r="A69" s="68">
        <f t="shared" si="0"/>
        <v>57</v>
      </c>
      <c r="B69" s="144">
        <v>8600</v>
      </c>
      <c r="C69" s="145" t="s">
        <v>139</v>
      </c>
      <c r="D69" s="147">
        <v>0</v>
      </c>
      <c r="E69" s="143"/>
    </row>
    <row r="70" spans="1:10">
      <c r="A70" s="68">
        <f t="shared" si="0"/>
        <v>58</v>
      </c>
      <c r="B70" s="56"/>
      <c r="C70" s="140" t="s">
        <v>140</v>
      </c>
      <c r="D70" s="137">
        <f>SUM(D63:D69)</f>
        <v>157923.13176765011</v>
      </c>
      <c r="E70" s="137"/>
    </row>
    <row r="71" spans="1:10">
      <c r="A71" s="68">
        <f t="shared" si="0"/>
        <v>59</v>
      </c>
      <c r="B71" s="56"/>
      <c r="C71" s="61"/>
      <c r="D71" s="143"/>
      <c r="E71" s="143"/>
    </row>
    <row r="72" spans="1:10">
      <c r="A72" s="68">
        <f t="shared" si="0"/>
        <v>60</v>
      </c>
      <c r="B72" s="56"/>
      <c r="C72" s="43" t="s">
        <v>141</v>
      </c>
      <c r="D72" s="143"/>
      <c r="E72" s="143"/>
    </row>
    <row r="73" spans="1:10">
      <c r="A73" s="68">
        <f t="shared" si="0"/>
        <v>61</v>
      </c>
      <c r="B73" s="144">
        <v>8620</v>
      </c>
      <c r="C73" s="145" t="s">
        <v>142</v>
      </c>
      <c r="D73" s="134">
        <v>0</v>
      </c>
      <c r="E73" s="134"/>
    </row>
    <row r="74" spans="1:10">
      <c r="A74" s="68">
        <f t="shared" si="0"/>
        <v>62</v>
      </c>
      <c r="B74" s="144">
        <v>8630</v>
      </c>
      <c r="C74" s="145" t="s">
        <v>143</v>
      </c>
      <c r="D74" s="135">
        <f>'C.2.2-F 09'!P67</f>
        <v>22915.302470239301</v>
      </c>
      <c r="E74" s="143"/>
      <c r="J74" s="115"/>
    </row>
    <row r="75" spans="1:10">
      <c r="A75" s="68">
        <f t="shared" si="0"/>
        <v>63</v>
      </c>
      <c r="B75" s="144">
        <v>8640</v>
      </c>
      <c r="C75" s="145" t="s">
        <v>144</v>
      </c>
      <c r="D75" s="135">
        <f>'C.2.2-F 09'!P68</f>
        <v>0</v>
      </c>
      <c r="E75" s="143"/>
    </row>
    <row r="76" spans="1:10">
      <c r="A76" s="68">
        <f t="shared" si="0"/>
        <v>64</v>
      </c>
      <c r="B76" s="144">
        <v>8650</v>
      </c>
      <c r="C76" s="145" t="s">
        <v>145</v>
      </c>
      <c r="D76" s="135">
        <f>'C.2.2-F 09'!P69</f>
        <v>0</v>
      </c>
      <c r="E76" s="143"/>
      <c r="J76" s="115"/>
    </row>
    <row r="77" spans="1:10">
      <c r="A77" s="68">
        <f t="shared" si="0"/>
        <v>65</v>
      </c>
      <c r="B77" s="144">
        <v>8670</v>
      </c>
      <c r="C77" s="145" t="s">
        <v>146</v>
      </c>
      <c r="D77" s="135">
        <v>0</v>
      </c>
      <c r="E77" s="143"/>
      <c r="J77" s="115"/>
    </row>
    <row r="78" spans="1:10">
      <c r="A78" s="68">
        <f t="shared" si="0"/>
        <v>66</v>
      </c>
      <c r="B78" s="56"/>
      <c r="C78" s="140" t="s">
        <v>147</v>
      </c>
      <c r="D78" s="138">
        <f>SUM(D73:D77)</f>
        <v>22915.302470239301</v>
      </c>
      <c r="E78" s="137"/>
    </row>
    <row r="79" spans="1:10">
      <c r="A79" s="68">
        <f t="shared" ref="A79:A142" si="1">A78+1</f>
        <v>67</v>
      </c>
      <c r="B79" s="56"/>
      <c r="C79" s="61"/>
      <c r="D79" s="143"/>
      <c r="E79" s="143"/>
    </row>
    <row r="80" spans="1:10">
      <c r="A80" s="68">
        <f t="shared" si="1"/>
        <v>68</v>
      </c>
      <c r="B80" s="56"/>
      <c r="C80" s="43" t="s">
        <v>148</v>
      </c>
      <c r="D80" s="130"/>
      <c r="E80" s="130"/>
    </row>
    <row r="81" spans="1:6">
      <c r="A81" s="68">
        <f t="shared" si="1"/>
        <v>69</v>
      </c>
      <c r="B81" s="20">
        <v>8001</v>
      </c>
      <c r="C81" s="21" t="s">
        <v>149</v>
      </c>
      <c r="D81" s="134">
        <f>'C.2.2-F 09'!P32</f>
        <v>0</v>
      </c>
      <c r="E81" s="134"/>
    </row>
    <row r="82" spans="1:6">
      <c r="A82" s="68">
        <f t="shared" si="1"/>
        <v>70</v>
      </c>
      <c r="B82" s="20">
        <v>8010</v>
      </c>
      <c r="C82" t="s">
        <v>150</v>
      </c>
      <c r="D82" s="143">
        <f>'C.2.2-F 09'!P33</f>
        <v>115617.31931189865</v>
      </c>
      <c r="E82" s="134"/>
    </row>
    <row r="83" spans="1:6">
      <c r="A83" s="68">
        <f t="shared" si="1"/>
        <v>71</v>
      </c>
      <c r="B83" s="132">
        <v>8040</v>
      </c>
      <c r="C83" s="74" t="s">
        <v>151</v>
      </c>
      <c r="D83" s="143">
        <f>'C.2.2-F 09'!P34</f>
        <v>50226537.125778787</v>
      </c>
      <c r="E83" s="143"/>
      <c r="F83" s="143"/>
    </row>
    <row r="84" spans="1:6">
      <c r="A84" s="68">
        <f t="shared" si="1"/>
        <v>72</v>
      </c>
      <c r="B84" s="132">
        <v>8045</v>
      </c>
      <c r="C84" s="74" t="s">
        <v>152</v>
      </c>
      <c r="D84" s="143">
        <v>0</v>
      </c>
      <c r="E84" s="143"/>
      <c r="F84" s="143"/>
    </row>
    <row r="85" spans="1:6">
      <c r="A85" s="68">
        <f t="shared" si="1"/>
        <v>73</v>
      </c>
      <c r="B85" s="20">
        <v>8050</v>
      </c>
      <c r="C85" s="21" t="s">
        <v>153</v>
      </c>
      <c r="D85" s="143">
        <f>'C.2.2-F 09'!P35</f>
        <v>-29530.739553719075</v>
      </c>
      <c r="E85" s="143"/>
      <c r="F85" s="143"/>
    </row>
    <row r="86" spans="1:6">
      <c r="A86" s="68">
        <f t="shared" si="1"/>
        <v>74</v>
      </c>
      <c r="B86" s="132">
        <v>8051</v>
      </c>
      <c r="C86" s="74" t="s">
        <v>154</v>
      </c>
      <c r="D86" s="143">
        <f>'C.2.2-F 09'!P36</f>
        <v>53391019.922585331</v>
      </c>
      <c r="E86" s="143"/>
      <c r="F86" s="143"/>
    </row>
    <row r="87" spans="1:6">
      <c r="A87" s="68">
        <f t="shared" si="1"/>
        <v>75</v>
      </c>
      <c r="B87" s="132">
        <v>8052</v>
      </c>
      <c r="C87" s="74" t="s">
        <v>155</v>
      </c>
      <c r="D87" s="143">
        <f>'C.2.2-F 09'!P37</f>
        <v>30150016.420434579</v>
      </c>
      <c r="E87" s="143"/>
      <c r="F87" s="143"/>
    </row>
    <row r="88" spans="1:6">
      <c r="A88" s="68">
        <f t="shared" si="1"/>
        <v>76</v>
      </c>
      <c r="B88" s="132">
        <v>8053</v>
      </c>
      <c r="C88" s="74" t="s">
        <v>156</v>
      </c>
      <c r="D88" s="143">
        <f>'C.2.2-F 09'!P38</f>
        <v>4872096.1644499665</v>
      </c>
      <c r="E88" s="143"/>
      <c r="F88" s="143"/>
    </row>
    <row r="89" spans="1:6">
      <c r="A89" s="68">
        <f t="shared" si="1"/>
        <v>77</v>
      </c>
      <c r="B89" s="132">
        <v>8054</v>
      </c>
      <c r="C89" s="74" t="s">
        <v>157</v>
      </c>
      <c r="D89" s="143">
        <f>'C.2.2-F 09'!P39</f>
        <v>4999866.0909232832</v>
      </c>
      <c r="E89" s="143"/>
      <c r="F89" s="143"/>
    </row>
    <row r="90" spans="1:6">
      <c r="A90" s="68">
        <f t="shared" si="1"/>
        <v>78</v>
      </c>
      <c r="B90" s="132">
        <v>8057</v>
      </c>
      <c r="C90" s="74" t="s">
        <v>158</v>
      </c>
      <c r="D90" s="143">
        <v>0</v>
      </c>
      <c r="E90" s="143"/>
      <c r="F90" s="143"/>
    </row>
    <row r="91" spans="1:6">
      <c r="A91" s="68">
        <f t="shared" si="1"/>
        <v>79</v>
      </c>
      <c r="B91" s="132">
        <v>8058</v>
      </c>
      <c r="C91" s="74" t="s">
        <v>159</v>
      </c>
      <c r="D91" s="143">
        <f>'C.2.2-F 09'!P40</f>
        <v>-5763928.6617656648</v>
      </c>
      <c r="E91" s="143"/>
      <c r="F91" s="143"/>
    </row>
    <row r="92" spans="1:6">
      <c r="A92" s="68">
        <f t="shared" si="1"/>
        <v>80</v>
      </c>
      <c r="B92" s="132">
        <v>8059</v>
      </c>
      <c r="C92" s="74" t="s">
        <v>160</v>
      </c>
      <c r="D92" s="143">
        <f>'C.2.2-F 09'!P41</f>
        <v>-109657356.96903254</v>
      </c>
      <c r="E92" s="143"/>
      <c r="F92" s="143"/>
    </row>
    <row r="93" spans="1:6">
      <c r="A93" s="68">
        <f t="shared" si="1"/>
        <v>81</v>
      </c>
      <c r="B93" s="132">
        <v>8060</v>
      </c>
      <c r="C93" s="74" t="s">
        <v>161</v>
      </c>
      <c r="D93" s="143">
        <f>'C.2.2-F 09'!P42</f>
        <v>-122034.7071683351</v>
      </c>
      <c r="E93" s="143"/>
      <c r="F93" s="143"/>
    </row>
    <row r="94" spans="1:6">
      <c r="A94" s="68">
        <f t="shared" si="1"/>
        <v>82</v>
      </c>
      <c r="B94" s="132">
        <v>8081</v>
      </c>
      <c r="C94" s="74" t="s">
        <v>162</v>
      </c>
      <c r="D94" s="143">
        <f>'C.2.2-F 09'!P43</f>
        <v>30798939.037260093</v>
      </c>
      <c r="E94" s="143"/>
      <c r="F94" s="143"/>
    </row>
    <row r="95" spans="1:6">
      <c r="A95" s="68">
        <f t="shared" si="1"/>
        <v>83</v>
      </c>
      <c r="B95" s="132">
        <v>8082</v>
      </c>
      <c r="C95" s="74" t="s">
        <v>163</v>
      </c>
      <c r="D95" s="143">
        <f>'C.2.2-F 09'!P44</f>
        <v>-14414625.152342308</v>
      </c>
      <c r="E95" s="143"/>
      <c r="F95" s="143"/>
    </row>
    <row r="96" spans="1:6">
      <c r="A96" s="68">
        <f t="shared" si="1"/>
        <v>84</v>
      </c>
      <c r="B96" s="20">
        <v>8110</v>
      </c>
      <c r="C96" s="15" t="s">
        <v>164</v>
      </c>
      <c r="D96" s="143">
        <v>0</v>
      </c>
      <c r="E96" s="143"/>
      <c r="F96" s="143"/>
    </row>
    <row r="97" spans="1:10">
      <c r="A97" s="68">
        <f t="shared" si="1"/>
        <v>85</v>
      </c>
      <c r="B97" s="132">
        <v>8120</v>
      </c>
      <c r="C97" s="74" t="s">
        <v>165</v>
      </c>
      <c r="D97" s="143">
        <f>'C.2.2-F 09'!P45</f>
        <v>-8171.864728089522</v>
      </c>
      <c r="E97" s="143"/>
      <c r="F97" s="143"/>
    </row>
    <row r="98" spans="1:10">
      <c r="A98" s="68">
        <f t="shared" si="1"/>
        <v>86</v>
      </c>
      <c r="B98" s="132">
        <v>8130</v>
      </c>
      <c r="C98" s="74" t="s">
        <v>232</v>
      </c>
      <c r="D98" s="143">
        <v>0</v>
      </c>
      <c r="E98" s="143"/>
      <c r="F98" s="143"/>
    </row>
    <row r="99" spans="1:10">
      <c r="A99" s="68">
        <f t="shared" si="1"/>
        <v>87</v>
      </c>
      <c r="B99" s="20">
        <v>8580</v>
      </c>
      <c r="C99" s="15" t="s">
        <v>166</v>
      </c>
      <c r="D99" s="143">
        <f>'C.2.2-F 09'!P46</f>
        <v>43082454.085746109</v>
      </c>
      <c r="E99" s="143"/>
    </row>
    <row r="100" spans="1:10">
      <c r="A100" s="68">
        <f t="shared" si="1"/>
        <v>88</v>
      </c>
      <c r="B100" s="56"/>
      <c r="C100" s="140" t="s">
        <v>167</v>
      </c>
      <c r="D100" s="138">
        <f>SUM(D81:D99)</f>
        <v>87640898.071899399</v>
      </c>
      <c r="E100" s="137"/>
    </row>
    <row r="101" spans="1:10">
      <c r="A101" s="68">
        <f t="shared" si="1"/>
        <v>89</v>
      </c>
      <c r="B101" s="56"/>
    </row>
    <row r="102" spans="1:10">
      <c r="A102" s="68">
        <f t="shared" si="1"/>
        <v>90</v>
      </c>
      <c r="B102" s="56"/>
      <c r="C102" s="43" t="s">
        <v>168</v>
      </c>
    </row>
    <row r="103" spans="1:10">
      <c r="A103" s="68">
        <f t="shared" si="1"/>
        <v>91</v>
      </c>
      <c r="B103" s="132">
        <v>8700</v>
      </c>
      <c r="C103" s="133" t="s">
        <v>169</v>
      </c>
      <c r="D103" s="134">
        <f>'C.2.2-F 09'!P70</f>
        <v>2140705.472291261</v>
      </c>
      <c r="E103" s="134"/>
      <c r="J103" s="115"/>
    </row>
    <row r="104" spans="1:10">
      <c r="A104" s="68">
        <f t="shared" si="1"/>
        <v>92</v>
      </c>
      <c r="B104" s="132">
        <v>8710</v>
      </c>
      <c r="C104" s="133" t="s">
        <v>170</v>
      </c>
      <c r="D104" s="143">
        <f>'C.2.2-F 09'!P71</f>
        <v>-41.487393167529959</v>
      </c>
      <c r="E104" s="143"/>
      <c r="J104" s="115"/>
    </row>
    <row r="105" spans="1:10">
      <c r="A105" s="68">
        <f t="shared" si="1"/>
        <v>93</v>
      </c>
      <c r="B105" s="132">
        <v>8711</v>
      </c>
      <c r="C105" s="74" t="s">
        <v>171</v>
      </c>
      <c r="D105" s="143">
        <f>'C.2.2-F 09'!P72</f>
        <v>132819.4731803599</v>
      </c>
      <c r="E105" s="143"/>
      <c r="J105" s="115"/>
    </row>
    <row r="106" spans="1:10">
      <c r="A106" s="68">
        <f t="shared" si="1"/>
        <v>94</v>
      </c>
      <c r="B106" s="132">
        <v>8720</v>
      </c>
      <c r="C106" s="133" t="s">
        <v>172</v>
      </c>
      <c r="D106" s="143">
        <f>'C.2.2-F 09'!P73</f>
        <v>0</v>
      </c>
      <c r="E106" s="143"/>
    </row>
    <row r="107" spans="1:10">
      <c r="A107" s="68">
        <f t="shared" si="1"/>
        <v>95</v>
      </c>
      <c r="B107" s="132">
        <v>8740</v>
      </c>
      <c r="C107" s="133" t="s">
        <v>173</v>
      </c>
      <c r="D107" s="143">
        <f>'C.2.2-F 09'!P74</f>
        <v>6802984.387259407</v>
      </c>
      <c r="E107" s="143"/>
      <c r="J107" s="115"/>
    </row>
    <row r="108" spans="1:10">
      <c r="A108" s="68">
        <f t="shared" si="1"/>
        <v>96</v>
      </c>
      <c r="B108" s="132">
        <v>8750</v>
      </c>
      <c r="C108" s="133" t="s">
        <v>174</v>
      </c>
      <c r="D108" s="143">
        <f>'C.2.2-F 09'!P75</f>
        <v>1361535.0425113144</v>
      </c>
      <c r="E108" s="143"/>
      <c r="J108" s="115"/>
    </row>
    <row r="109" spans="1:10">
      <c r="A109" s="68">
        <f t="shared" si="1"/>
        <v>97</v>
      </c>
      <c r="B109" s="132">
        <v>8760</v>
      </c>
      <c r="C109" s="133" t="s">
        <v>175</v>
      </c>
      <c r="D109" s="143">
        <f>'C.2.2-F 09'!P76</f>
        <v>523.06203787400796</v>
      </c>
      <c r="E109" s="143"/>
      <c r="J109" s="115"/>
    </row>
    <row r="110" spans="1:10">
      <c r="A110" s="68">
        <f t="shared" si="1"/>
        <v>98</v>
      </c>
      <c r="B110" s="132">
        <v>8770</v>
      </c>
      <c r="C110" s="133" t="s">
        <v>176</v>
      </c>
      <c r="D110" s="143">
        <f>'C.2.2-F 09'!P77</f>
        <v>5487.2351419565202</v>
      </c>
      <c r="E110" s="143"/>
      <c r="J110" s="115"/>
    </row>
    <row r="111" spans="1:10">
      <c r="A111" s="68">
        <f t="shared" si="1"/>
        <v>99</v>
      </c>
      <c r="B111" s="132">
        <v>8780</v>
      </c>
      <c r="C111" s="133" t="s">
        <v>177</v>
      </c>
      <c r="D111" s="143">
        <f>'C.2.2-F 09'!P78</f>
        <v>938470.93007415812</v>
      </c>
      <c r="E111" s="143"/>
      <c r="J111" s="115"/>
    </row>
    <row r="112" spans="1:10">
      <c r="A112" s="68">
        <f t="shared" si="1"/>
        <v>100</v>
      </c>
      <c r="B112" s="132">
        <v>8790</v>
      </c>
      <c r="C112" s="133" t="s">
        <v>178</v>
      </c>
      <c r="D112" s="143">
        <f>'C.2.2-F 09'!P79</f>
        <v>257.39763905894324</v>
      </c>
      <c r="E112" s="143"/>
      <c r="J112" s="115"/>
    </row>
    <row r="113" spans="1:10">
      <c r="A113" s="68">
        <f t="shared" si="1"/>
        <v>101</v>
      </c>
      <c r="B113" s="132">
        <v>8800</v>
      </c>
      <c r="C113" s="133" t="s">
        <v>179</v>
      </c>
      <c r="D113" s="143">
        <f>'C.2.2-F 09'!P80</f>
        <v>3085.1917302799775</v>
      </c>
      <c r="E113" s="143"/>
      <c r="J113" s="115"/>
    </row>
    <row r="114" spans="1:10">
      <c r="A114" s="68">
        <f t="shared" si="1"/>
        <v>102</v>
      </c>
      <c r="B114" s="132">
        <v>8810</v>
      </c>
      <c r="C114" s="133" t="s">
        <v>139</v>
      </c>
      <c r="D114" s="143">
        <f>'C.2.2-F 09'!P81</f>
        <v>75022.591371783739</v>
      </c>
      <c r="E114" s="143"/>
      <c r="J114" s="115"/>
    </row>
    <row r="115" spans="1:10">
      <c r="A115" s="68">
        <f t="shared" si="1"/>
        <v>103</v>
      </c>
      <c r="B115" s="56"/>
      <c r="C115" s="140" t="s">
        <v>180</v>
      </c>
      <c r="D115" s="138">
        <f>SUM(D103:D114)</f>
        <v>11460849.295844285</v>
      </c>
      <c r="E115" s="137"/>
    </row>
    <row r="116" spans="1:10">
      <c r="A116" s="68">
        <f t="shared" si="1"/>
        <v>104</v>
      </c>
      <c r="B116" s="56"/>
    </row>
    <row r="117" spans="1:10">
      <c r="A117" s="68">
        <f t="shared" si="1"/>
        <v>105</v>
      </c>
      <c r="B117" s="68"/>
      <c r="C117" s="43" t="s">
        <v>181</v>
      </c>
      <c r="D117" s="130"/>
      <c r="E117" s="130"/>
    </row>
    <row r="118" spans="1:10">
      <c r="A118" s="68">
        <f t="shared" si="1"/>
        <v>106</v>
      </c>
      <c r="B118" s="132">
        <v>8850</v>
      </c>
      <c r="C118" s="133" t="s">
        <v>169</v>
      </c>
      <c r="D118" s="134">
        <f>'C.2.2-F 09'!P82</f>
        <v>0</v>
      </c>
      <c r="E118" s="134"/>
      <c r="H118" s="115"/>
      <c r="J118" s="115"/>
    </row>
    <row r="119" spans="1:10">
      <c r="A119" s="68">
        <f t="shared" si="1"/>
        <v>107</v>
      </c>
      <c r="B119" s="132">
        <v>8860</v>
      </c>
      <c r="C119" s="133" t="s">
        <v>142</v>
      </c>
      <c r="D119" s="143">
        <f>'C.2.2-F 09'!P83</f>
        <v>0</v>
      </c>
      <c r="E119" s="143"/>
      <c r="H119" s="115"/>
      <c r="J119" s="115"/>
    </row>
    <row r="120" spans="1:10">
      <c r="A120" s="68">
        <f t="shared" si="1"/>
        <v>108</v>
      </c>
      <c r="B120" s="132">
        <v>8870</v>
      </c>
      <c r="C120" s="133" t="s">
        <v>143</v>
      </c>
      <c r="D120" s="143">
        <f>'C.2.2-F 09'!P84</f>
        <v>144479.87100810636</v>
      </c>
      <c r="E120" s="143"/>
      <c r="H120" s="115"/>
      <c r="J120" s="115"/>
    </row>
    <row r="121" spans="1:10">
      <c r="A121" s="68">
        <f t="shared" si="1"/>
        <v>109</v>
      </c>
      <c r="B121" s="132">
        <v>8890</v>
      </c>
      <c r="C121" s="133" t="s">
        <v>174</v>
      </c>
      <c r="D121" s="143">
        <f>'C.2.2-F 09'!P85</f>
        <v>140589.78215671532</v>
      </c>
      <c r="E121" s="143"/>
      <c r="H121" s="115"/>
      <c r="J121" s="115"/>
    </row>
    <row r="122" spans="1:10">
      <c r="A122" s="68">
        <f t="shared" si="1"/>
        <v>110</v>
      </c>
      <c r="B122" s="132">
        <v>8900</v>
      </c>
      <c r="C122" s="133" t="s">
        <v>175</v>
      </c>
      <c r="D122" s="143">
        <f>'C.2.2-F 09'!P86</f>
        <v>0</v>
      </c>
      <c r="E122" s="143"/>
      <c r="H122" s="115"/>
      <c r="J122" s="115"/>
    </row>
    <row r="123" spans="1:10">
      <c r="A123" s="68">
        <f t="shared" si="1"/>
        <v>111</v>
      </c>
      <c r="B123" s="132">
        <v>8910</v>
      </c>
      <c r="C123" s="133" t="s">
        <v>176</v>
      </c>
      <c r="D123" s="143">
        <f>'C.2.2-F 09'!P87</f>
        <v>134.5582397621929</v>
      </c>
      <c r="E123" s="143"/>
      <c r="H123" s="115"/>
      <c r="J123" s="115"/>
    </row>
    <row r="124" spans="1:10">
      <c r="A124" s="68">
        <f t="shared" si="1"/>
        <v>112</v>
      </c>
      <c r="B124" s="132">
        <v>8920</v>
      </c>
      <c r="C124" s="133" t="s">
        <v>182</v>
      </c>
      <c r="D124" s="143">
        <f>'C.2.2-F 09'!P88</f>
        <v>177.72350569826528</v>
      </c>
      <c r="E124" s="143"/>
      <c r="H124" s="115"/>
      <c r="J124" s="115"/>
    </row>
    <row r="125" spans="1:10">
      <c r="A125" s="68">
        <f t="shared" si="1"/>
        <v>113</v>
      </c>
      <c r="B125" s="132">
        <v>8930</v>
      </c>
      <c r="C125" s="133" t="s">
        <v>183</v>
      </c>
      <c r="D125" s="143">
        <f>'C.2.2-F 09'!P89</f>
        <v>0</v>
      </c>
      <c r="E125" s="143"/>
      <c r="H125" s="115"/>
      <c r="J125" s="115"/>
    </row>
    <row r="126" spans="1:10">
      <c r="A126" s="68">
        <f t="shared" si="1"/>
        <v>114</v>
      </c>
      <c r="B126" s="132">
        <v>8940</v>
      </c>
      <c r="C126" s="133" t="s">
        <v>146</v>
      </c>
      <c r="D126" s="143">
        <f>'C.2.2-F 09'!P90</f>
        <v>0</v>
      </c>
      <c r="E126" s="143"/>
      <c r="H126" s="115"/>
      <c r="J126" s="115"/>
    </row>
    <row r="127" spans="1:10">
      <c r="A127" s="68">
        <f t="shared" si="1"/>
        <v>115</v>
      </c>
      <c r="B127" s="148" t="s">
        <v>233</v>
      </c>
      <c r="C127" s="133" t="s">
        <v>184</v>
      </c>
      <c r="D127" s="147">
        <v>0</v>
      </c>
      <c r="E127" s="143"/>
      <c r="H127" s="115"/>
    </row>
    <row r="128" spans="1:10">
      <c r="A128" s="68">
        <f t="shared" si="1"/>
        <v>116</v>
      </c>
      <c r="B128" s="56"/>
      <c r="C128" s="140" t="s">
        <v>185</v>
      </c>
      <c r="D128" s="137">
        <f>SUM(D118:D127)</f>
        <v>285381.93491028214</v>
      </c>
      <c r="E128" s="137"/>
    </row>
    <row r="129" spans="1:10">
      <c r="A129" s="68">
        <f t="shared" si="1"/>
        <v>117</v>
      </c>
      <c r="B129" s="56"/>
      <c r="C129" s="140"/>
      <c r="D129" s="143"/>
      <c r="E129" s="143"/>
    </row>
    <row r="130" spans="1:10">
      <c r="A130" s="68">
        <f t="shared" si="1"/>
        <v>118</v>
      </c>
      <c r="B130" s="68"/>
      <c r="C130" s="43" t="s">
        <v>186</v>
      </c>
      <c r="D130" s="130"/>
      <c r="E130" s="130"/>
    </row>
    <row r="131" spans="1:10">
      <c r="A131" s="68">
        <f t="shared" si="1"/>
        <v>119</v>
      </c>
      <c r="B131" s="132">
        <v>9010</v>
      </c>
      <c r="C131" s="133" t="s">
        <v>187</v>
      </c>
      <c r="D131" s="134">
        <f>'C.2.2-F 09'!P91</f>
        <v>0</v>
      </c>
      <c r="E131" s="134"/>
      <c r="H131" s="115"/>
      <c r="J131" s="115"/>
    </row>
    <row r="132" spans="1:10">
      <c r="A132" s="68">
        <f t="shared" si="1"/>
        <v>120</v>
      </c>
      <c r="B132" s="132">
        <v>9020</v>
      </c>
      <c r="C132" s="133" t="s">
        <v>188</v>
      </c>
      <c r="D132" s="143">
        <f>'C.2.2-F 09'!P92</f>
        <v>735288.33326781169</v>
      </c>
      <c r="E132" s="143"/>
      <c r="H132" s="115"/>
      <c r="J132" s="115"/>
    </row>
    <row r="133" spans="1:10">
      <c r="A133" s="68">
        <f t="shared" si="1"/>
        <v>121</v>
      </c>
      <c r="B133" s="132">
        <v>9030</v>
      </c>
      <c r="C133" s="133" t="s">
        <v>189</v>
      </c>
      <c r="D133" s="143">
        <f>'C.2.2-F 09'!P93</f>
        <v>1067803.4393090948</v>
      </c>
      <c r="E133" s="143"/>
      <c r="H133" s="115"/>
      <c r="J133" s="115"/>
    </row>
    <row r="134" spans="1:10">
      <c r="A134" s="68">
        <f t="shared" si="1"/>
        <v>122</v>
      </c>
      <c r="B134" s="132">
        <v>9040</v>
      </c>
      <c r="C134" s="133" t="s">
        <v>190</v>
      </c>
      <c r="D134" s="143">
        <f>'C.2.2-F 09'!P94</f>
        <v>731531.84087815229</v>
      </c>
      <c r="E134" s="143"/>
      <c r="H134" s="115"/>
      <c r="J134" s="115"/>
    </row>
    <row r="135" spans="1:10">
      <c r="A135" s="68">
        <f t="shared" si="1"/>
        <v>123</v>
      </c>
      <c r="B135" s="68"/>
      <c r="C135" s="140" t="s">
        <v>191</v>
      </c>
      <c r="D135" s="138">
        <f>SUM(D131:D134)</f>
        <v>2534623.613455059</v>
      </c>
      <c r="E135" s="137"/>
      <c r="H135" s="115"/>
    </row>
    <row r="136" spans="1:10">
      <c r="A136" s="68">
        <f t="shared" si="1"/>
        <v>124</v>
      </c>
      <c r="B136" s="56"/>
    </row>
    <row r="137" spans="1:10">
      <c r="A137" s="68">
        <f t="shared" si="1"/>
        <v>125</v>
      </c>
      <c r="B137" s="56"/>
      <c r="C137" s="43" t="s">
        <v>192</v>
      </c>
    </row>
    <row r="138" spans="1:10">
      <c r="A138" s="68">
        <f t="shared" si="1"/>
        <v>126</v>
      </c>
      <c r="B138" s="132">
        <v>9070</v>
      </c>
      <c r="C138" s="133" t="s">
        <v>187</v>
      </c>
      <c r="D138" s="134">
        <v>0</v>
      </c>
      <c r="E138" s="134"/>
      <c r="H138" s="115"/>
      <c r="J138" s="115"/>
    </row>
    <row r="139" spans="1:10">
      <c r="A139" s="68">
        <f t="shared" si="1"/>
        <v>127</v>
      </c>
      <c r="B139" s="132">
        <v>9080</v>
      </c>
      <c r="C139" s="133" t="s">
        <v>193</v>
      </c>
      <c r="D139" s="143">
        <v>0</v>
      </c>
      <c r="E139" s="143"/>
      <c r="H139" s="115"/>
      <c r="J139" s="115"/>
    </row>
    <row r="140" spans="1:10">
      <c r="A140" s="68">
        <f t="shared" si="1"/>
        <v>128</v>
      </c>
      <c r="B140" s="132">
        <v>9090</v>
      </c>
      <c r="C140" s="133" t="s">
        <v>194</v>
      </c>
      <c r="D140" s="143">
        <f>'C.2.2-F 09'!P95</f>
        <v>214460.81968819545</v>
      </c>
      <c r="E140" s="143"/>
      <c r="H140" s="115"/>
      <c r="J140" s="115"/>
    </row>
    <row r="141" spans="1:10">
      <c r="A141" s="68">
        <f t="shared" si="1"/>
        <v>129</v>
      </c>
      <c r="B141" s="132">
        <v>9100</v>
      </c>
      <c r="C141" s="133" t="s">
        <v>195</v>
      </c>
      <c r="D141" s="143">
        <f>'C.2.2-F 09'!P96</f>
        <v>0</v>
      </c>
      <c r="E141" s="143"/>
      <c r="H141" s="115"/>
      <c r="J141" s="115"/>
    </row>
    <row r="142" spans="1:10">
      <c r="A142" s="68">
        <f t="shared" si="1"/>
        <v>130</v>
      </c>
      <c r="B142" s="68"/>
      <c r="C142" s="140" t="s">
        <v>196</v>
      </c>
      <c r="D142" s="138">
        <f>SUM(D138:D141)</f>
        <v>214460.81968819545</v>
      </c>
      <c r="E142" s="137"/>
    </row>
    <row r="143" spans="1:10">
      <c r="A143" s="68">
        <f t="shared" ref="A143:A177" si="2">A142+1</f>
        <v>131</v>
      </c>
      <c r="B143" s="68"/>
      <c r="C143" s="140"/>
      <c r="D143" s="143"/>
      <c r="E143" s="143"/>
    </row>
    <row r="144" spans="1:10">
      <c r="A144" s="68">
        <f t="shared" si="2"/>
        <v>132</v>
      </c>
      <c r="B144" s="68"/>
      <c r="C144" s="43" t="s">
        <v>67</v>
      </c>
      <c r="D144" s="130"/>
      <c r="E144" s="130"/>
    </row>
    <row r="145" spans="1:10">
      <c r="A145" s="68">
        <f t="shared" si="2"/>
        <v>133</v>
      </c>
      <c r="B145" s="132">
        <v>9110</v>
      </c>
      <c r="C145" s="133" t="s">
        <v>187</v>
      </c>
      <c r="D145" s="134">
        <f>'C.2.2-F 09'!P97</f>
        <v>158548.88574016749</v>
      </c>
      <c r="E145" s="134"/>
      <c r="H145" s="115"/>
      <c r="J145" s="115"/>
    </row>
    <row r="146" spans="1:10">
      <c r="A146" s="68">
        <f t="shared" si="2"/>
        <v>134</v>
      </c>
      <c r="B146" s="132">
        <v>9120</v>
      </c>
      <c r="C146" s="133" t="s">
        <v>197</v>
      </c>
      <c r="D146" s="143">
        <f>'C.2.2-F 09'!P98</f>
        <v>77078.365467993717</v>
      </c>
      <c r="E146" s="143"/>
      <c r="H146" s="115"/>
      <c r="J146" s="115"/>
    </row>
    <row r="147" spans="1:10">
      <c r="A147" s="68">
        <f t="shared" si="2"/>
        <v>135</v>
      </c>
      <c r="B147" s="132">
        <v>9130</v>
      </c>
      <c r="C147" s="133" t="s">
        <v>198</v>
      </c>
      <c r="D147" s="143">
        <f>'C.2.2-F 09'!P99</f>
        <v>36821.435045165337</v>
      </c>
      <c r="E147" s="143"/>
      <c r="H147" s="115"/>
      <c r="J147" s="115"/>
    </row>
    <row r="148" spans="1:10">
      <c r="A148" s="68">
        <f t="shared" si="2"/>
        <v>136</v>
      </c>
      <c r="B148" s="132">
        <v>9160</v>
      </c>
      <c r="C148" s="133" t="s">
        <v>199</v>
      </c>
      <c r="D148" s="143">
        <f>'C.2.2-F 09'!P100</f>
        <v>0.42957917819093439</v>
      </c>
      <c r="E148" s="143"/>
      <c r="H148" s="115"/>
      <c r="J148" s="115"/>
    </row>
    <row r="149" spans="1:10">
      <c r="A149" s="68">
        <f t="shared" si="2"/>
        <v>137</v>
      </c>
      <c r="B149" s="68"/>
      <c r="C149" s="140" t="s">
        <v>200</v>
      </c>
      <c r="D149" s="138">
        <f>SUM(D145:D148)</f>
        <v>272449.1158325047</v>
      </c>
      <c r="E149" s="137"/>
    </row>
    <row r="150" spans="1:10">
      <c r="A150" s="68">
        <f t="shared" si="2"/>
        <v>138</v>
      </c>
      <c r="B150" s="56"/>
      <c r="D150" s="130"/>
      <c r="E150" s="130"/>
    </row>
    <row r="151" spans="1:10">
      <c r="A151" s="68">
        <f t="shared" si="2"/>
        <v>139</v>
      </c>
      <c r="B151" s="68"/>
      <c r="C151" s="43" t="s">
        <v>201</v>
      </c>
      <c r="D151" s="130"/>
      <c r="E151" s="130"/>
      <c r="H151" s="115"/>
    </row>
    <row r="152" spans="1:10">
      <c r="A152" s="68">
        <f t="shared" si="2"/>
        <v>140</v>
      </c>
      <c r="B152" s="132">
        <v>9200</v>
      </c>
      <c r="C152" s="133" t="s">
        <v>202</v>
      </c>
      <c r="D152" s="137">
        <f>'C.2.2-F 09'!P101</f>
        <v>0</v>
      </c>
      <c r="E152" s="134"/>
      <c r="H152" s="115"/>
      <c r="J152" s="115"/>
    </row>
    <row r="153" spans="1:10">
      <c r="A153" s="68">
        <f t="shared" si="2"/>
        <v>141</v>
      </c>
      <c r="B153" s="132">
        <v>9210</v>
      </c>
      <c r="C153" s="133" t="s">
        <v>203</v>
      </c>
      <c r="D153" s="143">
        <f>'C.2.2-F 09'!P102</f>
        <v>69068.736747201372</v>
      </c>
      <c r="E153" s="143"/>
      <c r="H153" s="115"/>
      <c r="J153" s="115"/>
    </row>
    <row r="154" spans="1:10">
      <c r="A154" s="68">
        <f t="shared" si="2"/>
        <v>142</v>
      </c>
      <c r="B154" s="132">
        <v>9220</v>
      </c>
      <c r="C154" s="133" t="s">
        <v>204</v>
      </c>
      <c r="D154" s="143">
        <f>'C.2.2-F 09'!P103</f>
        <v>18251309.39974916</v>
      </c>
      <c r="E154" s="143"/>
      <c r="H154" s="115"/>
      <c r="J154" s="115"/>
    </row>
    <row r="155" spans="1:10">
      <c r="A155" s="68">
        <f t="shared" si="2"/>
        <v>143</v>
      </c>
      <c r="B155" s="132">
        <v>9230</v>
      </c>
      <c r="C155" s="133" t="s">
        <v>205</v>
      </c>
      <c r="D155" s="143">
        <f>'C.2.2-F 09'!P104</f>
        <v>69992.773357752987</v>
      </c>
      <c r="E155" s="143"/>
      <c r="H155" s="115"/>
      <c r="J155" s="115"/>
    </row>
    <row r="156" spans="1:10">
      <c r="A156" s="68">
        <f t="shared" si="2"/>
        <v>144</v>
      </c>
      <c r="B156" s="132">
        <v>9240</v>
      </c>
      <c r="C156" s="133" t="s">
        <v>206</v>
      </c>
      <c r="D156" s="143">
        <f>'C.2.2-F 09'!P105</f>
        <v>0</v>
      </c>
      <c r="E156" s="143"/>
      <c r="H156" s="115"/>
      <c r="J156" s="115"/>
    </row>
    <row r="157" spans="1:10">
      <c r="A157" s="68">
        <f t="shared" si="2"/>
        <v>145</v>
      </c>
      <c r="B157" s="132">
        <v>9250</v>
      </c>
      <c r="C157" s="133" t="s">
        <v>207</v>
      </c>
      <c r="D157" s="143">
        <f>'C.2.2-F 09'!P106</f>
        <v>23257.272517765381</v>
      </c>
      <c r="E157" s="143"/>
      <c r="H157" s="115"/>
      <c r="J157" s="115"/>
    </row>
    <row r="158" spans="1:10">
      <c r="A158" s="68">
        <f t="shared" si="2"/>
        <v>146</v>
      </c>
      <c r="B158" s="132">
        <v>9260</v>
      </c>
      <c r="C158" s="133" t="s">
        <v>208</v>
      </c>
      <c r="D158" s="143">
        <f>'C.2.2-F 09'!P107</f>
        <v>872758.78491780465</v>
      </c>
      <c r="E158" s="143"/>
      <c r="H158" s="115"/>
      <c r="J158" s="115"/>
    </row>
    <row r="159" spans="1:10">
      <c r="A159" s="68">
        <f t="shared" si="2"/>
        <v>147</v>
      </c>
      <c r="B159" s="132">
        <v>9270</v>
      </c>
      <c r="C159" s="133" t="s">
        <v>209</v>
      </c>
      <c r="D159" s="143">
        <f>'C.2.2-F 09'!P108</f>
        <v>635.46619925041443</v>
      </c>
      <c r="E159" s="143"/>
      <c r="H159" s="115"/>
      <c r="J159" s="115"/>
    </row>
    <row r="160" spans="1:10">
      <c r="A160" s="68">
        <f t="shared" si="2"/>
        <v>148</v>
      </c>
      <c r="B160" s="132">
        <v>9280</v>
      </c>
      <c r="C160" s="133" t="s">
        <v>210</v>
      </c>
      <c r="D160" s="143">
        <f>'C.2.2-F 09'!P109</f>
        <v>165391.61944989153</v>
      </c>
      <c r="E160" s="143"/>
      <c r="H160" s="115"/>
      <c r="J160" s="115"/>
    </row>
    <row r="161" spans="1:10">
      <c r="A161" s="68">
        <f t="shared" si="2"/>
        <v>149</v>
      </c>
      <c r="B161" s="149">
        <v>930.2</v>
      </c>
      <c r="C161" s="133" t="s">
        <v>211</v>
      </c>
      <c r="D161" s="143">
        <f>'C.2.2-F 09'!P110</f>
        <v>24410.809553333078</v>
      </c>
      <c r="E161" s="143"/>
      <c r="H161" s="115"/>
      <c r="J161" s="115"/>
    </row>
    <row r="162" spans="1:10">
      <c r="A162" s="68">
        <f t="shared" si="2"/>
        <v>150</v>
      </c>
      <c r="B162" s="20">
        <v>9310</v>
      </c>
      <c r="C162" s="21" t="s">
        <v>212</v>
      </c>
      <c r="D162" s="143">
        <f>'C.2.2-F 09'!P111</f>
        <v>0</v>
      </c>
      <c r="E162" s="143"/>
      <c r="H162" s="115"/>
      <c r="J162" s="115"/>
    </row>
    <row r="163" spans="1:10">
      <c r="A163" s="68">
        <f t="shared" si="2"/>
        <v>151</v>
      </c>
      <c r="B163" s="68"/>
      <c r="C163" s="140" t="s">
        <v>213</v>
      </c>
      <c r="D163" s="138">
        <f>SUM(D152:D162)</f>
        <v>19476824.862492159</v>
      </c>
      <c r="E163" s="137"/>
    </row>
    <row r="164" spans="1:10">
      <c r="A164" s="68">
        <f t="shared" si="2"/>
        <v>152</v>
      </c>
      <c r="B164" s="68"/>
      <c r="C164" s="130"/>
      <c r="D164" s="130"/>
      <c r="E164" s="130"/>
      <c r="H164" s="115"/>
    </row>
    <row r="165" spans="1:10">
      <c r="A165" s="68">
        <f t="shared" si="2"/>
        <v>153</v>
      </c>
      <c r="B165" s="68"/>
      <c r="C165" s="43" t="s">
        <v>214</v>
      </c>
      <c r="D165" s="130"/>
      <c r="E165" s="130"/>
      <c r="H165" s="115"/>
    </row>
    <row r="166" spans="1:10">
      <c r="A166" s="68">
        <f t="shared" si="2"/>
        <v>154</v>
      </c>
      <c r="B166" s="132">
        <v>9320</v>
      </c>
      <c r="C166" s="133" t="s">
        <v>234</v>
      </c>
      <c r="D166" s="147">
        <f>'C.2.2-F 09'!P112</f>
        <v>0</v>
      </c>
      <c r="E166" s="143"/>
      <c r="H166" s="115"/>
    </row>
    <row r="167" spans="1:10">
      <c r="A167" s="68">
        <f t="shared" si="2"/>
        <v>155</v>
      </c>
      <c r="B167" s="68"/>
      <c r="C167" s="140" t="s">
        <v>216</v>
      </c>
      <c r="D167" s="150">
        <f>SUM(D166:D166)</f>
        <v>0</v>
      </c>
      <c r="E167" s="150"/>
      <c r="H167" s="115"/>
    </row>
    <row r="168" spans="1:10">
      <c r="A168" s="68">
        <f t="shared" si="2"/>
        <v>156</v>
      </c>
      <c r="B168" s="56"/>
      <c r="H168" s="115"/>
    </row>
    <row r="169" spans="1:10">
      <c r="A169" s="68">
        <f t="shared" si="2"/>
        <v>157</v>
      </c>
      <c r="B169" s="68"/>
      <c r="C169" s="42" t="s">
        <v>217</v>
      </c>
      <c r="D169" s="137">
        <f>+D34+D50+D60+D70+D78+D100+D115+D128+D135+D142+D149+D163+D167</f>
        <v>122552664.48189808</v>
      </c>
      <c r="E169" s="137"/>
      <c r="H169" s="115"/>
      <c r="I169" s="6"/>
    </row>
    <row r="170" spans="1:10">
      <c r="A170" s="68">
        <f t="shared" si="2"/>
        <v>158</v>
      </c>
      <c r="B170" s="56"/>
      <c r="H170" s="115"/>
    </row>
    <row r="171" spans="1:10">
      <c r="A171" s="68">
        <f t="shared" si="2"/>
        <v>159</v>
      </c>
      <c r="B171" s="68" t="s">
        <v>235</v>
      </c>
      <c r="C171" s="74" t="s">
        <v>236</v>
      </c>
      <c r="D171" s="134">
        <f>'C.2.2-F 09'!P14+'C.2.2-F 09'!P15</f>
        <v>22028374.895356476</v>
      </c>
      <c r="E171" s="134"/>
      <c r="H171" s="115"/>
    </row>
    <row r="172" spans="1:10">
      <c r="A172" s="68">
        <f t="shared" si="2"/>
        <v>160</v>
      </c>
      <c r="B172" s="132">
        <v>4081</v>
      </c>
      <c r="C172" s="74" t="s">
        <v>220</v>
      </c>
      <c r="D172" s="143">
        <f>'C.2.2-F 09'!P16</f>
        <v>13803542.573109645</v>
      </c>
      <c r="E172" s="143"/>
      <c r="H172" s="115"/>
    </row>
    <row r="173" spans="1:10">
      <c r="A173" s="68">
        <f t="shared" si="2"/>
        <v>161</v>
      </c>
      <c r="B173" s="132">
        <v>4091</v>
      </c>
      <c r="C173" s="74" t="s">
        <v>222</v>
      </c>
      <c r="D173" s="143">
        <f>'C.2.2-F 09'!P12</f>
        <v>5205179.1907985518</v>
      </c>
      <c r="E173" s="143"/>
    </row>
    <row r="174" spans="1:10">
      <c r="A174" s="68">
        <f t="shared" si="2"/>
        <v>162</v>
      </c>
    </row>
    <row r="175" spans="1:10">
      <c r="A175" s="68">
        <f t="shared" si="2"/>
        <v>163</v>
      </c>
      <c r="B175" s="130"/>
      <c r="C175" s="74" t="s">
        <v>237</v>
      </c>
      <c r="D175" s="142">
        <f>+D169+SUM(D171:D173)</f>
        <v>163589761.14116275</v>
      </c>
      <c r="E175" s="134"/>
    </row>
    <row r="176" spans="1:10">
      <c r="A176" s="68">
        <f t="shared" si="2"/>
        <v>164</v>
      </c>
    </row>
    <row r="177" spans="1:5" ht="15.75" thickBot="1">
      <c r="A177" s="68">
        <f t="shared" si="2"/>
        <v>165</v>
      </c>
      <c r="B177" s="130"/>
      <c r="C177" s="74" t="s">
        <v>238</v>
      </c>
      <c r="D177" s="151">
        <f>(D28-D175)</f>
        <v>24232252.077848345</v>
      </c>
      <c r="E177" s="134"/>
    </row>
    <row r="178" spans="1:5" ht="15.75" thickTop="1"/>
    <row r="179" spans="1:5">
      <c r="B179" s="143"/>
    </row>
    <row r="180" spans="1:5">
      <c r="B180" s="143"/>
    </row>
    <row r="181" spans="1:5">
      <c r="B181" s="143"/>
    </row>
    <row r="182" spans="1:5">
      <c r="B182" s="143"/>
    </row>
    <row r="183" spans="1:5">
      <c r="B183" s="143"/>
    </row>
  </sheetData>
  <mergeCells count="4">
    <mergeCell ref="A1:D1"/>
    <mergeCell ref="A2:D2"/>
    <mergeCell ref="A3:D3"/>
    <mergeCell ref="A4:D4"/>
  </mergeCells>
  <printOptions horizontalCentered="1"/>
  <pageMargins left="0.84" right="0.67" top="0.62" bottom="1.04" header="0.25" footer="0.5"/>
  <pageSetup scale="79" fitToHeight="10" orientation="portrait" r:id="rId1"/>
  <headerFooter alignWithMargins="0">
    <oddHeader>&amp;R&amp;9CASE NO. 2024-00276 
FR 16(8)(c)
ATTACHMENT 1</oddHeader>
    <oddFooter>&amp;RSchedule &amp;A
Page &amp;P of &amp;N</oddFooter>
  </headerFooter>
  <rowBreaks count="4" manualBreakCount="4">
    <brk id="37" max="3" man="1"/>
    <brk id="70" max="3" man="1"/>
    <brk id="115" max="3" man="1"/>
    <brk id="149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B8CA3-6995-4090-92C5-3311EF6BBD5B}">
  <sheetPr>
    <tabColor rgb="FF92D050"/>
  </sheetPr>
  <dimension ref="A1:S142"/>
  <sheetViews>
    <sheetView view="pageBreakPreview" zoomScale="80" zoomScaleNormal="100" zoomScaleSheetLayoutView="80" workbookViewId="0">
      <selection sqref="A1:P1"/>
    </sheetView>
  </sheetViews>
  <sheetFormatPr defaultColWidth="7.109375" defaultRowHeight="15"/>
  <cols>
    <col min="1" max="1" width="4.109375" customWidth="1"/>
    <col min="2" max="2" width="8.6640625" customWidth="1"/>
    <col min="3" max="3" width="66.33203125" customWidth="1"/>
    <col min="4" max="7" width="11.109375" customWidth="1"/>
    <col min="8" max="8" width="10" bestFit="1" customWidth="1"/>
    <col min="9" max="9" width="11.109375" customWidth="1"/>
    <col min="10" max="11" width="10" bestFit="1" customWidth="1"/>
    <col min="12" max="15" width="11.109375" customWidth="1"/>
    <col min="16" max="16" width="13.6640625" customWidth="1"/>
    <col min="17" max="17" width="12.44140625" customWidth="1"/>
    <col min="18" max="18" width="12.5546875" customWidth="1"/>
    <col min="19" max="19" width="10.88671875" customWidth="1"/>
  </cols>
  <sheetData>
    <row r="1" spans="1:19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9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9">
      <c r="A3" s="185" t="s">
        <v>239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9">
      <c r="A4" s="185" t="s">
        <v>409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9" ht="15.75">
      <c r="A5" s="56"/>
      <c r="B5" s="56"/>
      <c r="C5" s="56"/>
      <c r="F5" s="122"/>
      <c r="G5" s="56"/>
      <c r="H5" s="56"/>
      <c r="I5" s="56"/>
      <c r="K5" s="122"/>
      <c r="L5" s="56"/>
      <c r="M5" s="56"/>
      <c r="N5" s="56"/>
      <c r="O5" s="56"/>
      <c r="P5" s="56"/>
    </row>
    <row r="6" spans="1:19" ht="15.75">
      <c r="A6" s="61" t="str">
        <f>'C.2.1 B'!A6</f>
        <v>Data:___X____Base Period________Forecasted Period</v>
      </c>
      <c r="F6" s="122"/>
      <c r="O6" s="56"/>
      <c r="P6" s="62" t="s">
        <v>240</v>
      </c>
    </row>
    <row r="7" spans="1:19">
      <c r="A7" s="61" t="str">
        <f>'C.2.1 B'!A7</f>
        <v>Type of Filing:___X____Original________Updated ________Revised</v>
      </c>
      <c r="P7" s="63" t="s">
        <v>241</v>
      </c>
    </row>
    <row r="8" spans="1:19">
      <c r="A8" s="64" t="str">
        <f>'C.2.1 B'!A8</f>
        <v>Workpaper Reference No(s).____________________</v>
      </c>
      <c r="D8" s="58"/>
      <c r="E8" s="65"/>
      <c r="F8" s="65"/>
      <c r="G8" s="65"/>
      <c r="H8" s="65"/>
      <c r="I8" s="65"/>
      <c r="J8" s="65"/>
      <c r="K8" s="65"/>
      <c r="L8" s="65"/>
      <c r="M8" s="65"/>
      <c r="N8" s="65"/>
      <c r="O8" s="58"/>
      <c r="P8" s="66" t="str">
        <f>'C.1'!J9</f>
        <v>Witness: Waller, Wiebe, Troup</v>
      </c>
    </row>
    <row r="9" spans="1:19">
      <c r="A9" s="107" t="s">
        <v>22</v>
      </c>
      <c r="B9" s="92" t="s">
        <v>242</v>
      </c>
      <c r="C9" s="108"/>
      <c r="D9" s="56" t="s">
        <v>243</v>
      </c>
      <c r="E9" s="56" t="s">
        <v>243</v>
      </c>
      <c r="F9" s="56" t="s">
        <v>243</v>
      </c>
      <c r="G9" s="56" t="s">
        <v>243</v>
      </c>
      <c r="H9" s="56" t="s">
        <v>243</v>
      </c>
      <c r="I9" s="56" t="s">
        <v>243</v>
      </c>
      <c r="J9" s="56" t="s">
        <v>244</v>
      </c>
      <c r="K9" s="56" t="s">
        <v>244</v>
      </c>
      <c r="L9" s="56" t="s">
        <v>244</v>
      </c>
      <c r="M9" s="56" t="s">
        <v>244</v>
      </c>
      <c r="N9" s="56" t="s">
        <v>244</v>
      </c>
      <c r="O9" s="56" t="s">
        <v>244</v>
      </c>
      <c r="P9" s="56"/>
      <c r="Q9" s="56"/>
      <c r="R9" s="56"/>
      <c r="S9" s="56"/>
    </row>
    <row r="10" spans="1:19">
      <c r="A10" s="110" t="s">
        <v>25</v>
      </c>
      <c r="B10" s="57" t="s">
        <v>25</v>
      </c>
      <c r="C10" s="111" t="s">
        <v>245</v>
      </c>
      <c r="D10" s="94">
        <v>45292</v>
      </c>
      <c r="E10" s="94">
        <f>EOMONTH(D10,0)+1</f>
        <v>45323</v>
      </c>
      <c r="F10" s="94">
        <f t="shared" ref="F10:O10" si="0">EOMONTH(E10,0)+1</f>
        <v>45352</v>
      </c>
      <c r="G10" s="94">
        <f t="shared" si="0"/>
        <v>45383</v>
      </c>
      <c r="H10" s="94">
        <f t="shared" si="0"/>
        <v>45413</v>
      </c>
      <c r="I10" s="94">
        <f t="shared" si="0"/>
        <v>45444</v>
      </c>
      <c r="J10" s="94">
        <f t="shared" si="0"/>
        <v>45474</v>
      </c>
      <c r="K10" s="94">
        <f t="shared" si="0"/>
        <v>45505</v>
      </c>
      <c r="L10" s="94">
        <f t="shared" si="0"/>
        <v>45536</v>
      </c>
      <c r="M10" s="94">
        <f t="shared" si="0"/>
        <v>45566</v>
      </c>
      <c r="N10" s="94">
        <f t="shared" si="0"/>
        <v>45597</v>
      </c>
      <c r="O10" s="94">
        <f t="shared" si="0"/>
        <v>45627</v>
      </c>
      <c r="P10" s="112" t="s">
        <v>246</v>
      </c>
      <c r="Q10" s="56"/>
      <c r="R10" s="56"/>
      <c r="S10" s="56"/>
    </row>
    <row r="11" spans="1:19">
      <c r="D11" s="77" t="s">
        <v>247</v>
      </c>
      <c r="E11" s="77" t="s">
        <v>247</v>
      </c>
      <c r="F11" s="77" t="s">
        <v>247</v>
      </c>
      <c r="G11" s="77" t="s">
        <v>247</v>
      </c>
      <c r="H11" s="77" t="s">
        <v>247</v>
      </c>
      <c r="I11" s="77" t="s">
        <v>247</v>
      </c>
      <c r="J11" s="77" t="s">
        <v>247</v>
      </c>
      <c r="K11" s="77" t="s">
        <v>247</v>
      </c>
      <c r="L11" s="77" t="s">
        <v>247</v>
      </c>
      <c r="M11" s="77" t="s">
        <v>247</v>
      </c>
      <c r="N11" s="77" t="s">
        <v>247</v>
      </c>
      <c r="O11" s="77" t="s">
        <v>247</v>
      </c>
      <c r="P11" s="77" t="s">
        <v>247</v>
      </c>
      <c r="Q11" s="77"/>
    </row>
    <row r="12" spans="1:19">
      <c r="A12" s="56">
        <v>1</v>
      </c>
      <c r="B12" s="95" t="s">
        <v>221</v>
      </c>
      <c r="C12" t="s">
        <v>248</v>
      </c>
      <c r="D12" s="11">
        <v>-557931.11</v>
      </c>
      <c r="E12" s="11">
        <v>-557931.11</v>
      </c>
      <c r="F12" s="11">
        <v>2337053</v>
      </c>
      <c r="G12" s="11">
        <v>-557931.11</v>
      </c>
      <c r="H12" s="11">
        <v>-557931.11</v>
      </c>
      <c r="I12" s="11">
        <v>888545</v>
      </c>
      <c r="J12" s="27">
        <v>901239.50438600406</v>
      </c>
      <c r="K12" s="27">
        <v>901239.50438600406</v>
      </c>
      <c r="L12" s="27">
        <v>901239.50438600406</v>
      </c>
      <c r="M12" s="27">
        <v>901239.50438600406</v>
      </c>
      <c r="N12" s="27">
        <v>901239.50438600406</v>
      </c>
      <c r="O12" s="27">
        <v>901239.50438600406</v>
      </c>
      <c r="P12">
        <f>SUM(D12:O12)</f>
        <v>6401310.5863160249</v>
      </c>
    </row>
    <row r="13" spans="1:19">
      <c r="A13" s="56">
        <f t="shared" ref="A13:A76" si="1">A12+1</f>
        <v>2</v>
      </c>
      <c r="B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9">
      <c r="A14" s="56">
        <f t="shared" si="1"/>
        <v>3</v>
      </c>
      <c r="B14" s="95">
        <v>4030</v>
      </c>
      <c r="C14" t="s">
        <v>71</v>
      </c>
      <c r="D14" s="11">
        <v>1764130.7</v>
      </c>
      <c r="E14" s="11">
        <v>1540904.8599999999</v>
      </c>
      <c r="F14" s="11">
        <v>1643697.0399999998</v>
      </c>
      <c r="G14" s="11">
        <v>1651106.5399999998</v>
      </c>
      <c r="H14" s="11">
        <v>1659649.3499999999</v>
      </c>
      <c r="I14" s="11">
        <v>1665429.72</v>
      </c>
      <c r="J14" s="11">
        <v>1644143.3081062199</v>
      </c>
      <c r="K14" s="11">
        <v>1649348.4125601586</v>
      </c>
      <c r="L14" s="11">
        <v>1670870.6415558287</v>
      </c>
      <c r="M14" s="11">
        <v>1673151.2125748259</v>
      </c>
      <c r="N14" s="11">
        <v>1675546.5865802516</v>
      </c>
      <c r="O14" s="11">
        <v>1677783.0770070194</v>
      </c>
      <c r="P14">
        <f t="shared" ref="P14:P77" si="2">SUM(D14:O14)</f>
        <v>19915761.448384304</v>
      </c>
    </row>
    <row r="15" spans="1:19">
      <c r="A15" s="56">
        <f t="shared" si="1"/>
        <v>4</v>
      </c>
      <c r="B15" s="95">
        <v>4060</v>
      </c>
      <c r="C15" t="s">
        <v>249</v>
      </c>
      <c r="D15" s="11">
        <v>4108.7299999999996</v>
      </c>
      <c r="E15" s="11">
        <v>4108.7299999999996</v>
      </c>
      <c r="F15" s="11">
        <v>4108.7299999999996</v>
      </c>
      <c r="G15" s="11">
        <v>4108.7299999999996</v>
      </c>
      <c r="H15" s="11">
        <v>4108.7299999999996</v>
      </c>
      <c r="I15" s="11">
        <v>4108.7299999999996</v>
      </c>
      <c r="J15" s="11">
        <f>I15</f>
        <v>4108.7299999999996</v>
      </c>
      <c r="K15" s="11">
        <f t="shared" ref="K15:O15" si="3">J15</f>
        <v>4108.7299999999996</v>
      </c>
      <c r="L15" s="11">
        <f t="shared" si="3"/>
        <v>4108.7299999999996</v>
      </c>
      <c r="M15" s="11">
        <f t="shared" si="3"/>
        <v>4108.7299999999996</v>
      </c>
      <c r="N15" s="11">
        <f t="shared" si="3"/>
        <v>4108.7299999999996</v>
      </c>
      <c r="O15" s="11">
        <f t="shared" si="3"/>
        <v>4108.7299999999996</v>
      </c>
      <c r="P15">
        <f t="shared" si="2"/>
        <v>49304.75999999998</v>
      </c>
    </row>
    <row r="16" spans="1:19">
      <c r="A16" s="56">
        <f t="shared" si="1"/>
        <v>5</v>
      </c>
      <c r="B16" s="95">
        <v>4081</v>
      </c>
      <c r="C16" t="s">
        <v>250</v>
      </c>
      <c r="D16" s="11">
        <v>1239429.0699999998</v>
      </c>
      <c r="E16" s="11">
        <v>220307.81</v>
      </c>
      <c r="F16" s="11">
        <v>1220104.9899999998</v>
      </c>
      <c r="G16" s="11">
        <v>1279448.0399999998</v>
      </c>
      <c r="H16" s="11">
        <v>1279090.75</v>
      </c>
      <c r="I16" s="11">
        <v>1206164.25</v>
      </c>
      <c r="J16" s="11">
        <f>'C.2.3 B'!I24</f>
        <v>1287683.7899999998</v>
      </c>
      <c r="K16" s="11">
        <f>'C.2.3 B'!J24</f>
        <v>1213711.7799999998</v>
      </c>
      <c r="L16" s="11">
        <f>'C.2.3 B'!K24</f>
        <v>1213595.7899999998</v>
      </c>
      <c r="M16" s="11">
        <f>'C.2.3 B'!L24</f>
        <v>886589.71183323627</v>
      </c>
      <c r="N16" s="11">
        <f>'C.2.3 B'!M24</f>
        <v>909092.1118332363</v>
      </c>
      <c r="O16" s="11">
        <f>'C.2.3 B'!N24</f>
        <v>886976.71183323627</v>
      </c>
      <c r="P16">
        <f>SUM(D16:O16)</f>
        <v>12842194.805499708</v>
      </c>
    </row>
    <row r="17" spans="1:17">
      <c r="A17" s="56">
        <f t="shared" si="1"/>
        <v>6</v>
      </c>
      <c r="B17" s="95">
        <v>4800</v>
      </c>
      <c r="C17" s="113" t="s">
        <v>251</v>
      </c>
      <c r="D17" s="11">
        <v>-14522204.02</v>
      </c>
      <c r="E17" s="11">
        <v>-13210656.850000001</v>
      </c>
      <c r="F17" s="11">
        <v>-9497697.0099999998</v>
      </c>
      <c r="G17" s="11">
        <v>-7469104.6600000011</v>
      </c>
      <c r="H17" s="11">
        <v>-4669379.04</v>
      </c>
      <c r="I17" s="11">
        <v>-4016962.26</v>
      </c>
      <c r="J17" s="6">
        <v>-3801156.1528409775</v>
      </c>
      <c r="K17" s="6">
        <v>-3927290.2220665663</v>
      </c>
      <c r="L17" s="6">
        <v>-3922582.5558007024</v>
      </c>
      <c r="M17" s="6">
        <v>-4749660.9925711043</v>
      </c>
      <c r="N17" s="6">
        <v>-7428871.4514146149</v>
      </c>
      <c r="O17" s="6">
        <v>-10431445.24170484</v>
      </c>
      <c r="P17">
        <f t="shared" si="2"/>
        <v>-87647010.4563988</v>
      </c>
    </row>
    <row r="18" spans="1:17">
      <c r="A18" s="56">
        <f t="shared" si="1"/>
        <v>7</v>
      </c>
      <c r="B18" s="95">
        <v>4805</v>
      </c>
      <c r="C18" s="113" t="s">
        <v>252</v>
      </c>
      <c r="D18" s="11">
        <v>-941606.92999999993</v>
      </c>
      <c r="E18" s="11">
        <v>1662235.4</v>
      </c>
      <c r="F18" s="11">
        <v>1038978.9299999999</v>
      </c>
      <c r="G18" s="11">
        <v>2112812.94</v>
      </c>
      <c r="H18" s="11">
        <v>492713</v>
      </c>
      <c r="I18" s="11">
        <v>31587</v>
      </c>
      <c r="J18" s="6"/>
      <c r="K18" s="6"/>
      <c r="L18" s="6"/>
      <c r="M18" s="6"/>
      <c r="N18" s="6"/>
      <c r="O18" s="6"/>
      <c r="P18">
        <f t="shared" si="2"/>
        <v>4396720.34</v>
      </c>
    </row>
    <row r="19" spans="1:17">
      <c r="A19" s="56">
        <f t="shared" si="1"/>
        <v>8</v>
      </c>
      <c r="B19" s="95">
        <v>4811</v>
      </c>
      <c r="C19" s="113" t="s">
        <v>253</v>
      </c>
      <c r="D19" s="11">
        <v>-6903467.0300000003</v>
      </c>
      <c r="E19" s="11">
        <v>-6188915.8799999999</v>
      </c>
      <c r="F19" s="11">
        <v>-4359660.05</v>
      </c>
      <c r="G19" s="11">
        <v>-3450356.2800000003</v>
      </c>
      <c r="H19" s="11">
        <v>-2269478.08</v>
      </c>
      <c r="I19" s="11">
        <v>-2019915.06</v>
      </c>
      <c r="J19" s="6">
        <v>-1887756.7397423061</v>
      </c>
      <c r="K19" s="6">
        <v>-2012201.7785806181</v>
      </c>
      <c r="L19" s="6">
        <v>-1998651.0531115844</v>
      </c>
      <c r="M19" s="6">
        <v>-2367384.4493297972</v>
      </c>
      <c r="N19" s="6">
        <v>-3567915.760764868</v>
      </c>
      <c r="O19" s="6">
        <v>-4972940.9546995321</v>
      </c>
      <c r="P19">
        <f t="shared" si="2"/>
        <v>-41998643.1162287</v>
      </c>
    </row>
    <row r="20" spans="1:17">
      <c r="A20" s="56">
        <f t="shared" si="1"/>
        <v>9</v>
      </c>
      <c r="B20" s="95">
        <v>4812</v>
      </c>
      <c r="C20" t="s">
        <v>254</v>
      </c>
      <c r="D20" s="11">
        <v>-744307.54999999993</v>
      </c>
      <c r="E20" s="11">
        <v>-650414.62999999989</v>
      </c>
      <c r="F20" s="11">
        <v>-439262.29</v>
      </c>
      <c r="G20" s="11">
        <v>-338108.79999999993</v>
      </c>
      <c r="H20" s="11">
        <v>-376430.17</v>
      </c>
      <c r="I20" s="11">
        <v>-159622.68</v>
      </c>
      <c r="J20" s="6">
        <v>-114005.84025439</v>
      </c>
      <c r="K20" s="6">
        <v>-170132.00093948</v>
      </c>
      <c r="L20" s="6">
        <v>-171022.19449590001</v>
      </c>
      <c r="M20" s="6">
        <v>-186353.35697015998</v>
      </c>
      <c r="N20" s="6">
        <v>-283179.55823025375</v>
      </c>
      <c r="O20" s="6">
        <v>-440619.88783741149</v>
      </c>
      <c r="P20">
        <f t="shared" si="2"/>
        <v>-4073458.9587275949</v>
      </c>
    </row>
    <row r="21" spans="1:17">
      <c r="A21" s="56">
        <f t="shared" si="1"/>
        <v>10</v>
      </c>
      <c r="B21" s="95">
        <v>4815</v>
      </c>
      <c r="C21" t="s">
        <v>255</v>
      </c>
      <c r="D21" s="11">
        <v>-386847.89</v>
      </c>
      <c r="E21" s="11">
        <v>747402.87</v>
      </c>
      <c r="F21" s="11">
        <v>507331.23</v>
      </c>
      <c r="G21" s="11">
        <v>859771.78</v>
      </c>
      <c r="H21" s="11">
        <v>136563</v>
      </c>
      <c r="I21" s="11">
        <v>31939</v>
      </c>
      <c r="J21" s="6"/>
      <c r="K21" s="6"/>
      <c r="L21" s="6"/>
      <c r="M21" s="6"/>
      <c r="N21" s="6"/>
      <c r="O21" s="6"/>
      <c r="P21">
        <f t="shared" si="2"/>
        <v>1896159.99</v>
      </c>
    </row>
    <row r="22" spans="1:17">
      <c r="A22" s="56">
        <f t="shared" si="1"/>
        <v>11</v>
      </c>
      <c r="B22" s="95">
        <v>4816</v>
      </c>
      <c r="C22" t="s">
        <v>256</v>
      </c>
      <c r="D22" s="11">
        <v>9492.26</v>
      </c>
      <c r="E22" s="11">
        <v>-7351.09</v>
      </c>
      <c r="F22" s="11">
        <v>3459.4</v>
      </c>
      <c r="G22" s="11">
        <v>-21740.68</v>
      </c>
      <c r="H22" s="11">
        <v>40243.51</v>
      </c>
      <c r="I22" s="11">
        <v>10206.77</v>
      </c>
      <c r="J22" s="6"/>
      <c r="K22" s="6"/>
      <c r="L22" s="6"/>
      <c r="M22" s="6"/>
      <c r="N22" s="6"/>
      <c r="O22" s="6"/>
      <c r="P22">
        <f t="shared" si="2"/>
        <v>34310.17</v>
      </c>
    </row>
    <row r="23" spans="1:17">
      <c r="A23" s="56">
        <f t="shared" si="1"/>
        <v>12</v>
      </c>
      <c r="B23" s="95">
        <v>4820</v>
      </c>
      <c r="C23" t="s">
        <v>257</v>
      </c>
      <c r="D23" s="11">
        <v>-993050.16999999993</v>
      </c>
      <c r="E23" s="11">
        <v>-903357.27</v>
      </c>
      <c r="F23" s="11">
        <v>-625179.72</v>
      </c>
      <c r="G23" s="11">
        <v>-473387.51999999996</v>
      </c>
      <c r="H23" s="11">
        <v>-325265.89</v>
      </c>
      <c r="I23" s="11">
        <v>-235203.29</v>
      </c>
      <c r="J23" s="6">
        <v>-212177.16075217506</v>
      </c>
      <c r="K23" s="6">
        <v>-233256.03851291689</v>
      </c>
      <c r="L23" s="6">
        <v>-236396.45584128058</v>
      </c>
      <c r="M23" s="6">
        <v>-298803.10019192647</v>
      </c>
      <c r="N23" s="6">
        <v>-491251.75165254949</v>
      </c>
      <c r="O23" s="6">
        <v>-718589.14866911201</v>
      </c>
      <c r="P23">
        <f t="shared" si="2"/>
        <v>-5745917.5156199615</v>
      </c>
    </row>
    <row r="24" spans="1:17">
      <c r="A24" s="56">
        <f t="shared" si="1"/>
        <v>13</v>
      </c>
      <c r="B24" s="95">
        <v>4825</v>
      </c>
      <c r="C24" t="s">
        <v>258</v>
      </c>
      <c r="D24" s="11">
        <v>-66617.64</v>
      </c>
      <c r="E24" s="11">
        <v>121280.70999999999</v>
      </c>
      <c r="F24" s="11">
        <v>77500.77</v>
      </c>
      <c r="G24" s="11">
        <v>156195.09</v>
      </c>
      <c r="H24" s="11">
        <v>45481</v>
      </c>
      <c r="I24" s="11">
        <v>3727</v>
      </c>
      <c r="J24" s="6"/>
      <c r="K24" s="6"/>
      <c r="L24" s="6"/>
      <c r="M24" s="6"/>
      <c r="N24" s="6"/>
      <c r="O24" s="6"/>
      <c r="P24">
        <f t="shared" si="2"/>
        <v>337566.93</v>
      </c>
    </row>
    <row r="25" spans="1:17">
      <c r="A25" s="56">
        <f t="shared" si="1"/>
        <v>14</v>
      </c>
      <c r="B25" s="95">
        <v>4870</v>
      </c>
      <c r="C25" t="s">
        <v>259</v>
      </c>
      <c r="D25" s="11">
        <v>0</v>
      </c>
      <c r="E25" s="11">
        <v>-27025.57</v>
      </c>
      <c r="F25" s="11">
        <v>-26264.400000000001</v>
      </c>
      <c r="G25" s="11">
        <v>-19781.560000000001</v>
      </c>
      <c r="H25" s="11">
        <v>-14418.96</v>
      </c>
      <c r="I25" s="11">
        <v>-11956.41</v>
      </c>
      <c r="J25" s="6">
        <v>-13930.131428884177</v>
      </c>
      <c r="K25" s="6">
        <v>-13262.810579287931</v>
      </c>
      <c r="L25" s="6">
        <v>-14176.957038946692</v>
      </c>
      <c r="M25" s="6">
        <v>-14105.493007242911</v>
      </c>
      <c r="N25" s="6">
        <v>-16816.80122485109</v>
      </c>
      <c r="O25" s="6">
        <v>-25570.913016815881</v>
      </c>
      <c r="P25">
        <f t="shared" si="2"/>
        <v>-197310.00629602867</v>
      </c>
    </row>
    <row r="26" spans="1:17">
      <c r="A26" s="56">
        <f t="shared" si="1"/>
        <v>15</v>
      </c>
      <c r="B26" s="95">
        <v>4880</v>
      </c>
      <c r="C26" t="s">
        <v>260</v>
      </c>
      <c r="D26" s="11">
        <v>-5587</v>
      </c>
      <c r="E26" s="11">
        <v>-4026</v>
      </c>
      <c r="F26" s="11">
        <v>-4332</v>
      </c>
      <c r="G26" s="11">
        <v>-3439</v>
      </c>
      <c r="H26" s="11">
        <v>-3844</v>
      </c>
      <c r="I26" s="11">
        <v>-3004</v>
      </c>
      <c r="J26" s="6">
        <v>-3387</v>
      </c>
      <c r="K26" s="6">
        <v>-3698</v>
      </c>
      <c r="L26" s="6">
        <v>-4212</v>
      </c>
      <c r="M26" s="6">
        <v>-9928</v>
      </c>
      <c r="N26" s="6">
        <v>-8550</v>
      </c>
      <c r="O26" s="6">
        <v>-4906</v>
      </c>
      <c r="P26">
        <f t="shared" si="2"/>
        <v>-58913</v>
      </c>
    </row>
    <row r="27" spans="1:17">
      <c r="A27" s="56">
        <f t="shared" si="1"/>
        <v>16</v>
      </c>
      <c r="B27" s="95">
        <v>4893</v>
      </c>
      <c r="C27" t="s">
        <v>261</v>
      </c>
      <c r="D27" s="11">
        <v>-2205449.14</v>
      </c>
      <c r="E27" s="11">
        <v>-1919453.7699999998</v>
      </c>
      <c r="F27" s="11">
        <v>-2254677.2599999998</v>
      </c>
      <c r="G27" s="11">
        <v>-1324758.3500000001</v>
      </c>
      <c r="H27" s="11">
        <v>-1662340.1899999997</v>
      </c>
      <c r="I27" s="11">
        <v>-1594478.25</v>
      </c>
      <c r="J27" s="6">
        <v>-1499945.5921710199</v>
      </c>
      <c r="K27" s="6">
        <v>-1747368.4696693199</v>
      </c>
      <c r="L27" s="6">
        <v>-1803741.8972384203</v>
      </c>
      <c r="M27" s="6">
        <v>-1813304.3260601205</v>
      </c>
      <c r="N27" s="6">
        <v>-2093702.4031728203</v>
      </c>
      <c r="O27" s="6">
        <v>-1829667.1091907201</v>
      </c>
      <c r="P27">
        <f t="shared" ref="P27:P31" si="4">SUM(D27:O27)</f>
        <v>-21748886.757502422</v>
      </c>
      <c r="Q27" s="114"/>
    </row>
    <row r="28" spans="1:17">
      <c r="A28" s="56">
        <f t="shared" si="1"/>
        <v>17</v>
      </c>
      <c r="B28" s="95">
        <v>4950</v>
      </c>
      <c r="C28" t="s">
        <v>100</v>
      </c>
      <c r="D28" s="11">
        <f>0</f>
        <v>0</v>
      </c>
      <c r="E28" s="11">
        <f>0</f>
        <v>0</v>
      </c>
      <c r="F28" s="11">
        <f>0</f>
        <v>0</v>
      </c>
      <c r="G28" s="11">
        <f>0</f>
        <v>0</v>
      </c>
      <c r="H28" s="11">
        <f>0</f>
        <v>0</v>
      </c>
      <c r="I28" s="11">
        <f>0</f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>
        <f t="shared" si="4"/>
        <v>0</v>
      </c>
      <c r="Q28" s="114"/>
    </row>
    <row r="29" spans="1:17">
      <c r="A29" s="56">
        <f t="shared" si="1"/>
        <v>18</v>
      </c>
      <c r="B29" s="95">
        <v>4960</v>
      </c>
      <c r="C29" t="s">
        <v>101</v>
      </c>
      <c r="D29" s="11">
        <f>0</f>
        <v>0</v>
      </c>
      <c r="E29" s="11">
        <f>0</f>
        <v>0</v>
      </c>
      <c r="F29" s="11">
        <f>0</f>
        <v>0</v>
      </c>
      <c r="G29" s="11">
        <f>0</f>
        <v>0</v>
      </c>
      <c r="H29" s="11">
        <f>0</f>
        <v>0</v>
      </c>
      <c r="I29" s="11">
        <f>0</f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>
        <f t="shared" si="4"/>
        <v>0</v>
      </c>
      <c r="Q29" s="114"/>
    </row>
    <row r="30" spans="1:17">
      <c r="A30" s="56">
        <f t="shared" si="1"/>
        <v>19</v>
      </c>
      <c r="B30" s="95">
        <v>7560</v>
      </c>
      <c r="C30" t="s">
        <v>262</v>
      </c>
      <c r="D30" s="11">
        <f>0</f>
        <v>0</v>
      </c>
      <c r="E30" s="11">
        <f>0</f>
        <v>0</v>
      </c>
      <c r="F30" s="11">
        <f>0</f>
        <v>0</v>
      </c>
      <c r="G30" s="11">
        <f>0</f>
        <v>0</v>
      </c>
      <c r="H30" s="11">
        <f>0</f>
        <v>0</v>
      </c>
      <c r="I30" s="11">
        <f>0</f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>
        <f t="shared" si="4"/>
        <v>0</v>
      </c>
    </row>
    <row r="31" spans="1:17">
      <c r="A31" s="56">
        <f t="shared" si="1"/>
        <v>20</v>
      </c>
      <c r="B31" s="95">
        <v>7590</v>
      </c>
      <c r="C31" t="s">
        <v>107</v>
      </c>
      <c r="D31" s="11">
        <f>0</f>
        <v>0</v>
      </c>
      <c r="E31" s="11">
        <f>0</f>
        <v>0</v>
      </c>
      <c r="F31" s="11">
        <f>0</f>
        <v>0</v>
      </c>
      <c r="G31" s="11">
        <f>0</f>
        <v>0</v>
      </c>
      <c r="H31" s="11">
        <f>0</f>
        <v>0</v>
      </c>
      <c r="I31" s="11">
        <f>0</f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>
        <f t="shared" si="4"/>
        <v>0</v>
      </c>
    </row>
    <row r="32" spans="1:17">
      <c r="A32" s="56">
        <f t="shared" si="1"/>
        <v>21</v>
      </c>
      <c r="B32" s="95">
        <v>8001</v>
      </c>
      <c r="C32" t="s">
        <v>149</v>
      </c>
      <c r="D32" s="11">
        <f>0</f>
        <v>0</v>
      </c>
      <c r="E32" s="11">
        <f>0</f>
        <v>0</v>
      </c>
      <c r="F32" s="11">
        <f>0</f>
        <v>0</v>
      </c>
      <c r="G32" s="11">
        <f>0</f>
        <v>0</v>
      </c>
      <c r="H32" s="11">
        <f>0</f>
        <v>0</v>
      </c>
      <c r="I32" s="11">
        <f>0</f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>
        <f t="shared" si="2"/>
        <v>0</v>
      </c>
    </row>
    <row r="33" spans="1:17">
      <c r="A33" s="56">
        <f t="shared" si="1"/>
        <v>22</v>
      </c>
      <c r="B33" s="95">
        <v>8010</v>
      </c>
      <c r="C33" t="s">
        <v>263</v>
      </c>
      <c r="D33" s="11">
        <v>2335.77</v>
      </c>
      <c r="E33" s="11">
        <v>422.93</v>
      </c>
      <c r="F33" s="11">
        <v>389.78</v>
      </c>
      <c r="G33" s="11">
        <v>881.28</v>
      </c>
      <c r="H33" s="11">
        <v>3865.09</v>
      </c>
      <c r="I33" s="11">
        <v>3421.18</v>
      </c>
      <c r="J33" s="6">
        <v>7415.4901453342427</v>
      </c>
      <c r="K33" s="6">
        <v>19738.39060209948</v>
      </c>
      <c r="L33" s="6">
        <v>17271.35337471477</v>
      </c>
      <c r="M33" s="6">
        <v>9910.7851781670088</v>
      </c>
      <c r="N33" s="6">
        <v>8741.7883628506752</v>
      </c>
      <c r="O33" s="6">
        <v>4239.3102084988541</v>
      </c>
      <c r="P33">
        <f t="shared" si="2"/>
        <v>78633.147871665016</v>
      </c>
    </row>
    <row r="34" spans="1:17">
      <c r="A34" s="56">
        <f t="shared" si="1"/>
        <v>23</v>
      </c>
      <c r="B34" s="95">
        <v>8040</v>
      </c>
      <c r="C34" t="s">
        <v>264</v>
      </c>
      <c r="D34" s="11">
        <v>2946868.75</v>
      </c>
      <c r="E34" s="11">
        <v>5393021.1799999997</v>
      </c>
      <c r="F34" s="11">
        <v>690605.38</v>
      </c>
      <c r="G34" s="11">
        <v>-1091427.83</v>
      </c>
      <c r="H34" s="11">
        <v>2886911.81</v>
      </c>
      <c r="I34" s="11">
        <v>2323452.7599999998</v>
      </c>
      <c r="J34" s="6">
        <v>2234798.9451384968</v>
      </c>
      <c r="K34" s="6">
        <v>4266034.1625591619</v>
      </c>
      <c r="L34" s="6">
        <v>3996667.5553542119</v>
      </c>
      <c r="M34" s="6">
        <v>3052338.1169783846</v>
      </c>
      <c r="N34" s="6">
        <v>3157551.6281118486</v>
      </c>
      <c r="O34" s="6">
        <v>2230937.7839727988</v>
      </c>
      <c r="P34">
        <f t="shared" si="2"/>
        <v>32087760.242114902</v>
      </c>
    </row>
    <row r="35" spans="1:17">
      <c r="A35" s="56">
        <f t="shared" si="1"/>
        <v>24</v>
      </c>
      <c r="B35" s="95">
        <v>8050</v>
      </c>
      <c r="C35" t="s">
        <v>265</v>
      </c>
      <c r="D35" s="11">
        <v>-854.18</v>
      </c>
      <c r="E35" s="11">
        <v>-721.32</v>
      </c>
      <c r="F35" s="11">
        <v>-1099.46</v>
      </c>
      <c r="G35" s="11">
        <v>-538.27</v>
      </c>
      <c r="H35" s="11">
        <v>-1109.6099999999999</v>
      </c>
      <c r="I35" s="11">
        <v>-2865.12</v>
      </c>
      <c r="J35" s="6">
        <v>-1076.0916172833399</v>
      </c>
      <c r="K35" s="6">
        <v>-1465.36631244303</v>
      </c>
      <c r="L35" s="6">
        <v>-3647.2442711907188</v>
      </c>
      <c r="M35" s="6">
        <v>-2366.5618715797532</v>
      </c>
      <c r="N35" s="6">
        <v>-2519.2588009067658</v>
      </c>
      <c r="O35" s="6">
        <v>-347.48137247540444</v>
      </c>
      <c r="P35">
        <f t="shared" si="2"/>
        <v>-18609.964245879011</v>
      </c>
    </row>
    <row r="36" spans="1:17">
      <c r="A36" s="56">
        <f t="shared" si="1"/>
        <v>25</v>
      </c>
      <c r="B36" s="95">
        <v>8051</v>
      </c>
      <c r="C36" t="s">
        <v>266</v>
      </c>
      <c r="D36" s="11">
        <v>7720127.6600000001</v>
      </c>
      <c r="E36" s="11">
        <v>6363457.71</v>
      </c>
      <c r="F36" s="11">
        <v>3725218.47</v>
      </c>
      <c r="G36" s="11">
        <v>2707263.29</v>
      </c>
      <c r="H36" s="11">
        <v>1007185.67</v>
      </c>
      <c r="I36" s="11">
        <v>599709.44999999995</v>
      </c>
      <c r="J36" s="6">
        <v>554274.56692155905</v>
      </c>
      <c r="K36" s="6">
        <v>620488.93714890757</v>
      </c>
      <c r="L36" s="6">
        <v>597741.84884274623</v>
      </c>
      <c r="M36" s="6">
        <v>584683.09807844297</v>
      </c>
      <c r="N36" s="6">
        <v>1791999.6296381131</v>
      </c>
      <c r="O36" s="6">
        <v>4409207.2918193163</v>
      </c>
      <c r="P36">
        <f t="shared" si="2"/>
        <v>30681357.622449085</v>
      </c>
    </row>
    <row r="37" spans="1:17">
      <c r="A37" s="56">
        <f t="shared" si="1"/>
        <v>26</v>
      </c>
      <c r="B37" s="95">
        <v>8052</v>
      </c>
      <c r="C37" t="s">
        <v>267</v>
      </c>
      <c r="D37" s="11">
        <v>3952614.24</v>
      </c>
      <c r="E37" s="11">
        <v>3217648.61</v>
      </c>
      <c r="F37" s="11">
        <v>1908461.95</v>
      </c>
      <c r="G37" s="11">
        <v>1426521.17</v>
      </c>
      <c r="H37" s="11">
        <v>693114.32</v>
      </c>
      <c r="I37" s="11">
        <v>545419.56000000006</v>
      </c>
      <c r="J37" s="6">
        <v>542989.08940674213</v>
      </c>
      <c r="K37" s="6">
        <v>598118.10909144185</v>
      </c>
      <c r="L37" s="6">
        <v>735692.35566160374</v>
      </c>
      <c r="M37" s="6">
        <v>700813.69357787748</v>
      </c>
      <c r="N37" s="6">
        <v>1025643.6457148301</v>
      </c>
      <c r="O37" s="6">
        <v>2219851.9761636415</v>
      </c>
      <c r="P37">
        <f t="shared" si="2"/>
        <v>17566888.719616137</v>
      </c>
    </row>
    <row r="38" spans="1:17">
      <c r="A38" s="56">
        <f t="shared" si="1"/>
        <v>27</v>
      </c>
      <c r="B38" s="95">
        <v>8053</v>
      </c>
      <c r="C38" t="s">
        <v>268</v>
      </c>
      <c r="D38" s="11">
        <v>534300.01</v>
      </c>
      <c r="E38" s="11">
        <v>453403.8</v>
      </c>
      <c r="F38" s="11">
        <v>297282.49</v>
      </c>
      <c r="G38" s="11">
        <v>225281.96</v>
      </c>
      <c r="H38" s="11">
        <v>257645.7</v>
      </c>
      <c r="I38" s="11">
        <v>97110.18</v>
      </c>
      <c r="J38" s="6">
        <v>75892.043716454325</v>
      </c>
      <c r="K38" s="6">
        <v>141478.68206256171</v>
      </c>
      <c r="L38" s="6">
        <v>102867.26908394779</v>
      </c>
      <c r="M38" s="6">
        <v>85849.279466033098</v>
      </c>
      <c r="N38" s="6">
        <v>159756.12459898595</v>
      </c>
      <c r="O38" s="6">
        <v>319745.52171731449</v>
      </c>
      <c r="P38">
        <f t="shared" si="2"/>
        <v>2750613.0606452972</v>
      </c>
    </row>
    <row r="39" spans="1:17">
      <c r="A39" s="56">
        <f t="shared" si="1"/>
        <v>28</v>
      </c>
      <c r="B39" s="95">
        <v>8054</v>
      </c>
      <c r="C39" t="s">
        <v>269</v>
      </c>
      <c r="D39" s="11">
        <v>622566.44999999995</v>
      </c>
      <c r="E39" s="11">
        <v>530933.05000000005</v>
      </c>
      <c r="F39" s="11">
        <v>320792.7</v>
      </c>
      <c r="G39" s="11">
        <v>240455.27</v>
      </c>
      <c r="H39" s="11">
        <v>148657.79</v>
      </c>
      <c r="I39" s="11">
        <v>90946.2</v>
      </c>
      <c r="J39" s="6">
        <v>86759.058478970779</v>
      </c>
      <c r="K39" s="6">
        <v>107807.80323396188</v>
      </c>
      <c r="L39" s="6">
        <v>84190.20624026304</v>
      </c>
      <c r="M39" s="6">
        <v>99156.746541388842</v>
      </c>
      <c r="N39" s="6">
        <v>177014.49959961791</v>
      </c>
      <c r="O39" s="6">
        <v>363944.39364413277</v>
      </c>
      <c r="P39">
        <f t="shared" si="2"/>
        <v>2873224.1677383347</v>
      </c>
    </row>
    <row r="40" spans="1:17">
      <c r="A40" s="56">
        <f t="shared" si="1"/>
        <v>29</v>
      </c>
      <c r="B40" s="95">
        <v>8058</v>
      </c>
      <c r="C40" t="s">
        <v>270</v>
      </c>
      <c r="D40" s="11">
        <v>1060325.6800000002</v>
      </c>
      <c r="E40" s="11">
        <v>-2117487.7000000002</v>
      </c>
      <c r="F40" s="11">
        <v>-821588.57</v>
      </c>
      <c r="G40" s="11">
        <v>-2026664.49</v>
      </c>
      <c r="H40" s="11">
        <v>-466260.98</v>
      </c>
      <c r="I40" s="11">
        <v>-44546.26</v>
      </c>
      <c r="J40" s="6">
        <v>-132910.1366695519</v>
      </c>
      <c r="K40" s="6">
        <v>-12424.65560501037</v>
      </c>
      <c r="L40" s="6">
        <v>-47358.817448103691</v>
      </c>
      <c r="M40" s="6">
        <v>911290.62198989256</v>
      </c>
      <c r="N40" s="6">
        <v>1866784.9603972293</v>
      </c>
      <c r="O40" s="6">
        <v>948801.90559015097</v>
      </c>
      <c r="P40">
        <f t="shared" si="2"/>
        <v>-882038.44174539368</v>
      </c>
    </row>
    <row r="41" spans="1:17">
      <c r="A41" s="56">
        <f t="shared" si="1"/>
        <v>30</v>
      </c>
      <c r="B41" s="95">
        <v>8059</v>
      </c>
      <c r="C41" t="s">
        <v>271</v>
      </c>
      <c r="D41" s="11">
        <v>-8676793.8399999999</v>
      </c>
      <c r="E41" s="11">
        <v>-13579545.5</v>
      </c>
      <c r="F41" s="11">
        <v>-8298361.1299999999</v>
      </c>
      <c r="G41" s="11">
        <v>-5458963.1600000001</v>
      </c>
      <c r="H41" s="11">
        <v>-4696903.54</v>
      </c>
      <c r="I41" s="11">
        <v>-1473753.01</v>
      </c>
      <c r="J41" s="6">
        <v>-1261163.3811638302</v>
      </c>
      <c r="K41" s="6">
        <v>-2523842.9665437937</v>
      </c>
      <c r="L41" s="6">
        <v>-2553649.3805855154</v>
      </c>
      <c r="M41" s="6">
        <v>-2304751.8681282033</v>
      </c>
      <c r="N41" s="6">
        <v>-2956372.9547399646</v>
      </c>
      <c r="O41" s="6">
        <v>-6422452.8288308345</v>
      </c>
      <c r="P41">
        <f t="shared" si="2"/>
        <v>-60206553.559992135</v>
      </c>
    </row>
    <row r="42" spans="1:17">
      <c r="A42" s="56">
        <f t="shared" si="1"/>
        <v>31</v>
      </c>
      <c r="B42" s="95">
        <v>8060</v>
      </c>
      <c r="C42" t="s">
        <v>272</v>
      </c>
      <c r="D42" s="11">
        <v>1175391.3400000001</v>
      </c>
      <c r="E42" s="11">
        <v>1463290.42</v>
      </c>
      <c r="F42" s="11">
        <v>1130451.57</v>
      </c>
      <c r="G42" s="11">
        <v>935816.89</v>
      </c>
      <c r="H42" s="11">
        <v>-6733.05</v>
      </c>
      <c r="I42" s="11">
        <v>-1205145.97</v>
      </c>
      <c r="J42" s="6">
        <v>-1162712.1443022434</v>
      </c>
      <c r="K42" s="6">
        <v>-1715525.4469524305</v>
      </c>
      <c r="L42" s="6">
        <v>-1539579.1543726267</v>
      </c>
      <c r="M42" s="6">
        <v>-742489.00148081908</v>
      </c>
      <c r="N42" s="6">
        <v>-465308.36210969771</v>
      </c>
      <c r="O42" s="6">
        <v>252584.73415255637</v>
      </c>
      <c r="P42">
        <f t="shared" si="2"/>
        <v>-1879958.1750652608</v>
      </c>
    </row>
    <row r="43" spans="1:17">
      <c r="A43" s="56">
        <f t="shared" si="1"/>
        <v>32</v>
      </c>
      <c r="B43" s="95">
        <v>8081</v>
      </c>
      <c r="C43" t="s">
        <v>273</v>
      </c>
      <c r="D43" s="11">
        <v>2057298.21</v>
      </c>
      <c r="E43" s="11">
        <v>4173242.15</v>
      </c>
      <c r="F43" s="11">
        <v>4167729.36</v>
      </c>
      <c r="G43" s="11">
        <v>3184081.39</v>
      </c>
      <c r="H43" s="11">
        <v>22720</v>
      </c>
      <c r="I43" s="11">
        <v>0</v>
      </c>
      <c r="J43" s="6">
        <v>0</v>
      </c>
      <c r="K43" s="6">
        <v>0</v>
      </c>
      <c r="L43" s="6">
        <v>0</v>
      </c>
      <c r="M43" s="6">
        <v>0</v>
      </c>
      <c r="N43" s="6">
        <v>2938.7348884374774</v>
      </c>
      <c r="O43" s="6">
        <v>1753955.8547456956</v>
      </c>
      <c r="P43">
        <f t="shared" si="2"/>
        <v>15361965.699634133</v>
      </c>
    </row>
    <row r="44" spans="1:17">
      <c r="A44" s="56">
        <f t="shared" si="1"/>
        <v>33</v>
      </c>
      <c r="B44" s="95">
        <v>8082</v>
      </c>
      <c r="C44" t="s">
        <v>274</v>
      </c>
      <c r="D44" s="11">
        <v>-11969.77</v>
      </c>
      <c r="E44" s="11">
        <v>-10539.21</v>
      </c>
      <c r="F44" s="11">
        <v>-29777.03</v>
      </c>
      <c r="G44" s="11">
        <v>-2200</v>
      </c>
      <c r="H44" s="11">
        <v>-306312.44</v>
      </c>
      <c r="I44" s="11">
        <v>-1390229.17</v>
      </c>
      <c r="J44" s="6">
        <v>-1068997.2445122169</v>
      </c>
      <c r="K44" s="6">
        <v>-2340891.2105738898</v>
      </c>
      <c r="L44" s="6">
        <v>-1865332.796448715</v>
      </c>
      <c r="M44" s="6">
        <v>-1457993.350306506</v>
      </c>
      <c r="N44" s="6">
        <v>-1365058.4625504636</v>
      </c>
      <c r="O44" s="6">
        <v>-68018.972894025021</v>
      </c>
      <c r="P44">
        <f t="shared" si="2"/>
        <v>-9917319.6572858151</v>
      </c>
      <c r="Q44" s="114"/>
    </row>
    <row r="45" spans="1:17">
      <c r="A45" s="56">
        <f t="shared" si="1"/>
        <v>34</v>
      </c>
      <c r="B45" s="95">
        <v>8120</v>
      </c>
      <c r="C45" t="s">
        <v>275</v>
      </c>
      <c r="D45" s="11">
        <v>-318.59000000000015</v>
      </c>
      <c r="E45" s="11">
        <v>-4878.9799999999996</v>
      </c>
      <c r="F45" s="11">
        <v>336.33000000000175</v>
      </c>
      <c r="G45" s="11">
        <v>-664.71000000000095</v>
      </c>
      <c r="H45" s="11">
        <v>-853.18000000000029</v>
      </c>
      <c r="I45" s="11">
        <v>1623.6599999999999</v>
      </c>
      <c r="J45" s="6">
        <v>2283.0838895135598</v>
      </c>
      <c r="K45" s="6">
        <v>-173.59915050049608</v>
      </c>
      <c r="L45" s="6">
        <v>-95.584079315640651</v>
      </c>
      <c r="M45" s="6">
        <v>-201.50513388304978</v>
      </c>
      <c r="N45" s="6">
        <v>-855.8688457137207</v>
      </c>
      <c r="O45" s="6">
        <v>481.04159812228448</v>
      </c>
      <c r="P45">
        <f t="shared" si="2"/>
        <v>-3317.9017217770629</v>
      </c>
    </row>
    <row r="46" spans="1:17">
      <c r="A46" s="56">
        <f t="shared" si="1"/>
        <v>35</v>
      </c>
      <c r="B46" s="95">
        <v>8580</v>
      </c>
      <c r="C46" t="s">
        <v>276</v>
      </c>
      <c r="D46" s="11">
        <v>2507723.7200000002</v>
      </c>
      <c r="E46" s="11">
        <v>2560829.35</v>
      </c>
      <c r="F46" s="11">
        <v>2340061.5300000003</v>
      </c>
      <c r="G46" s="11">
        <v>2432349.7000000002</v>
      </c>
      <c r="H46" s="11">
        <v>2097561.7400000002</v>
      </c>
      <c r="I46" s="11">
        <v>1745119.33</v>
      </c>
      <c r="J46" s="6">
        <v>1251734.4263117423</v>
      </c>
      <c r="K46" s="6">
        <v>2295952.4372212947</v>
      </c>
      <c r="L46" s="6">
        <v>1948269.6669491213</v>
      </c>
      <c r="M46" s="6">
        <v>1445351.8796305563</v>
      </c>
      <c r="N46" s="6">
        <v>1620026.886837896</v>
      </c>
      <c r="O46" s="6">
        <v>2249101.6000177851</v>
      </c>
      <c r="P46">
        <f t="shared" si="2"/>
        <v>24494082.266968403</v>
      </c>
    </row>
    <row r="47" spans="1:17">
      <c r="A47" s="56">
        <f t="shared" si="1"/>
        <v>36</v>
      </c>
      <c r="B47" s="95">
        <v>8140</v>
      </c>
      <c r="C47" t="s">
        <v>277</v>
      </c>
      <c r="D47" s="11">
        <f>0</f>
        <v>0</v>
      </c>
      <c r="E47" s="11">
        <f>0</f>
        <v>0</v>
      </c>
      <c r="F47" s="11">
        <f>0</f>
        <v>0</v>
      </c>
      <c r="G47" s="11">
        <f>0</f>
        <v>0</v>
      </c>
      <c r="H47" s="11">
        <f>0</f>
        <v>0</v>
      </c>
      <c r="I47" s="11">
        <f>0</f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>
        <f t="shared" si="2"/>
        <v>0</v>
      </c>
    </row>
    <row r="48" spans="1:17">
      <c r="A48" s="56">
        <f t="shared" si="1"/>
        <v>37</v>
      </c>
      <c r="B48" s="95">
        <v>8160</v>
      </c>
      <c r="C48" t="s">
        <v>278</v>
      </c>
      <c r="D48" s="11">
        <v>3999.1400000000003</v>
      </c>
      <c r="E48" s="11">
        <v>5968.6900000000005</v>
      </c>
      <c r="F48" s="11">
        <v>448.67000000000007</v>
      </c>
      <c r="G48" s="11">
        <v>627.69000000000005</v>
      </c>
      <c r="H48" s="11">
        <v>3381.07</v>
      </c>
      <c r="I48" s="11">
        <v>2916.64</v>
      </c>
      <c r="J48" s="27">
        <v>2449.1777922948272</v>
      </c>
      <c r="K48" s="27">
        <v>2422.4851529021794</v>
      </c>
      <c r="L48" s="27">
        <v>2484.4974440233254</v>
      </c>
      <c r="M48" s="27">
        <v>2991.7407387231733</v>
      </c>
      <c r="N48" s="27">
        <v>2839.0091644510135</v>
      </c>
      <c r="O48" s="27">
        <v>3020.6642740123543</v>
      </c>
      <c r="P48">
        <f t="shared" si="2"/>
        <v>33549.474566406876</v>
      </c>
    </row>
    <row r="49" spans="1:19">
      <c r="A49" s="56">
        <f t="shared" si="1"/>
        <v>38</v>
      </c>
      <c r="B49" s="95">
        <v>8170</v>
      </c>
      <c r="C49" t="s">
        <v>279</v>
      </c>
      <c r="D49" s="11">
        <v>1663.38</v>
      </c>
      <c r="E49" s="11">
        <v>4025.4500000000003</v>
      </c>
      <c r="F49" s="11">
        <v>434.69999999999993</v>
      </c>
      <c r="G49" s="11">
        <v>1121.08</v>
      </c>
      <c r="H49" s="11">
        <v>2338.1299999999997</v>
      </c>
      <c r="I49" s="11">
        <v>987.02</v>
      </c>
      <c r="J49" s="27">
        <v>1766.093807532973</v>
      </c>
      <c r="K49" s="27">
        <v>1717.1724813627789</v>
      </c>
      <c r="L49" s="27">
        <v>1658.4921987216985</v>
      </c>
      <c r="M49" s="27">
        <v>1906.4964562665255</v>
      </c>
      <c r="N49" s="27">
        <v>1848.6521880421269</v>
      </c>
      <c r="O49" s="27">
        <v>1895.8299618223073</v>
      </c>
      <c r="P49">
        <f t="shared" si="2"/>
        <v>21362.49709374841</v>
      </c>
    </row>
    <row r="50" spans="1:19">
      <c r="A50" s="56">
        <f t="shared" si="1"/>
        <v>39</v>
      </c>
      <c r="B50" s="95">
        <v>8180</v>
      </c>
      <c r="C50" t="s">
        <v>280</v>
      </c>
      <c r="D50" s="11">
        <v>2457.84</v>
      </c>
      <c r="E50" s="11">
        <v>879.39</v>
      </c>
      <c r="F50" s="11">
        <v>3390.0700000000006</v>
      </c>
      <c r="G50" s="11">
        <v>6560.7000000000007</v>
      </c>
      <c r="H50" s="11">
        <v>4609.3899999999994</v>
      </c>
      <c r="I50" s="11">
        <v>683.17999999999984</v>
      </c>
      <c r="J50" s="27">
        <v>3491.8863680050072</v>
      </c>
      <c r="K50" s="27">
        <v>3373.5885227376466</v>
      </c>
      <c r="L50" s="27">
        <v>3192.2583689494695</v>
      </c>
      <c r="M50" s="27">
        <v>3829.1271752971029</v>
      </c>
      <c r="N50" s="27">
        <v>3598.5516640836504</v>
      </c>
      <c r="O50" s="27">
        <v>3760.5210558356634</v>
      </c>
      <c r="P50">
        <f t="shared" si="2"/>
        <v>39826.50315490854</v>
      </c>
    </row>
    <row r="51" spans="1:19" ht="15.75">
      <c r="A51" s="56">
        <f t="shared" si="1"/>
        <v>40</v>
      </c>
      <c r="B51" s="95">
        <v>8190</v>
      </c>
      <c r="C51" t="s">
        <v>281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>
        <f t="shared" si="2"/>
        <v>0</v>
      </c>
      <c r="R51" s="44"/>
      <c r="S51" s="44"/>
    </row>
    <row r="52" spans="1:19" ht="15.75">
      <c r="A52" s="56">
        <f t="shared" si="1"/>
        <v>41</v>
      </c>
      <c r="B52" s="95">
        <v>8200</v>
      </c>
      <c r="C52" t="s">
        <v>282</v>
      </c>
      <c r="D52" s="11">
        <v>585.35</v>
      </c>
      <c r="E52" s="11">
        <v>3140.06</v>
      </c>
      <c r="F52" s="11">
        <v>519.08999999999992</v>
      </c>
      <c r="G52" s="11">
        <v>303.43</v>
      </c>
      <c r="H52" s="11">
        <v>108.6</v>
      </c>
      <c r="I52" s="11">
        <v>113.59</v>
      </c>
      <c r="J52" s="27">
        <v>579.48072084348041</v>
      </c>
      <c r="K52" s="27">
        <v>566.50276029486372</v>
      </c>
      <c r="L52" s="27">
        <v>569.79024601990295</v>
      </c>
      <c r="M52" s="27">
        <v>773.3871227637153</v>
      </c>
      <c r="N52" s="27">
        <v>785.90469436230023</v>
      </c>
      <c r="O52" s="27">
        <v>790.84490179034538</v>
      </c>
      <c r="P52">
        <f t="shared" si="2"/>
        <v>8836.0304460746102</v>
      </c>
      <c r="R52" s="123"/>
      <c r="S52" s="124"/>
    </row>
    <row r="53" spans="1:19">
      <c r="A53" s="56">
        <f t="shared" si="1"/>
        <v>42</v>
      </c>
      <c r="B53" s="95">
        <v>8210</v>
      </c>
      <c r="C53" t="s">
        <v>283</v>
      </c>
      <c r="D53" s="11">
        <v>16665.2</v>
      </c>
      <c r="E53" s="11">
        <v>18565.900000000001</v>
      </c>
      <c r="F53" s="11">
        <v>-5791.43</v>
      </c>
      <c r="G53" s="11">
        <v>-103.50999999999999</v>
      </c>
      <c r="H53" s="11">
        <v>7297.4299999999994</v>
      </c>
      <c r="I53" s="11">
        <v>134.78</v>
      </c>
      <c r="J53" s="27">
        <v>6509.6636706132076</v>
      </c>
      <c r="K53" s="27">
        <v>6296.8634811548236</v>
      </c>
      <c r="L53" s="27">
        <v>6037.4234082310541</v>
      </c>
      <c r="M53" s="27">
        <v>7087.8860361048828</v>
      </c>
      <c r="N53" s="27">
        <v>6774.3100816249516</v>
      </c>
      <c r="O53" s="27">
        <v>7046.4458452897952</v>
      </c>
      <c r="P53">
        <f t="shared" si="2"/>
        <v>76520.962523018723</v>
      </c>
      <c r="R53" s="116"/>
    </row>
    <row r="54" spans="1:19">
      <c r="A54" s="56">
        <f t="shared" si="1"/>
        <v>43</v>
      </c>
      <c r="B54" s="95">
        <v>8240</v>
      </c>
      <c r="C54" t="s">
        <v>284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>
        <f t="shared" si="2"/>
        <v>0</v>
      </c>
      <c r="R54" s="116"/>
    </row>
    <row r="55" spans="1:19">
      <c r="A55" s="56">
        <f t="shared" si="1"/>
        <v>44</v>
      </c>
      <c r="B55" s="95">
        <v>8250</v>
      </c>
      <c r="C55" t="s">
        <v>285</v>
      </c>
      <c r="D55" s="11">
        <v>889.51</v>
      </c>
      <c r="E55" s="11">
        <v>1442.7099999999998</v>
      </c>
      <c r="F55" s="11">
        <v>1242.51</v>
      </c>
      <c r="G55" s="11">
        <v>761.6</v>
      </c>
      <c r="H55" s="11">
        <v>523.78</v>
      </c>
      <c r="I55" s="11">
        <v>147.49</v>
      </c>
      <c r="J55" s="27">
        <v>865.31763107897086</v>
      </c>
      <c r="K55" s="27">
        <v>875.82940596486844</v>
      </c>
      <c r="L55" s="27">
        <v>786.81114919359663</v>
      </c>
      <c r="M55" s="27">
        <v>925.57187954705944</v>
      </c>
      <c r="N55" s="27">
        <v>860.37572447149364</v>
      </c>
      <c r="O55" s="27">
        <v>789.16350155485259</v>
      </c>
      <c r="P55">
        <f t="shared" si="2"/>
        <v>10110.669291810842</v>
      </c>
    </row>
    <row r="56" spans="1:19">
      <c r="A56" s="56">
        <f t="shared" si="1"/>
        <v>45</v>
      </c>
      <c r="B56" s="95">
        <v>8310</v>
      </c>
      <c r="C56" t="s">
        <v>286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>
        <f t="shared" si="2"/>
        <v>0</v>
      </c>
      <c r="R56" s="116"/>
    </row>
    <row r="57" spans="1:19">
      <c r="A57" s="56">
        <f t="shared" si="1"/>
        <v>46</v>
      </c>
      <c r="B57" s="95">
        <v>8340</v>
      </c>
      <c r="C57" t="s">
        <v>287</v>
      </c>
      <c r="D57" s="11">
        <v>1767.9599999999998</v>
      </c>
      <c r="E57" s="11">
        <v>3870.8900000000003</v>
      </c>
      <c r="F57" s="11">
        <v>5683.7599999999993</v>
      </c>
      <c r="G57" s="11">
        <v>3468.2799999999997</v>
      </c>
      <c r="H57" s="11">
        <v>3461.36</v>
      </c>
      <c r="I57" s="11">
        <v>726.96</v>
      </c>
      <c r="J57" s="27">
        <v>3626.3251462504818</v>
      </c>
      <c r="K57" s="27">
        <v>3503.1391173192551</v>
      </c>
      <c r="L57" s="27">
        <v>3301.8857441929717</v>
      </c>
      <c r="M57" s="27">
        <v>3983.7616618503862</v>
      </c>
      <c r="N57" s="27">
        <v>3726.3806959610274</v>
      </c>
      <c r="O57" s="27">
        <v>3896.7696058034812</v>
      </c>
      <c r="P57">
        <f t="shared" si="2"/>
        <v>41017.471971377607</v>
      </c>
      <c r="R57" s="116"/>
    </row>
    <row r="58" spans="1:19">
      <c r="A58" s="56">
        <f t="shared" si="1"/>
        <v>47</v>
      </c>
      <c r="B58" s="95">
        <v>8350</v>
      </c>
      <c r="C58" t="s">
        <v>288</v>
      </c>
      <c r="D58" s="11">
        <f>0</f>
        <v>0</v>
      </c>
      <c r="E58" s="11">
        <f>0</f>
        <v>0</v>
      </c>
      <c r="F58" s="11">
        <f>0</f>
        <v>0</v>
      </c>
      <c r="G58" s="11">
        <f>0</f>
        <v>0</v>
      </c>
      <c r="H58" s="11">
        <f>0</f>
        <v>0</v>
      </c>
      <c r="I58" s="11">
        <f>0</f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>
        <f t="shared" si="2"/>
        <v>0</v>
      </c>
      <c r="R58" s="116"/>
    </row>
    <row r="59" spans="1:19">
      <c r="A59" s="56">
        <f t="shared" si="1"/>
        <v>48</v>
      </c>
      <c r="B59" s="95">
        <v>8360</v>
      </c>
      <c r="C59" t="s">
        <v>289</v>
      </c>
      <c r="D59" s="11">
        <f>0</f>
        <v>0</v>
      </c>
      <c r="E59" s="11">
        <f>0</f>
        <v>0</v>
      </c>
      <c r="F59" s="11">
        <f>0</f>
        <v>0</v>
      </c>
      <c r="G59" s="11">
        <f>0</f>
        <v>0</v>
      </c>
      <c r="H59" s="11">
        <f>0</f>
        <v>0</v>
      </c>
      <c r="I59" s="11">
        <f>0</f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>
        <f t="shared" si="2"/>
        <v>0</v>
      </c>
      <c r="R59" s="116"/>
    </row>
    <row r="60" spans="1:19">
      <c r="A60" s="56">
        <f t="shared" si="1"/>
        <v>49</v>
      </c>
      <c r="B60" s="95">
        <v>8370</v>
      </c>
      <c r="C60" t="s">
        <v>129</v>
      </c>
      <c r="D60" s="11">
        <f>0</f>
        <v>0</v>
      </c>
      <c r="E60" s="11">
        <f>0</f>
        <v>0</v>
      </c>
      <c r="F60" s="11">
        <f>0</f>
        <v>0</v>
      </c>
      <c r="G60" s="11">
        <f>0</f>
        <v>0</v>
      </c>
      <c r="H60" s="11">
        <f>0</f>
        <v>0</v>
      </c>
      <c r="I60" s="11">
        <f>0</f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>
        <f t="shared" si="2"/>
        <v>0</v>
      </c>
      <c r="R60" s="116"/>
    </row>
    <row r="61" spans="1:19">
      <c r="A61" s="56">
        <f t="shared" si="1"/>
        <v>50</v>
      </c>
      <c r="B61" s="95">
        <v>8410</v>
      </c>
      <c r="C61" t="s">
        <v>290</v>
      </c>
      <c r="D61" s="11">
        <v>25709.399999999998</v>
      </c>
      <c r="E61" s="11">
        <v>9817.69</v>
      </c>
      <c r="F61" s="11">
        <v>15508.669999999998</v>
      </c>
      <c r="G61" s="11">
        <v>14706.170000000002</v>
      </c>
      <c r="H61" s="11">
        <v>13824.609999999999</v>
      </c>
      <c r="I61" s="11">
        <v>16852.689999999999</v>
      </c>
      <c r="J61" s="27">
        <v>18084.669305054849</v>
      </c>
      <c r="K61" s="27">
        <v>17546.578446124182</v>
      </c>
      <c r="L61" s="27">
        <v>16649.064734495692</v>
      </c>
      <c r="M61" s="27">
        <v>20022.873481985862</v>
      </c>
      <c r="N61" s="27">
        <v>18700.202140108438</v>
      </c>
      <c r="O61" s="27">
        <v>19535.508394060667</v>
      </c>
      <c r="P61">
        <f t="shared" si="2"/>
        <v>206958.12650182965</v>
      </c>
    </row>
    <row r="62" spans="1:19">
      <c r="A62" s="56">
        <f t="shared" si="1"/>
        <v>51</v>
      </c>
      <c r="B62" s="95">
        <v>8500</v>
      </c>
      <c r="C62" t="s">
        <v>153</v>
      </c>
      <c r="D62" s="11">
        <f>0</f>
        <v>0</v>
      </c>
      <c r="E62" s="11">
        <f>0</f>
        <v>0</v>
      </c>
      <c r="F62" s="11">
        <f>0</f>
        <v>0</v>
      </c>
      <c r="G62" s="11">
        <f>0</f>
        <v>0</v>
      </c>
      <c r="H62" s="11">
        <f>0</f>
        <v>0</v>
      </c>
      <c r="I62" s="11">
        <f>0</f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>
        <f t="shared" si="2"/>
        <v>0</v>
      </c>
    </row>
    <row r="63" spans="1:19">
      <c r="A63" s="56">
        <f t="shared" si="1"/>
        <v>52</v>
      </c>
      <c r="B63" s="95">
        <v>8520</v>
      </c>
      <c r="C63" t="s">
        <v>134</v>
      </c>
      <c r="D63" s="11">
        <f>0</f>
        <v>0</v>
      </c>
      <c r="E63" s="11">
        <f>0</f>
        <v>0</v>
      </c>
      <c r="F63" s="11">
        <f>0</f>
        <v>0</v>
      </c>
      <c r="G63" s="11">
        <f>0</f>
        <v>0</v>
      </c>
      <c r="H63" s="11">
        <f>0</f>
        <v>0</v>
      </c>
      <c r="I63" s="11">
        <f>0</f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>
        <f t="shared" si="2"/>
        <v>0</v>
      </c>
    </row>
    <row r="64" spans="1:19">
      <c r="A64" s="56">
        <f t="shared" si="1"/>
        <v>53</v>
      </c>
      <c r="B64" s="95">
        <v>8550</v>
      </c>
      <c r="C64" t="s">
        <v>291</v>
      </c>
      <c r="D64" s="11">
        <v>40.1</v>
      </c>
      <c r="E64" s="11">
        <v>39.61</v>
      </c>
      <c r="F64" s="11">
        <v>38.72</v>
      </c>
      <c r="G64" s="11">
        <v>36.770000000000003</v>
      </c>
      <c r="H64" s="11">
        <v>35.83</v>
      </c>
      <c r="I64" s="11">
        <v>42.28</v>
      </c>
      <c r="J64" s="27">
        <v>40.316170721909636</v>
      </c>
      <c r="K64" s="27">
        <v>40.805926732499294</v>
      </c>
      <c r="L64" s="27">
        <v>36.658460982977481</v>
      </c>
      <c r="M64" s="27">
        <v>43.123487342664035</v>
      </c>
      <c r="N64" s="27">
        <v>40.085921454677724</v>
      </c>
      <c r="O64" s="27">
        <v>36.768059858567504</v>
      </c>
      <c r="P64">
        <f t="shared" si="2"/>
        <v>471.06802709329565</v>
      </c>
    </row>
    <row r="65" spans="1:18">
      <c r="A65" s="56">
        <f t="shared" si="1"/>
        <v>54</v>
      </c>
      <c r="B65" s="95">
        <v>8560</v>
      </c>
      <c r="C65" t="s">
        <v>292</v>
      </c>
      <c r="D65" s="11">
        <v>1447.1599999999999</v>
      </c>
      <c r="E65" s="11">
        <v>14099.44</v>
      </c>
      <c r="F65" s="11">
        <v>12412.38</v>
      </c>
      <c r="G65" s="11">
        <v>9978.3900000000012</v>
      </c>
      <c r="H65" s="11">
        <v>12856.640000000003</v>
      </c>
      <c r="I65" s="11">
        <v>11274.839999999998</v>
      </c>
      <c r="J65" s="27">
        <v>11115.866801414</v>
      </c>
      <c r="K65" s="27">
        <v>10774.268036603002</v>
      </c>
      <c r="L65" s="27">
        <v>10310.504083788088</v>
      </c>
      <c r="M65" s="27">
        <v>12656.042351134178</v>
      </c>
      <c r="N65" s="27">
        <v>12029.222561519427</v>
      </c>
      <c r="O65" s="27">
        <v>12514.829903136795</v>
      </c>
      <c r="P65">
        <f t="shared" si="2"/>
        <v>131469.5837375955</v>
      </c>
      <c r="R65" s="116"/>
    </row>
    <row r="66" spans="1:18">
      <c r="A66" s="56">
        <f t="shared" si="1"/>
        <v>55</v>
      </c>
      <c r="B66" s="95">
        <v>8570</v>
      </c>
      <c r="C66" t="s">
        <v>293</v>
      </c>
      <c r="D66" s="11">
        <v>1842.06</v>
      </c>
      <c r="E66" s="11">
        <v>675.13</v>
      </c>
      <c r="F66" s="11">
        <v>561.54</v>
      </c>
      <c r="G66" s="11">
        <v>858.23</v>
      </c>
      <c r="H66" s="11">
        <v>819.83</v>
      </c>
      <c r="I66" s="11">
        <v>809.16000000000008</v>
      </c>
      <c r="J66" s="27">
        <v>976.5913940946723</v>
      </c>
      <c r="K66" s="27">
        <v>981.32046722524865</v>
      </c>
      <c r="L66" s="27">
        <v>888.18411348003065</v>
      </c>
      <c r="M66" s="27">
        <v>1049.0701115883096</v>
      </c>
      <c r="N66" s="27">
        <v>976.16590675094051</v>
      </c>
      <c r="O66" s="27">
        <v>915.79637320333768</v>
      </c>
      <c r="P66">
        <f t="shared" si="2"/>
        <v>11353.078366342539</v>
      </c>
    </row>
    <row r="67" spans="1:18">
      <c r="A67" s="56">
        <f>A66+1</f>
        <v>56</v>
      </c>
      <c r="B67" s="95">
        <v>8630</v>
      </c>
      <c r="C67" t="s">
        <v>294</v>
      </c>
      <c r="D67" s="11">
        <v>-499.96</v>
      </c>
      <c r="E67" s="11">
        <v>1493.85</v>
      </c>
      <c r="F67" s="11">
        <v>299.13</v>
      </c>
      <c r="G67" s="11">
        <v>1055.3</v>
      </c>
      <c r="H67" s="11">
        <v>3310.67</v>
      </c>
      <c r="I67" s="11">
        <v>3710.93</v>
      </c>
      <c r="J67" s="27">
        <v>1790.2945651771231</v>
      </c>
      <c r="K67" s="27">
        <v>1729.478375451456</v>
      </c>
      <c r="L67" s="27">
        <v>1630.1208149458594</v>
      </c>
      <c r="M67" s="27">
        <v>1966.7587887275163</v>
      </c>
      <c r="N67" s="27">
        <v>1839.691378655863</v>
      </c>
      <c r="O67" s="27">
        <v>1923.8113422429146</v>
      </c>
      <c r="P67">
        <f t="shared" si="2"/>
        <v>20250.075265200732</v>
      </c>
      <c r="R67" s="116"/>
    </row>
    <row r="68" spans="1:18">
      <c r="A68" s="56">
        <f t="shared" si="1"/>
        <v>57</v>
      </c>
      <c r="B68" s="95">
        <v>8640</v>
      </c>
      <c r="C68" t="s">
        <v>295</v>
      </c>
      <c r="D68" s="11">
        <f>0</f>
        <v>0</v>
      </c>
      <c r="E68" s="11">
        <f>0</f>
        <v>0</v>
      </c>
      <c r="F68" s="11">
        <f>0</f>
        <v>0</v>
      </c>
      <c r="G68" s="11">
        <f>0</f>
        <v>0</v>
      </c>
      <c r="H68" s="11">
        <f>0</f>
        <v>0</v>
      </c>
      <c r="I68" s="11">
        <f>0</f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>
        <f t="shared" si="2"/>
        <v>0</v>
      </c>
      <c r="R68" s="116"/>
    </row>
    <row r="69" spans="1:18">
      <c r="A69" s="56">
        <f t="shared" si="1"/>
        <v>58</v>
      </c>
      <c r="B69" s="95">
        <v>8650</v>
      </c>
      <c r="C69" t="s">
        <v>296</v>
      </c>
      <c r="D69" s="11">
        <f>0</f>
        <v>0</v>
      </c>
      <c r="E69" s="11">
        <f>0</f>
        <v>0</v>
      </c>
      <c r="F69" s="11">
        <f>0</f>
        <v>0</v>
      </c>
      <c r="G69" s="11">
        <f>0</f>
        <v>0</v>
      </c>
      <c r="H69" s="11">
        <f>0</f>
        <v>0</v>
      </c>
      <c r="I69" s="11">
        <f>0</f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>
        <f t="shared" si="2"/>
        <v>0</v>
      </c>
    </row>
    <row r="70" spans="1:18">
      <c r="A70" s="56">
        <f t="shared" si="1"/>
        <v>59</v>
      </c>
      <c r="B70" s="95">
        <v>8700</v>
      </c>
      <c r="C70" t="s">
        <v>297</v>
      </c>
      <c r="D70" s="11">
        <v>132335.18</v>
      </c>
      <c r="E70" s="11">
        <v>274472.59999999998</v>
      </c>
      <c r="F70" s="11">
        <v>168644.67000000013</v>
      </c>
      <c r="G70" s="11">
        <v>177759.67999999988</v>
      </c>
      <c r="H70" s="11">
        <v>152737.70000000004</v>
      </c>
      <c r="I70" s="11">
        <v>271466.80999999976</v>
      </c>
      <c r="J70" s="27">
        <v>180590.1258967277</v>
      </c>
      <c r="K70" s="27">
        <v>177516.76532506495</v>
      </c>
      <c r="L70" s="27">
        <v>177947.87291298146</v>
      </c>
      <c r="M70" s="27">
        <v>176907.28058804158</v>
      </c>
      <c r="N70" s="27">
        <v>181082.46927386563</v>
      </c>
      <c r="O70" s="27">
        <v>196144.88305693606</v>
      </c>
      <c r="P70">
        <f t="shared" si="2"/>
        <v>2267606.0370536172</v>
      </c>
      <c r="R70" s="116"/>
    </row>
    <row r="71" spans="1:18">
      <c r="A71" s="56">
        <f t="shared" si="1"/>
        <v>60</v>
      </c>
      <c r="B71" s="95">
        <v>8710</v>
      </c>
      <c r="C71" t="s">
        <v>298</v>
      </c>
      <c r="D71" s="11">
        <v>0</v>
      </c>
      <c r="E71" s="11">
        <v>0</v>
      </c>
      <c r="F71" s="11">
        <v>0</v>
      </c>
      <c r="G71" s="11">
        <v>-19.82</v>
      </c>
      <c r="H71" s="11">
        <v>0</v>
      </c>
      <c r="I71" s="11">
        <v>0</v>
      </c>
      <c r="J71" s="27">
        <v>-3.4249132215003599</v>
      </c>
      <c r="K71" s="27">
        <v>-3.4665186568862714</v>
      </c>
      <c r="L71" s="27">
        <v>-3.114185832937352</v>
      </c>
      <c r="M71" s="27">
        <v>-3.6633985647061897</v>
      </c>
      <c r="N71" s="27">
        <v>-3.4053532348879707</v>
      </c>
      <c r="O71" s="27">
        <v>-3.1234964056268826</v>
      </c>
      <c r="P71">
        <f t="shared" si="2"/>
        <v>-40.017865916545027</v>
      </c>
      <c r="R71" s="116"/>
    </row>
    <row r="72" spans="1:18">
      <c r="A72" s="56">
        <f t="shared" si="1"/>
        <v>61</v>
      </c>
      <c r="B72" s="95">
        <v>8711</v>
      </c>
      <c r="C72" t="s">
        <v>299</v>
      </c>
      <c r="D72" s="11">
        <v>0</v>
      </c>
      <c r="E72" s="11">
        <v>5220.5599999999995</v>
      </c>
      <c r="F72" s="11">
        <v>28621.18</v>
      </c>
      <c r="G72" s="11">
        <v>41114.800000000003</v>
      </c>
      <c r="H72" s="11">
        <v>396.24</v>
      </c>
      <c r="I72" s="11">
        <v>0</v>
      </c>
      <c r="J72" s="27">
        <v>9806.3963655514999</v>
      </c>
      <c r="K72" s="27">
        <v>9449.2751799426624</v>
      </c>
      <c r="L72" s="27">
        <v>9962.7117109339742</v>
      </c>
      <c r="M72" s="27">
        <v>10243.530684490954</v>
      </c>
      <c r="N72" s="27">
        <v>10946.340182887201</v>
      </c>
      <c r="O72" s="27">
        <v>11377.322541576703</v>
      </c>
      <c r="P72">
        <f t="shared" si="2"/>
        <v>137138.35666538301</v>
      </c>
      <c r="R72" s="116"/>
    </row>
    <row r="73" spans="1:18">
      <c r="A73" s="56">
        <f t="shared" si="1"/>
        <v>62</v>
      </c>
      <c r="B73" s="95">
        <v>8720</v>
      </c>
      <c r="C73" t="s">
        <v>300</v>
      </c>
      <c r="D73" s="11">
        <f>0</f>
        <v>0</v>
      </c>
      <c r="E73" s="11">
        <f>0</f>
        <v>0</v>
      </c>
      <c r="F73" s="11">
        <f>0</f>
        <v>0</v>
      </c>
      <c r="G73" s="11">
        <f>0</f>
        <v>0</v>
      </c>
      <c r="H73" s="11">
        <f>0</f>
        <v>0</v>
      </c>
      <c r="I73" s="11">
        <f>0</f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>
        <f t="shared" si="2"/>
        <v>0</v>
      </c>
      <c r="R73" s="116"/>
    </row>
    <row r="74" spans="1:18">
      <c r="A74" s="56">
        <f t="shared" si="1"/>
        <v>63</v>
      </c>
      <c r="B74" s="95">
        <v>8740</v>
      </c>
      <c r="C74" t="s">
        <v>301</v>
      </c>
      <c r="D74" s="11">
        <v>562374.23999999987</v>
      </c>
      <c r="E74" s="11">
        <v>554303.62999999989</v>
      </c>
      <c r="F74" s="11">
        <v>546431.52</v>
      </c>
      <c r="G74" s="11">
        <v>607362.64</v>
      </c>
      <c r="H74" s="11">
        <v>637386.47000000009</v>
      </c>
      <c r="I74" s="11">
        <v>634106.97999999986</v>
      </c>
      <c r="J74" s="27">
        <v>568417.94702116749</v>
      </c>
      <c r="K74" s="27">
        <v>563294.89440846641</v>
      </c>
      <c r="L74" s="27">
        <v>553979.21787344152</v>
      </c>
      <c r="M74" s="27">
        <v>543436.5126975904</v>
      </c>
      <c r="N74" s="27">
        <v>571105.2109093857</v>
      </c>
      <c r="O74" s="27">
        <v>617427.43367256934</v>
      </c>
      <c r="P74">
        <f t="shared" si="2"/>
        <v>6959626.696582621</v>
      </c>
      <c r="R74" s="116"/>
    </row>
    <row r="75" spans="1:18">
      <c r="A75" s="56">
        <f t="shared" si="1"/>
        <v>64</v>
      </c>
      <c r="B75" s="95">
        <v>8750</v>
      </c>
      <c r="C75" t="s">
        <v>302</v>
      </c>
      <c r="D75" s="11">
        <v>143268.16999999998</v>
      </c>
      <c r="E75" s="11">
        <v>122416.96000000002</v>
      </c>
      <c r="F75" s="11">
        <v>85160.76999999999</v>
      </c>
      <c r="G75" s="11">
        <v>84217.140000000029</v>
      </c>
      <c r="H75" s="11">
        <v>77764.419999999969</v>
      </c>
      <c r="I75" s="11">
        <v>70957.980000000025</v>
      </c>
      <c r="J75" s="27">
        <v>106088.22402828968</v>
      </c>
      <c r="K75" s="27">
        <v>102851.61376451039</v>
      </c>
      <c r="L75" s="27">
        <v>98134.317826432089</v>
      </c>
      <c r="M75" s="27">
        <v>115868.61821332584</v>
      </c>
      <c r="N75" s="27">
        <v>109824.6860029313</v>
      </c>
      <c r="O75" s="27">
        <v>115178.18751627776</v>
      </c>
      <c r="P75">
        <f t="shared" si="2"/>
        <v>1231731.0873517669</v>
      </c>
      <c r="R75" s="116"/>
    </row>
    <row r="76" spans="1:18">
      <c r="A76" s="56">
        <f t="shared" si="1"/>
        <v>65</v>
      </c>
      <c r="B76" s="95">
        <v>8760</v>
      </c>
      <c r="C76" t="s">
        <v>303</v>
      </c>
      <c r="D76" s="11">
        <v>0</v>
      </c>
      <c r="E76" s="11">
        <v>0</v>
      </c>
      <c r="F76" s="11">
        <v>191.44</v>
      </c>
      <c r="G76" s="11">
        <v>105.31</v>
      </c>
      <c r="H76" s="11">
        <v>0</v>
      </c>
      <c r="I76" s="11">
        <v>0</v>
      </c>
      <c r="J76" s="27">
        <v>38.618988197614044</v>
      </c>
      <c r="K76" s="27">
        <v>37.212594009776211</v>
      </c>
      <c r="L76" s="27">
        <v>39.234580332930747</v>
      </c>
      <c r="M76" s="27">
        <v>40.34048552187047</v>
      </c>
      <c r="N76" s="27">
        <v>43.108249612977474</v>
      </c>
      <c r="O76" s="27">
        <v>44.805519639924185</v>
      </c>
      <c r="P76">
        <f t="shared" si="2"/>
        <v>540.07041731509321</v>
      </c>
      <c r="R76" s="116"/>
    </row>
    <row r="77" spans="1:18">
      <c r="A77" s="56">
        <f t="shared" ref="A77:A114" si="5">A76+1</f>
        <v>66</v>
      </c>
      <c r="B77" s="95">
        <v>8770</v>
      </c>
      <c r="C77" t="s">
        <v>304</v>
      </c>
      <c r="D77" s="11">
        <v>1159.3200000000002</v>
      </c>
      <c r="E77" s="11">
        <v>381.4</v>
      </c>
      <c r="F77" s="11">
        <v>379.52</v>
      </c>
      <c r="G77" s="11">
        <v>269.22000000000003</v>
      </c>
      <c r="H77" s="11">
        <v>280.35000000000002</v>
      </c>
      <c r="I77" s="11">
        <v>143.66000000000003</v>
      </c>
      <c r="J77" s="27">
        <v>449.59473125371238</v>
      </c>
      <c r="K77" s="27">
        <v>455.06835837205489</v>
      </c>
      <c r="L77" s="27">
        <v>409.77024779645808</v>
      </c>
      <c r="M77" s="27">
        <v>491.30490468387524</v>
      </c>
      <c r="N77" s="27">
        <v>457.53815582924904</v>
      </c>
      <c r="O77" s="27">
        <v>421.1977372482994</v>
      </c>
      <c r="P77">
        <f t="shared" si="2"/>
        <v>5297.9441351836495</v>
      </c>
      <c r="R77" s="116"/>
    </row>
    <row r="78" spans="1:18">
      <c r="A78" s="56">
        <f t="shared" si="5"/>
        <v>67</v>
      </c>
      <c r="B78" s="95">
        <v>8780</v>
      </c>
      <c r="C78" t="s">
        <v>305</v>
      </c>
      <c r="D78" s="11">
        <v>88532.59</v>
      </c>
      <c r="E78" s="11">
        <v>56980.159999999996</v>
      </c>
      <c r="F78" s="11">
        <v>56159.310000000005</v>
      </c>
      <c r="G78" s="11">
        <v>64763.310000000005</v>
      </c>
      <c r="H78" s="11">
        <v>54982.020000000019</v>
      </c>
      <c r="I78" s="11">
        <v>67011.64</v>
      </c>
      <c r="J78" s="27">
        <v>72939.359551493282</v>
      </c>
      <c r="K78" s="27">
        <v>70854.833340211233</v>
      </c>
      <c r="L78" s="27">
        <v>67000.548223986989</v>
      </c>
      <c r="M78" s="27">
        <v>80392.242616993884</v>
      </c>
      <c r="N78" s="27">
        <v>75324.449720284159</v>
      </c>
      <c r="O78" s="27">
        <v>78520.108317775288</v>
      </c>
      <c r="P78">
        <f t="shared" ref="P78:P112" si="6">SUM(D78:O78)</f>
        <v>833460.57177074486</v>
      </c>
      <c r="R78" s="116"/>
    </row>
    <row r="79" spans="1:18">
      <c r="A79" s="56">
        <f t="shared" si="5"/>
        <v>68</v>
      </c>
      <c r="B79" s="95">
        <v>8790</v>
      </c>
      <c r="C79" t="s">
        <v>306</v>
      </c>
      <c r="D79" s="11">
        <v>0</v>
      </c>
      <c r="E79" s="11">
        <v>0</v>
      </c>
      <c r="F79" s="11">
        <v>146.03</v>
      </c>
      <c r="G79" s="11">
        <v>0</v>
      </c>
      <c r="H79" s="11">
        <v>0</v>
      </c>
      <c r="I79" s="11">
        <v>0</v>
      </c>
      <c r="J79" s="27">
        <v>19.004316247675078</v>
      </c>
      <c r="K79" s="27">
        <v>18.312232866883303</v>
      </c>
      <c r="L79" s="27">
        <v>19.307247737212727</v>
      </c>
      <c r="M79" s="27">
        <v>19.851461165151626</v>
      </c>
      <c r="N79" s="27">
        <v>21.213471578713062</v>
      </c>
      <c r="O79" s="27">
        <v>22.048694298291927</v>
      </c>
      <c r="P79">
        <f t="shared" si="6"/>
        <v>265.76742389392768</v>
      </c>
      <c r="R79" s="116"/>
    </row>
    <row r="80" spans="1:18">
      <c r="A80" s="56">
        <f t="shared" si="5"/>
        <v>69</v>
      </c>
      <c r="B80" s="95">
        <v>8800</v>
      </c>
      <c r="C80" t="s">
        <v>307</v>
      </c>
      <c r="D80" s="11">
        <v>491.89</v>
      </c>
      <c r="E80" s="11">
        <v>1098.02</v>
      </c>
      <c r="F80" s="11">
        <v>4.97</v>
      </c>
      <c r="G80" s="11">
        <v>127.81</v>
      </c>
      <c r="H80" s="11">
        <v>0</v>
      </c>
      <c r="I80" s="11">
        <v>0</v>
      </c>
      <c r="J80" s="27">
        <v>227.91672227535847</v>
      </c>
      <c r="K80" s="27">
        <v>220.10618280215897</v>
      </c>
      <c r="L80" s="27">
        <v>231.41882947881248</v>
      </c>
      <c r="M80" s="27">
        <v>238.26771650360914</v>
      </c>
      <c r="N80" s="27">
        <v>253.63233222264392</v>
      </c>
      <c r="O80" s="27">
        <v>263.0560399822063</v>
      </c>
      <c r="P80">
        <f t="shared" si="6"/>
        <v>3157.0878232647892</v>
      </c>
    </row>
    <row r="81" spans="1:18">
      <c r="A81" s="56">
        <f t="shared" si="5"/>
        <v>70</v>
      </c>
      <c r="B81" s="95">
        <v>8810</v>
      </c>
      <c r="C81" t="s">
        <v>308</v>
      </c>
      <c r="D81" s="11">
        <v>8255.4300000000039</v>
      </c>
      <c r="E81" s="11">
        <v>8173.0500000000047</v>
      </c>
      <c r="F81" s="11">
        <v>8102.0900000000083</v>
      </c>
      <c r="G81" s="11">
        <v>8705.9900000000052</v>
      </c>
      <c r="H81" s="11">
        <v>9035.35</v>
      </c>
      <c r="I81" s="11">
        <v>12704.029999999997</v>
      </c>
      <c r="J81" s="27">
        <v>8631.3539682335831</v>
      </c>
      <c r="K81" s="27">
        <v>9016.3570697632749</v>
      </c>
      <c r="L81" s="27">
        <v>5647.2470013287857</v>
      </c>
      <c r="M81" s="27">
        <v>9479.8406818659387</v>
      </c>
      <c r="N81" s="27">
        <v>7121.5667755348877</v>
      </c>
      <c r="O81" s="27">
        <v>4541.8571771161696</v>
      </c>
      <c r="P81">
        <f t="shared" si="6"/>
        <v>99414.162673842657</v>
      </c>
    </row>
    <row r="82" spans="1:18">
      <c r="A82" s="56">
        <f t="shared" si="5"/>
        <v>71</v>
      </c>
      <c r="B82" s="95">
        <v>8850</v>
      </c>
      <c r="C82" t="s">
        <v>309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>
        <f t="shared" si="6"/>
        <v>0</v>
      </c>
    </row>
    <row r="83" spans="1:18">
      <c r="A83" s="56">
        <f t="shared" si="5"/>
        <v>72</v>
      </c>
      <c r="B83" s="95">
        <v>8860</v>
      </c>
      <c r="C83" t="s">
        <v>310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>
        <f t="shared" si="6"/>
        <v>0</v>
      </c>
    </row>
    <row r="84" spans="1:18">
      <c r="A84" s="56">
        <f t="shared" si="5"/>
        <v>73</v>
      </c>
      <c r="B84" s="95">
        <v>8870</v>
      </c>
      <c r="C84" t="s">
        <v>311</v>
      </c>
      <c r="D84" s="11">
        <v>18222.650000000001</v>
      </c>
      <c r="E84" s="11">
        <v>4296.6699999999992</v>
      </c>
      <c r="F84" s="11">
        <v>29773.14</v>
      </c>
      <c r="G84" s="11">
        <v>4890.8900000000003</v>
      </c>
      <c r="H84" s="11">
        <v>7366.2100000000009</v>
      </c>
      <c r="I84" s="11">
        <v>10157.900000000001</v>
      </c>
      <c r="J84" s="27">
        <v>11638.174056161075</v>
      </c>
      <c r="K84" s="27">
        <v>11802.106757815101</v>
      </c>
      <c r="L84" s="27">
        <v>11610.955211175638</v>
      </c>
      <c r="M84" s="27">
        <v>11581.163812140361</v>
      </c>
      <c r="N84" s="27">
        <v>11848.153452913763</v>
      </c>
      <c r="O84" s="27">
        <v>12781.849355278646</v>
      </c>
      <c r="P84">
        <f t="shared" si="6"/>
        <v>145969.86264548459</v>
      </c>
      <c r="R84" s="18"/>
    </row>
    <row r="85" spans="1:18">
      <c r="A85" s="56">
        <f t="shared" si="5"/>
        <v>74</v>
      </c>
      <c r="B85" s="95">
        <v>8890</v>
      </c>
      <c r="C85" s="97" t="s">
        <v>312</v>
      </c>
      <c r="D85" s="11">
        <v>3507.1600000000003</v>
      </c>
      <c r="E85" s="11">
        <v>940.32999999999993</v>
      </c>
      <c r="F85" s="11">
        <v>26753.98</v>
      </c>
      <c r="G85" s="11">
        <v>31467.72</v>
      </c>
      <c r="H85" s="11">
        <v>9037.91</v>
      </c>
      <c r="I85" s="11">
        <v>35564.269999999997</v>
      </c>
      <c r="J85" s="27">
        <v>14630.035001099655</v>
      </c>
      <c r="K85" s="27">
        <v>14733.971095967747</v>
      </c>
      <c r="L85" s="27">
        <v>14663.449868046546</v>
      </c>
      <c r="M85" s="27">
        <v>9316.3874507957207</v>
      </c>
      <c r="N85" s="27">
        <v>12416.272861990166</v>
      </c>
      <c r="O85" s="27">
        <v>15043.639573744378</v>
      </c>
      <c r="P85">
        <f t="shared" si="6"/>
        <v>188075.1258516442</v>
      </c>
    </row>
    <row r="86" spans="1:18">
      <c r="A86" s="56">
        <f t="shared" si="5"/>
        <v>75</v>
      </c>
      <c r="B86" s="95">
        <v>8900</v>
      </c>
      <c r="C86" t="s">
        <v>313</v>
      </c>
      <c r="D86" s="11">
        <f>0</f>
        <v>0</v>
      </c>
      <c r="E86" s="11">
        <f>0</f>
        <v>0</v>
      </c>
      <c r="F86" s="11">
        <f>0</f>
        <v>0</v>
      </c>
      <c r="G86" s="11">
        <f>0</f>
        <v>0</v>
      </c>
      <c r="H86" s="11">
        <f>0</f>
        <v>0</v>
      </c>
      <c r="I86" s="11">
        <f>0</f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>
        <f t="shared" si="6"/>
        <v>0</v>
      </c>
    </row>
    <row r="87" spans="1:18">
      <c r="A87" s="56">
        <f t="shared" si="5"/>
        <v>76</v>
      </c>
      <c r="B87" s="95">
        <v>8910</v>
      </c>
      <c r="C87" t="s">
        <v>314</v>
      </c>
      <c r="D87" s="11">
        <v>0</v>
      </c>
      <c r="E87" s="11">
        <v>0</v>
      </c>
      <c r="F87" s="11">
        <v>0</v>
      </c>
      <c r="G87" s="11">
        <v>0</v>
      </c>
      <c r="H87" s="11">
        <v>64.19</v>
      </c>
      <c r="I87" s="11">
        <v>-9.17</v>
      </c>
      <c r="J87" s="27">
        <v>10.51257715925486</v>
      </c>
      <c r="K87" s="27">
        <v>10.155465598141618</v>
      </c>
      <c r="L87" s="27">
        <v>9.5720398080582516</v>
      </c>
      <c r="M87" s="27">
        <v>11.5487718738034</v>
      </c>
      <c r="N87" s="27">
        <v>10.802634350522265</v>
      </c>
      <c r="O87" s="27">
        <v>11.296585248348455</v>
      </c>
      <c r="P87">
        <f t="shared" si="6"/>
        <v>118.90807403812885</v>
      </c>
    </row>
    <row r="88" spans="1:18">
      <c r="A88" s="56">
        <f t="shared" si="5"/>
        <v>77</v>
      </c>
      <c r="B88" s="95">
        <v>8920</v>
      </c>
      <c r="C88" t="s">
        <v>315</v>
      </c>
      <c r="D88" s="11">
        <v>-9.86</v>
      </c>
      <c r="E88" s="11">
        <v>0</v>
      </c>
      <c r="F88" s="11">
        <v>123.80000000000001</v>
      </c>
      <c r="G88" s="11">
        <v>-41.27</v>
      </c>
      <c r="H88" s="11">
        <v>0</v>
      </c>
      <c r="I88" s="11">
        <v>0</v>
      </c>
      <c r="J88" s="27">
        <v>13.884932427536365</v>
      </c>
      <c r="K88" s="27">
        <v>13.413262177698135</v>
      </c>
      <c r="L88" s="27">
        <v>12.642677805372468</v>
      </c>
      <c r="M88" s="27">
        <v>15.253530571960978</v>
      </c>
      <c r="N88" s="27">
        <v>14.268037772672717</v>
      </c>
      <c r="O88" s="27">
        <v>14.920444383814653</v>
      </c>
      <c r="P88">
        <f t="shared" si="6"/>
        <v>157.05288513905532</v>
      </c>
    </row>
    <row r="89" spans="1:18">
      <c r="A89" s="56">
        <f t="shared" si="5"/>
        <v>78</v>
      </c>
      <c r="B89" s="95">
        <v>8930</v>
      </c>
      <c r="C89" t="s">
        <v>316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>
        <f t="shared" si="6"/>
        <v>0</v>
      </c>
    </row>
    <row r="90" spans="1:18">
      <c r="A90" s="56">
        <f t="shared" si="5"/>
        <v>79</v>
      </c>
      <c r="B90" s="95">
        <v>8940</v>
      </c>
      <c r="C90" t="s">
        <v>317</v>
      </c>
      <c r="D90" s="11">
        <f>0</f>
        <v>0</v>
      </c>
      <c r="E90" s="11">
        <f>0</f>
        <v>0</v>
      </c>
      <c r="F90" s="11">
        <f>0</f>
        <v>0</v>
      </c>
      <c r="G90" s="11">
        <f>0</f>
        <v>0</v>
      </c>
      <c r="H90" s="11">
        <f>0</f>
        <v>0</v>
      </c>
      <c r="I90" s="11">
        <f>0</f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>
        <f t="shared" si="6"/>
        <v>0</v>
      </c>
    </row>
    <row r="91" spans="1:18">
      <c r="A91" s="56">
        <f t="shared" si="5"/>
        <v>80</v>
      </c>
      <c r="B91" s="95">
        <v>9010</v>
      </c>
      <c r="C91" t="s">
        <v>318</v>
      </c>
      <c r="D91" s="11">
        <f>0</f>
        <v>0</v>
      </c>
      <c r="E91" s="11">
        <f>0</f>
        <v>0</v>
      </c>
      <c r="F91" s="11">
        <f>0</f>
        <v>0</v>
      </c>
      <c r="G91" s="11">
        <f>0</f>
        <v>0</v>
      </c>
      <c r="H91" s="11">
        <f>0</f>
        <v>0</v>
      </c>
      <c r="I91" s="11">
        <f>0</f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>
        <f t="shared" si="6"/>
        <v>0</v>
      </c>
    </row>
    <row r="92" spans="1:18">
      <c r="A92" s="56">
        <f t="shared" si="5"/>
        <v>81</v>
      </c>
      <c r="B92" s="95">
        <v>9020</v>
      </c>
      <c r="C92" t="s">
        <v>319</v>
      </c>
      <c r="D92" s="11">
        <v>53027.05</v>
      </c>
      <c r="E92" s="11">
        <v>57748.39</v>
      </c>
      <c r="F92" s="11">
        <v>52706.239999999998</v>
      </c>
      <c r="G92" s="11">
        <v>46747.140000000007</v>
      </c>
      <c r="H92" s="11">
        <v>69879.329999999987</v>
      </c>
      <c r="I92" s="11">
        <v>56229.099999999991</v>
      </c>
      <c r="J92" s="27">
        <v>59669.639378282794</v>
      </c>
      <c r="K92" s="27">
        <v>59159.39541337741</v>
      </c>
      <c r="L92" s="27">
        <v>54573.674340974772</v>
      </c>
      <c r="M92" s="27">
        <v>63951.348143577998</v>
      </c>
      <c r="N92" s="27">
        <v>59755.345930823409</v>
      </c>
      <c r="O92" s="27">
        <v>58481.346389248189</v>
      </c>
      <c r="P92">
        <f t="shared" si="6"/>
        <v>691927.99959628459</v>
      </c>
    </row>
    <row r="93" spans="1:18">
      <c r="A93" s="56">
        <f t="shared" si="5"/>
        <v>82</v>
      </c>
      <c r="B93" s="95">
        <v>9030</v>
      </c>
      <c r="C93" t="s">
        <v>320</v>
      </c>
      <c r="D93" s="11">
        <v>101433.35</v>
      </c>
      <c r="E93" s="11">
        <v>105565.12999999999</v>
      </c>
      <c r="F93" s="11">
        <v>165197.99</v>
      </c>
      <c r="G93" s="11">
        <v>146083.24</v>
      </c>
      <c r="H93" s="11">
        <v>105044.41</v>
      </c>
      <c r="I93" s="11">
        <v>89105.15</v>
      </c>
      <c r="J93" s="27">
        <v>103915.71276598141</v>
      </c>
      <c r="K93" s="27">
        <v>104455.9868184427</v>
      </c>
      <c r="L93" s="27">
        <v>102644.05528263823</v>
      </c>
      <c r="M93" s="27">
        <v>76918.397653569089</v>
      </c>
      <c r="N93" s="27">
        <v>92508.548991296338</v>
      </c>
      <c r="O93" s="27">
        <v>108522.85745550014</v>
      </c>
      <c r="P93">
        <f t="shared" si="6"/>
        <v>1301394.8289674281</v>
      </c>
    </row>
    <row r="94" spans="1:18">
      <c r="A94" s="56">
        <f t="shared" si="5"/>
        <v>83</v>
      </c>
      <c r="B94" s="95">
        <v>9040</v>
      </c>
      <c r="C94" t="s">
        <v>321</v>
      </c>
      <c r="D94" s="11">
        <v>209703.95</v>
      </c>
      <c r="E94" s="11">
        <v>298981.28000000003</v>
      </c>
      <c r="F94" s="11">
        <v>210389.67</v>
      </c>
      <c r="G94" s="11">
        <v>-78229.86</v>
      </c>
      <c r="H94" s="11">
        <v>122814</v>
      </c>
      <c r="I94" s="11">
        <v>158813</v>
      </c>
      <c r="J94" s="27">
        <v>86169.46</v>
      </c>
      <c r="K94" s="27">
        <v>92650.9</v>
      </c>
      <c r="L94" s="27">
        <v>91815.14</v>
      </c>
      <c r="M94" s="27">
        <v>100296.1491</v>
      </c>
      <c r="N94" s="27">
        <v>137716.05505000002</v>
      </c>
      <c r="O94" s="27">
        <v>172488.28887500003</v>
      </c>
      <c r="P94">
        <f t="shared" si="6"/>
        <v>1603608.033025</v>
      </c>
    </row>
    <row r="95" spans="1:18">
      <c r="A95" s="56">
        <f t="shared" si="5"/>
        <v>84</v>
      </c>
      <c r="B95" s="95">
        <v>9090</v>
      </c>
      <c r="C95" t="s">
        <v>322</v>
      </c>
      <c r="D95" s="11">
        <v>20820.819999999996</v>
      </c>
      <c r="E95" s="11">
        <v>18363.62</v>
      </c>
      <c r="F95" s="11">
        <v>12760.420000000002</v>
      </c>
      <c r="G95" s="11">
        <v>17702.36</v>
      </c>
      <c r="H95" s="11">
        <v>17180.93</v>
      </c>
      <c r="I95" s="11">
        <v>13583.54</v>
      </c>
      <c r="J95" s="27">
        <v>15254.553332547572</v>
      </c>
      <c r="K95" s="27">
        <v>15108.873865842794</v>
      </c>
      <c r="L95" s="27">
        <v>14623.501031368838</v>
      </c>
      <c r="M95" s="27">
        <v>18152.413969461417</v>
      </c>
      <c r="N95" s="27">
        <v>17257.596031787307</v>
      </c>
      <c r="O95" s="27">
        <v>17854.615683085609</v>
      </c>
      <c r="P95">
        <f t="shared" si="6"/>
        <v>198663.24391409353</v>
      </c>
    </row>
    <row r="96" spans="1:18">
      <c r="A96" s="56">
        <f t="shared" si="5"/>
        <v>85</v>
      </c>
      <c r="B96" s="95">
        <v>9100</v>
      </c>
      <c r="C96" t="s">
        <v>323</v>
      </c>
      <c r="D96" s="11">
        <f>0</f>
        <v>0</v>
      </c>
      <c r="E96" s="11">
        <f>0</f>
        <v>0</v>
      </c>
      <c r="F96" s="11">
        <f>0</f>
        <v>0</v>
      </c>
      <c r="G96" s="11">
        <f>0</f>
        <v>0</v>
      </c>
      <c r="H96" s="11">
        <f>0</f>
        <v>0</v>
      </c>
      <c r="I96" s="11">
        <f>0</f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>
        <f t="shared" si="6"/>
        <v>0</v>
      </c>
    </row>
    <row r="97" spans="1:18">
      <c r="A97" s="56">
        <f t="shared" si="5"/>
        <v>86</v>
      </c>
      <c r="B97" s="95">
        <v>9110</v>
      </c>
      <c r="C97" t="s">
        <v>324</v>
      </c>
      <c r="D97" s="11">
        <v>10508.300000000001</v>
      </c>
      <c r="E97" s="11">
        <v>11395.83</v>
      </c>
      <c r="F97" s="11">
        <v>11238.179999999998</v>
      </c>
      <c r="G97" s="11">
        <v>12311.38</v>
      </c>
      <c r="H97" s="11">
        <v>13314.99</v>
      </c>
      <c r="I97" s="11">
        <v>10399.529999999999</v>
      </c>
      <c r="J97" s="27">
        <v>11882.764203443772</v>
      </c>
      <c r="K97" s="27">
        <v>11864.448486801568</v>
      </c>
      <c r="L97" s="27">
        <v>11488.097623193284</v>
      </c>
      <c r="M97" s="27">
        <v>13392.608098406381</v>
      </c>
      <c r="N97" s="27">
        <v>12674.17245631267</v>
      </c>
      <c r="O97" s="27">
        <v>13149.784417070223</v>
      </c>
      <c r="P97">
        <f t="shared" si="6"/>
        <v>143620.08528522789</v>
      </c>
      <c r="R97" s="18"/>
    </row>
    <row r="98" spans="1:18">
      <c r="A98" s="56">
        <f t="shared" si="5"/>
        <v>87</v>
      </c>
      <c r="B98" s="95">
        <v>9120</v>
      </c>
      <c r="C98" t="s">
        <v>325</v>
      </c>
      <c r="D98" s="11">
        <v>23485.4</v>
      </c>
      <c r="E98" s="11">
        <v>762.04</v>
      </c>
      <c r="F98" s="11">
        <v>1039.77</v>
      </c>
      <c r="G98" s="11">
        <v>27608.6</v>
      </c>
      <c r="H98" s="11">
        <v>1641.9699999999998</v>
      </c>
      <c r="I98" s="11">
        <v>4288.25</v>
      </c>
      <c r="J98" s="27">
        <v>10964.616386586857</v>
      </c>
      <c r="K98" s="27">
        <v>1810.2729193385394</v>
      </c>
      <c r="L98" s="27">
        <v>2123.7845547183756</v>
      </c>
      <c r="M98" s="27">
        <v>6828.5346228853559</v>
      </c>
      <c r="N98" s="27">
        <v>4624.7013351725336</v>
      </c>
      <c r="O98" s="27">
        <v>3237.5026198224932</v>
      </c>
      <c r="P98">
        <f t="shared" si="6"/>
        <v>88415.442438524173</v>
      </c>
      <c r="R98" s="18"/>
    </row>
    <row r="99" spans="1:18">
      <c r="A99" s="56">
        <f t="shared" si="5"/>
        <v>88</v>
      </c>
      <c r="B99" s="95">
        <v>9130</v>
      </c>
      <c r="C99" t="s">
        <v>326</v>
      </c>
      <c r="D99" s="11">
        <v>3920.9</v>
      </c>
      <c r="E99" s="11">
        <v>5379.96</v>
      </c>
      <c r="F99" s="11">
        <v>5460.02</v>
      </c>
      <c r="G99" s="11">
        <v>28396.28</v>
      </c>
      <c r="H99" s="11">
        <v>8607.5800000000017</v>
      </c>
      <c r="I99" s="11">
        <v>1405.19</v>
      </c>
      <c r="J99" s="27">
        <v>2182.7098023437761</v>
      </c>
      <c r="K99" s="27">
        <v>2182.7098023437761</v>
      </c>
      <c r="L99" s="27">
        <v>2183.2956904331631</v>
      </c>
      <c r="M99" s="27">
        <v>3272.1032803897479</v>
      </c>
      <c r="N99" s="27">
        <v>3272.1032803897479</v>
      </c>
      <c r="O99" s="27">
        <v>3272.1032803897479</v>
      </c>
      <c r="P99">
        <f t="shared" si="6"/>
        <v>69534.95513628998</v>
      </c>
    </row>
    <row r="100" spans="1:18">
      <c r="A100" s="56">
        <f t="shared" si="5"/>
        <v>89</v>
      </c>
      <c r="B100" s="95">
        <v>9160</v>
      </c>
      <c r="C100" t="s">
        <v>327</v>
      </c>
      <c r="D100" s="11">
        <v>0</v>
      </c>
      <c r="E100" s="11">
        <v>0</v>
      </c>
      <c r="F100" s="11">
        <v>1300</v>
      </c>
      <c r="G100" s="11">
        <v>0</v>
      </c>
      <c r="H100" s="11">
        <v>689</v>
      </c>
      <c r="I100" s="11">
        <v>0</v>
      </c>
      <c r="J100" s="27">
        <v>81.651598880453122</v>
      </c>
      <c r="K100" s="27">
        <v>81.651598880453122</v>
      </c>
      <c r="L100" s="27">
        <v>81.673515994314116</v>
      </c>
      <c r="M100" s="27">
        <v>122.40402469394277</v>
      </c>
      <c r="N100" s="27">
        <v>122.40402469394277</v>
      </c>
      <c r="O100" s="27">
        <v>122.40402469394277</v>
      </c>
      <c r="P100">
        <f t="shared" si="6"/>
        <v>2601.188787837048</v>
      </c>
    </row>
    <row r="101" spans="1:18">
      <c r="A101" s="56">
        <f t="shared" si="5"/>
        <v>90</v>
      </c>
      <c r="B101" s="95">
        <v>9200</v>
      </c>
      <c r="C101" t="s">
        <v>328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>
        <f t="shared" si="6"/>
        <v>0</v>
      </c>
      <c r="R101" s="18"/>
    </row>
    <row r="102" spans="1:18">
      <c r="A102" s="56">
        <f t="shared" si="5"/>
        <v>91</v>
      </c>
      <c r="B102" s="95">
        <v>9210</v>
      </c>
      <c r="C102" t="s">
        <v>329</v>
      </c>
      <c r="D102" s="11">
        <v>2718.64</v>
      </c>
      <c r="E102" s="11">
        <v>26720.15</v>
      </c>
      <c r="F102" s="11">
        <v>395.87</v>
      </c>
      <c r="G102" s="11">
        <v>813.91000000000008</v>
      </c>
      <c r="H102" s="11">
        <v>206.02</v>
      </c>
      <c r="I102" s="11">
        <v>345.01</v>
      </c>
      <c r="J102" s="27">
        <v>309.21740051523619</v>
      </c>
      <c r="K102" s="27">
        <v>308.54370570882958</v>
      </c>
      <c r="L102" s="27">
        <v>376.027145468127</v>
      </c>
      <c r="M102" s="27">
        <v>5753.8695313898088</v>
      </c>
      <c r="N102" s="27">
        <v>5755.1953533461719</v>
      </c>
      <c r="O102" s="27">
        <v>5756.0083842958957</v>
      </c>
      <c r="P102">
        <f t="shared" si="6"/>
        <v>49458.461520724071</v>
      </c>
      <c r="R102" s="18"/>
    </row>
    <row r="103" spans="1:18">
      <c r="A103" s="56">
        <f t="shared" si="5"/>
        <v>92</v>
      </c>
      <c r="B103" s="95">
        <v>9220</v>
      </c>
      <c r="C103" t="s">
        <v>330</v>
      </c>
      <c r="D103" s="11">
        <v>1141840.23</v>
      </c>
      <c r="E103" s="11">
        <v>1094611.77</v>
      </c>
      <c r="F103" s="11">
        <v>956813.84000000008</v>
      </c>
      <c r="G103" s="11">
        <v>1109782.93</v>
      </c>
      <c r="H103" s="11">
        <v>1751889.37</v>
      </c>
      <c r="I103" s="11">
        <v>657969.06000000006</v>
      </c>
      <c r="J103" s="27">
        <f>-('C.2.2 B 02'!J47+'C.2.2 B 12'!J38+'C.2.2 B 91'!J63)</f>
        <v>1677084.1971644047</v>
      </c>
      <c r="K103" s="27">
        <f>-('C.2.2 B 02'!K47+'C.2.2 B 12'!K38+'C.2.2 B 91'!K63)</f>
        <v>1483045.7164809823</v>
      </c>
      <c r="L103" s="27">
        <f>-('C.2.2 B 02'!L47+'C.2.2 B 12'!L38+'C.2.2 B 91'!L63)</f>
        <v>1539460.5287855384</v>
      </c>
      <c r="M103" s="27">
        <f>-('C.2.2 B 02'!M47+'C.2.2 B 12'!M38+'C.2.2 B 91'!M63)</f>
        <v>1517291.2362570423</v>
      </c>
      <c r="N103" s="27">
        <f>-('C.2.2 B 02'!N47+'C.2.2 B 12'!N38+'C.2.2 B 91'!N63)</f>
        <v>1403416.6707589163</v>
      </c>
      <c r="O103" s="27">
        <f>-('C.2.2 B 02'!O47+'C.2.2 B 12'!O38+'C.2.2 B 91'!O63)</f>
        <v>1520622.2150312879</v>
      </c>
      <c r="P103">
        <f>SUM(D103:O103)</f>
        <v>15853827.764478171</v>
      </c>
      <c r="R103" s="18"/>
    </row>
    <row r="104" spans="1:18">
      <c r="A104" s="56">
        <f t="shared" si="5"/>
        <v>93</v>
      </c>
      <c r="B104" s="95">
        <v>9230</v>
      </c>
      <c r="C104" t="s">
        <v>331</v>
      </c>
      <c r="D104" s="11">
        <v>3256.5</v>
      </c>
      <c r="E104" s="11">
        <v>15174.25</v>
      </c>
      <c r="F104" s="11">
        <v>0</v>
      </c>
      <c r="G104" s="11">
        <v>15238</v>
      </c>
      <c r="H104" s="11">
        <v>17465.3</v>
      </c>
      <c r="I104" s="11">
        <v>4367.7</v>
      </c>
      <c r="J104" s="27">
        <v>7608.0852120405507</v>
      </c>
      <c r="K104" s="27">
        <v>7697.1935630465805</v>
      </c>
      <c r="L104" s="27">
        <v>7618.8562222076425</v>
      </c>
      <c r="M104" s="27">
        <v>4518.8265109727627</v>
      </c>
      <c r="N104" s="27">
        <v>6245.0549880390654</v>
      </c>
      <c r="O104" s="27">
        <v>7719.2846988444207</v>
      </c>
      <c r="P104">
        <f t="shared" si="6"/>
        <v>96909.051195151013</v>
      </c>
      <c r="R104" s="18"/>
    </row>
    <row r="105" spans="1:18">
      <c r="A105" s="56">
        <f t="shared" si="5"/>
        <v>94</v>
      </c>
      <c r="B105" s="95">
        <v>9240</v>
      </c>
      <c r="C105" t="s">
        <v>332</v>
      </c>
      <c r="D105" s="11">
        <v>-44.319999999999709</v>
      </c>
      <c r="E105" s="11">
        <v>931.09999999999854</v>
      </c>
      <c r="F105" s="11">
        <v>1770.9199999999983</v>
      </c>
      <c r="G105" s="11">
        <v>940.33999999999651</v>
      </c>
      <c r="H105" s="11">
        <v>941.58000000000175</v>
      </c>
      <c r="I105" s="11">
        <v>941.58000000000175</v>
      </c>
      <c r="J105" s="27">
        <v>24.731235437281498</v>
      </c>
      <c r="K105" s="27">
        <v>24.731235437281498</v>
      </c>
      <c r="L105" s="27">
        <v>24.731235437281498</v>
      </c>
      <c r="M105" s="27">
        <v>0</v>
      </c>
      <c r="N105" s="27">
        <v>0</v>
      </c>
      <c r="O105" s="27">
        <v>0</v>
      </c>
      <c r="P105">
        <f t="shared" si="6"/>
        <v>5555.3937063118419</v>
      </c>
      <c r="R105" s="18"/>
    </row>
    <row r="106" spans="1:18">
      <c r="A106" s="56">
        <f t="shared" si="5"/>
        <v>95</v>
      </c>
      <c r="B106" s="95">
        <v>9250</v>
      </c>
      <c r="C106" t="s">
        <v>333</v>
      </c>
      <c r="D106" s="11">
        <v>3543.15</v>
      </c>
      <c r="E106" s="11">
        <v>7186.3700000000008</v>
      </c>
      <c r="F106" s="11">
        <v>5276.4</v>
      </c>
      <c r="G106" s="11">
        <v>5125.57</v>
      </c>
      <c r="H106" s="11">
        <v>5603.38</v>
      </c>
      <c r="I106" s="11">
        <v>17198.34</v>
      </c>
      <c r="J106" s="27">
        <v>2643.0383859296016</v>
      </c>
      <c r="K106" s="27">
        <v>2672.6474027399977</v>
      </c>
      <c r="L106" s="27">
        <v>2646.6173885427324</v>
      </c>
      <c r="M106" s="27">
        <v>1501.5204368174277</v>
      </c>
      <c r="N106" s="27">
        <v>2075.1134549687945</v>
      </c>
      <c r="O106" s="27">
        <v>2564.9720574096241</v>
      </c>
      <c r="P106">
        <f t="shared" si="6"/>
        <v>58037.119126408179</v>
      </c>
      <c r="R106" s="18"/>
    </row>
    <row r="107" spans="1:18">
      <c r="A107" s="56">
        <f t="shared" si="5"/>
        <v>96</v>
      </c>
      <c r="B107" s="95">
        <v>9260</v>
      </c>
      <c r="C107" t="s">
        <v>334</v>
      </c>
      <c r="D107" s="11">
        <v>69159.650000000023</v>
      </c>
      <c r="E107" s="11">
        <v>57611.82999999998</v>
      </c>
      <c r="F107" s="11">
        <v>54707.369999999966</v>
      </c>
      <c r="G107" s="11">
        <v>53613.04000000003</v>
      </c>
      <c r="H107" s="11">
        <v>57867.399999999965</v>
      </c>
      <c r="I107" s="11">
        <v>54681.34</v>
      </c>
      <c r="J107" s="27">
        <v>65462.068784787603</v>
      </c>
      <c r="K107" s="27">
        <v>63267.653006750952</v>
      </c>
      <c r="L107" s="27">
        <v>59938.371225681673</v>
      </c>
      <c r="M107" s="27">
        <v>79014.489085886569</v>
      </c>
      <c r="N107" s="27">
        <v>74173.058172571167</v>
      </c>
      <c r="O107" s="27">
        <v>77562.600828077004</v>
      </c>
      <c r="P107">
        <f>SUM(D107:O107)</f>
        <v>767058.87110375497</v>
      </c>
      <c r="R107" s="18"/>
    </row>
    <row r="108" spans="1:18">
      <c r="A108" s="56">
        <f t="shared" si="5"/>
        <v>97</v>
      </c>
      <c r="B108" s="95">
        <v>9270</v>
      </c>
      <c r="C108" t="s">
        <v>335</v>
      </c>
      <c r="D108" s="11">
        <v>0</v>
      </c>
      <c r="E108" s="11">
        <v>0</v>
      </c>
      <c r="F108" s="11">
        <v>0</v>
      </c>
      <c r="G108" s="11">
        <v>84.53</v>
      </c>
      <c r="H108" s="11">
        <v>0</v>
      </c>
      <c r="I108" s="11">
        <v>214.58</v>
      </c>
      <c r="J108" s="27">
        <v>5.0246834572365362</v>
      </c>
      <c r="K108" s="27">
        <v>5.0246834572365362</v>
      </c>
      <c r="L108" s="27">
        <v>5.5959391386699</v>
      </c>
      <c r="M108" s="27">
        <v>53.20275801965176</v>
      </c>
      <c r="N108" s="27">
        <v>53.20275801965176</v>
      </c>
      <c r="O108" s="27">
        <v>53.20275801965176</v>
      </c>
      <c r="P108">
        <f t="shared" si="6"/>
        <v>474.3635801120983</v>
      </c>
      <c r="R108" s="18"/>
    </row>
    <row r="109" spans="1:18">
      <c r="A109" s="56">
        <f t="shared" si="5"/>
        <v>98</v>
      </c>
      <c r="B109" s="95">
        <v>9280</v>
      </c>
      <c r="C109" t="s">
        <v>336</v>
      </c>
      <c r="D109" s="11">
        <v>10060.58</v>
      </c>
      <c r="E109" s="11">
        <v>10060.58</v>
      </c>
      <c r="F109" s="11">
        <v>10060.58</v>
      </c>
      <c r="G109" s="11">
        <v>10156.58</v>
      </c>
      <c r="H109" s="11">
        <v>10060.58</v>
      </c>
      <c r="I109" s="11">
        <v>12210.09</v>
      </c>
      <c r="J109" s="27">
        <v>740.65353592977272</v>
      </c>
      <c r="K109" s="27">
        <v>744.25871402357234</v>
      </c>
      <c r="L109" s="27">
        <v>901.87789274192642</v>
      </c>
      <c r="M109" s="27">
        <v>13707.394892033712</v>
      </c>
      <c r="N109" s="27">
        <v>13777.235271977355</v>
      </c>
      <c r="O109" s="27">
        <v>13836.880194126847</v>
      </c>
      <c r="P109">
        <f t="shared" si="6"/>
        <v>106317.29050083317</v>
      </c>
      <c r="R109" s="18"/>
    </row>
    <row r="110" spans="1:18">
      <c r="A110" s="56">
        <f t="shared" si="5"/>
        <v>99</v>
      </c>
      <c r="B110" s="95">
        <v>9302</v>
      </c>
      <c r="C110" t="s">
        <v>337</v>
      </c>
      <c r="D110" s="11">
        <v>1544.42</v>
      </c>
      <c r="E110" s="11">
        <v>5824.42</v>
      </c>
      <c r="F110" s="11">
        <v>699.42</v>
      </c>
      <c r="G110" s="11">
        <v>1199.42</v>
      </c>
      <c r="H110" s="11">
        <v>2071.6999999999998</v>
      </c>
      <c r="I110" s="11">
        <v>4790.46</v>
      </c>
      <c r="J110" s="27">
        <v>3777.2566776907097</v>
      </c>
      <c r="K110" s="27">
        <v>441.85809102342802</v>
      </c>
      <c r="L110" s="27">
        <v>556.02807898315803</v>
      </c>
      <c r="M110" s="27">
        <v>2161.6060497142871</v>
      </c>
      <c r="N110" s="27">
        <v>1358.636130638575</v>
      </c>
      <c r="O110" s="27">
        <v>853.2082262608543</v>
      </c>
      <c r="P110">
        <f t="shared" si="6"/>
        <v>25278.433254311007</v>
      </c>
      <c r="R110" s="18"/>
    </row>
    <row r="111" spans="1:18">
      <c r="A111" s="56">
        <f t="shared" si="5"/>
        <v>100</v>
      </c>
      <c r="B111" s="95">
        <v>9310</v>
      </c>
      <c r="C111" t="s">
        <v>212</v>
      </c>
      <c r="D111" s="11">
        <f>0</f>
        <v>0</v>
      </c>
      <c r="E111" s="11">
        <f>0</f>
        <v>0</v>
      </c>
      <c r="F111" s="11">
        <f>0</f>
        <v>0</v>
      </c>
      <c r="G111" s="11">
        <f>0</f>
        <v>0</v>
      </c>
      <c r="H111" s="11">
        <f>0</f>
        <v>0</v>
      </c>
      <c r="I111" s="11">
        <f>0</f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>
        <f t="shared" si="6"/>
        <v>0</v>
      </c>
      <c r="R111" s="18"/>
    </row>
    <row r="112" spans="1:18">
      <c r="A112" s="56">
        <f t="shared" si="5"/>
        <v>101</v>
      </c>
      <c r="B112" s="95">
        <v>9320</v>
      </c>
      <c r="C112" t="s">
        <v>338</v>
      </c>
      <c r="D112" s="11">
        <f>0</f>
        <v>0</v>
      </c>
      <c r="E112" s="11">
        <f>0</f>
        <v>0</v>
      </c>
      <c r="F112" s="11">
        <f>0</f>
        <v>0</v>
      </c>
      <c r="G112" s="11">
        <f>0</f>
        <v>0</v>
      </c>
      <c r="H112" s="11">
        <f>0</f>
        <v>0</v>
      </c>
      <c r="I112" s="11">
        <f>0</f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>
        <f t="shared" si="6"/>
        <v>0</v>
      </c>
    </row>
    <row r="113" spans="1:17">
      <c r="A113" s="56">
        <f t="shared" si="5"/>
        <v>102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6"/>
    </row>
    <row r="114" spans="1:17" ht="15.75" thickBot="1">
      <c r="A114" s="56">
        <f t="shared" si="5"/>
        <v>103</v>
      </c>
      <c r="C114" t="s">
        <v>339</v>
      </c>
      <c r="D114" s="100">
        <f>SUM(D14:D113)</f>
        <v>-7192678.6299999934</v>
      </c>
      <c r="E114" s="100">
        <f t="shared" ref="E114:O114" si="7">SUM(E14:E113)</f>
        <v>-7363265.2799999984</v>
      </c>
      <c r="F114" s="100">
        <f t="shared" si="7"/>
        <v>-4806331.3500000034</v>
      </c>
      <c r="G114" s="100">
        <f t="shared" si="7"/>
        <v>-2007370.2299999977</v>
      </c>
      <c r="H114" s="100">
        <f t="shared" si="7"/>
        <v>-836921.92999999842</v>
      </c>
      <c r="I114" s="100">
        <f t="shared" si="7"/>
        <v>-1570671.1100000008</v>
      </c>
      <c r="J114" s="100">
        <f t="shared" si="7"/>
        <v>-394566.29617544037</v>
      </c>
      <c r="K114" s="100">
        <f t="shared" si="7"/>
        <v>-929124.60452568799</v>
      </c>
      <c r="L114" s="100">
        <f t="shared" si="7"/>
        <v>-910897.97488432506</v>
      </c>
      <c r="M114" s="100">
        <f t="shared" si="7"/>
        <v>-1571887.705279347</v>
      </c>
      <c r="N114" s="100">
        <f t="shared" si="7"/>
        <v>-3411927.3541250443</v>
      </c>
      <c r="O114" s="100">
        <f t="shared" si="7"/>
        <v>-4478824.894868088</v>
      </c>
      <c r="P114" s="100">
        <f>SUM(P12:P113)</f>
        <v>-29073156.773541901</v>
      </c>
      <c r="Q114" s="103"/>
    </row>
    <row r="115" spans="1:17" ht="15.75" thickTop="1"/>
    <row r="116" spans="1:17">
      <c r="C116" t="s">
        <v>340</v>
      </c>
    </row>
    <row r="117" spans="1:17">
      <c r="C117" s="125" t="s">
        <v>341</v>
      </c>
    </row>
    <row r="120" spans="1:17">
      <c r="B120" t="s">
        <v>342</v>
      </c>
      <c r="C120" s="125"/>
    </row>
    <row r="121" spans="1:17">
      <c r="B121" t="s">
        <v>411</v>
      </c>
      <c r="D121" s="54"/>
      <c r="E121" s="54"/>
      <c r="F121" s="54"/>
    </row>
    <row r="122" spans="1:17" ht="15.75" customHeight="1">
      <c r="B122" t="s">
        <v>413</v>
      </c>
    </row>
    <row r="123" spans="1:17">
      <c r="B123" t="s">
        <v>412</v>
      </c>
    </row>
    <row r="124" spans="1:17">
      <c r="B124" t="s">
        <v>343</v>
      </c>
    </row>
    <row r="127" spans="1:17">
      <c r="N127" s="125"/>
      <c r="O127" s="62"/>
    </row>
    <row r="128" spans="1:17">
      <c r="O128" s="62"/>
    </row>
    <row r="129" spans="4:16">
      <c r="O129" s="62"/>
    </row>
    <row r="130" spans="4:16">
      <c r="O130" s="62"/>
    </row>
    <row r="138" spans="4:16"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</row>
    <row r="142" spans="4:16">
      <c r="J142" s="106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75" header="0.25" footer="0.25"/>
  <pageSetup scale="47" fitToHeight="2" orientation="landscape" r:id="rId1"/>
  <headerFooter alignWithMargins="0">
    <oddHeader>&amp;RCASE NO. 2024-00276 
FR 16(8)(c)
ATTACHMENT 1</oddHeader>
    <oddFooter>&amp;RSchedule &amp;A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B0C39-86DC-45B2-B743-B704381AFC5D}">
  <sheetPr>
    <tabColor rgb="FF92D050"/>
  </sheetPr>
  <dimension ref="A1:Q67"/>
  <sheetViews>
    <sheetView view="pageBreakPreview" zoomScale="80" zoomScaleNormal="100" zoomScaleSheetLayoutView="80" workbookViewId="0">
      <selection sqref="A1:P1"/>
    </sheetView>
  </sheetViews>
  <sheetFormatPr defaultColWidth="7.109375" defaultRowHeight="15"/>
  <cols>
    <col min="1" max="1" width="4.6640625" customWidth="1"/>
    <col min="2" max="2" width="6.6640625" customWidth="1"/>
    <col min="3" max="3" width="38.88671875" customWidth="1"/>
    <col min="4" max="5" width="13.109375" bestFit="1" customWidth="1"/>
    <col min="6" max="6" width="11.44140625" customWidth="1"/>
    <col min="7" max="8" width="13.109375" bestFit="1" customWidth="1"/>
    <col min="9" max="9" width="11.5546875" bestFit="1" customWidth="1"/>
    <col min="10" max="10" width="11.6640625" customWidth="1"/>
    <col min="11" max="14" width="13.109375" bestFit="1" customWidth="1"/>
    <col min="15" max="15" width="12.44140625" customWidth="1"/>
    <col min="16" max="16" width="14.109375" bestFit="1" customWidth="1"/>
    <col min="17" max="17" width="12.5546875" bestFit="1" customWidth="1"/>
    <col min="18" max="18" width="12.5546875" customWidth="1"/>
    <col min="23" max="23" width="11.33203125" customWidth="1"/>
    <col min="24" max="24" width="12.5546875" customWidth="1"/>
  </cols>
  <sheetData>
    <row r="1" spans="1:16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75">
      <c r="A3" s="185" t="s">
        <v>344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>
      <c r="A4" s="185" t="s">
        <v>409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6">
      <c r="B5" s="60"/>
      <c r="C5" s="60"/>
      <c r="D5" s="60"/>
      <c r="E5" s="60"/>
      <c r="F5" s="60"/>
      <c r="G5" s="47"/>
      <c r="I5" s="60"/>
      <c r="J5" s="60"/>
      <c r="K5" s="60"/>
      <c r="L5" s="60"/>
      <c r="M5" s="60"/>
      <c r="N5" s="60"/>
      <c r="O5" s="60"/>
    </row>
    <row r="6" spans="1:16" ht="15.75">
      <c r="A6" s="61" t="str">
        <f>'C.2.2 B 09'!A6</f>
        <v>Data:___X____Base Period________Forecasted Period</v>
      </c>
      <c r="C6" s="61"/>
      <c r="H6" s="44"/>
      <c r="K6" s="88"/>
      <c r="N6" s="60"/>
      <c r="O6" s="60"/>
      <c r="P6" s="62" t="s">
        <v>240</v>
      </c>
    </row>
    <row r="7" spans="1:16">
      <c r="A7" s="61" t="str">
        <f>'C.2.2 B 09'!A7</f>
        <v>Type of Filing:___X____Original________Updated ________Revised</v>
      </c>
      <c r="C7" s="61"/>
      <c r="P7" s="63" t="s">
        <v>241</v>
      </c>
    </row>
    <row r="8" spans="1:16">
      <c r="A8" s="61" t="str">
        <f>'C.2.2 B 09'!A8</f>
        <v>Workpaper Reference No(s).____________________</v>
      </c>
      <c r="B8" s="58"/>
      <c r="C8" s="8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58"/>
      <c r="P8" s="66" t="str">
        <f>'C.1'!J9</f>
        <v>Witness: Waller, Wiebe, Troup</v>
      </c>
    </row>
    <row r="9" spans="1:16">
      <c r="A9" s="107" t="s">
        <v>22</v>
      </c>
      <c r="B9" s="92" t="s">
        <v>242</v>
      </c>
      <c r="C9" s="108"/>
      <c r="D9" s="68" t="str">
        <f>'C.2.2 B 09'!D9</f>
        <v>actual</v>
      </c>
      <c r="E9" s="68" t="str">
        <f>'C.2.2 B 09'!F9</f>
        <v>actual</v>
      </c>
      <c r="F9" s="68" t="str">
        <f>'C.2.2 B 09'!F9</f>
        <v>actual</v>
      </c>
      <c r="G9" s="68" t="str">
        <f>'C.2.2 B 09'!G9</f>
        <v>actual</v>
      </c>
      <c r="H9" s="68" t="str">
        <f>'C.2.2 B 09'!H9</f>
        <v>actual</v>
      </c>
      <c r="I9" s="68" t="str">
        <f>'C.2.2 B 09'!I9</f>
        <v>actual</v>
      </c>
      <c r="J9" s="68" t="str">
        <f>'C.2.2 B 09'!J9</f>
        <v>Budgeted</v>
      </c>
      <c r="K9" s="68" t="str">
        <f>'C.2.2 B 09'!K9</f>
        <v>Budgeted</v>
      </c>
      <c r="L9" s="68" t="str">
        <f>'C.2.2 B 09'!L9</f>
        <v>Budgeted</v>
      </c>
      <c r="M9" s="68" t="str">
        <f>'C.2.2 B 09'!M9</f>
        <v>Budgeted</v>
      </c>
      <c r="N9" s="68" t="str">
        <f>'C.2.2 B 09'!N9</f>
        <v>Budgeted</v>
      </c>
      <c r="O9" s="68" t="str">
        <f>'C.2.2 B 09'!O9</f>
        <v>Budgeted</v>
      </c>
      <c r="P9" s="75"/>
    </row>
    <row r="10" spans="1:16">
      <c r="A10" s="110" t="s">
        <v>25</v>
      </c>
      <c r="B10" s="57" t="s">
        <v>25</v>
      </c>
      <c r="C10" s="111" t="s">
        <v>245</v>
      </c>
      <c r="D10" s="76">
        <f>'C.2.2 B 09'!D10</f>
        <v>45292</v>
      </c>
      <c r="E10" s="76">
        <f>'C.2.2 B 09'!F10</f>
        <v>45352</v>
      </c>
      <c r="F10" s="76">
        <f>'C.2.2 B 09'!F10</f>
        <v>45352</v>
      </c>
      <c r="G10" s="76">
        <f>'C.2.2 B 09'!G10</f>
        <v>45383</v>
      </c>
      <c r="H10" s="76">
        <f>'C.2.2 B 09'!H10</f>
        <v>45413</v>
      </c>
      <c r="I10" s="76">
        <f>'C.2.2 B 09'!I10</f>
        <v>45444</v>
      </c>
      <c r="J10" s="76">
        <f>'C.2.2 B 09'!J10</f>
        <v>45474</v>
      </c>
      <c r="K10" s="76">
        <f>'C.2.2 B 09'!K10</f>
        <v>45505</v>
      </c>
      <c r="L10" s="76">
        <f>'C.2.2 B 09'!L10</f>
        <v>45536</v>
      </c>
      <c r="M10" s="76">
        <f>'C.2.2 B 09'!M10</f>
        <v>45566</v>
      </c>
      <c r="N10" s="76">
        <f>'C.2.2 B 09'!N10</f>
        <v>45597</v>
      </c>
      <c r="O10" s="76">
        <f>'C.2.2 B 09'!O10</f>
        <v>45627</v>
      </c>
      <c r="P10" s="76" t="str">
        <f>'C.2.2 B 09'!P10</f>
        <v>Total</v>
      </c>
    </row>
    <row r="11" spans="1:16">
      <c r="D11" s="77" t="s">
        <v>247</v>
      </c>
      <c r="E11" s="77" t="s">
        <v>247</v>
      </c>
      <c r="F11" s="77" t="s">
        <v>247</v>
      </c>
      <c r="G11" s="77" t="s">
        <v>247</v>
      </c>
      <c r="H11" s="77" t="s">
        <v>247</v>
      </c>
      <c r="I11" s="77" t="s">
        <v>247</v>
      </c>
      <c r="J11" s="77" t="s">
        <v>247</v>
      </c>
      <c r="K11" s="77" t="s">
        <v>247</v>
      </c>
      <c r="L11" s="77" t="s">
        <v>247</v>
      </c>
      <c r="M11" s="77" t="s">
        <v>247</v>
      </c>
      <c r="N11" s="77" t="s">
        <v>247</v>
      </c>
      <c r="O11" s="77" t="s">
        <v>247</v>
      </c>
      <c r="P11" s="77" t="s">
        <v>247</v>
      </c>
    </row>
    <row r="12" spans="1:16">
      <c r="A12" s="56">
        <v>1</v>
      </c>
      <c r="B12" s="95">
        <v>4030</v>
      </c>
      <c r="C12" t="s">
        <v>71</v>
      </c>
      <c r="D12" s="11">
        <v>-15465.670000000318</v>
      </c>
      <c r="E12" s="11">
        <v>-15465.669999999795</v>
      </c>
      <c r="F12" s="11">
        <v>-15465.670000000067</v>
      </c>
      <c r="G12" s="11">
        <v>-15465.670000000089</v>
      </c>
      <c r="H12" s="11">
        <v>-15465.669999999987</v>
      </c>
      <c r="I12" s="11">
        <v>-15465.66999999978</v>
      </c>
      <c r="J12" s="11">
        <f>0</f>
        <v>0</v>
      </c>
      <c r="K12" s="11">
        <f>0</f>
        <v>0</v>
      </c>
      <c r="L12" s="11">
        <f>0</f>
        <v>0</v>
      </c>
      <c r="M12" s="11">
        <f>0</f>
        <v>0</v>
      </c>
      <c r="N12" s="11">
        <f>0</f>
        <v>0</v>
      </c>
      <c r="O12" s="11">
        <f>0</f>
        <v>0</v>
      </c>
      <c r="P12">
        <f>SUM(D12:O12)</f>
        <v>-92794.020000000033</v>
      </c>
    </row>
    <row r="13" spans="1:16">
      <c r="A13" s="56">
        <f>A12+1</f>
        <v>2</v>
      </c>
      <c r="B13" s="95">
        <v>4081</v>
      </c>
      <c r="C13" t="s">
        <v>250</v>
      </c>
      <c r="D13" s="11">
        <v>-2.5545432436047122E-10</v>
      </c>
      <c r="E13" s="11">
        <v>-1.716671249596402E-10</v>
      </c>
      <c r="F13" s="11">
        <v>5.4569682106375694E-11</v>
      </c>
      <c r="G13" s="11">
        <v>9.9999999528108674E-3</v>
      </c>
      <c r="H13" s="11">
        <v>-2.5238477974198759E-10</v>
      </c>
      <c r="I13" s="11">
        <v>9.9999999929991645E-3</v>
      </c>
      <c r="J13" s="11">
        <f>0</f>
        <v>0</v>
      </c>
      <c r="K13" s="11">
        <f>0</f>
        <v>0</v>
      </c>
      <c r="L13" s="11">
        <f>0</f>
        <v>0</v>
      </c>
      <c r="M13" s="11">
        <f>0</f>
        <v>0</v>
      </c>
      <c r="N13" s="11">
        <f>0</f>
        <v>0</v>
      </c>
      <c r="O13" s="11">
        <f>0</f>
        <v>0</v>
      </c>
      <c r="P13">
        <f>SUM(D13:O13)</f>
        <v>1.9999999320873485E-2</v>
      </c>
    </row>
    <row r="14" spans="1:16">
      <c r="A14" s="56">
        <f t="shared" ref="A14" si="0">A13+1</f>
        <v>3</v>
      </c>
      <c r="B14" s="95">
        <v>8210</v>
      </c>
      <c r="C14" t="s">
        <v>283</v>
      </c>
      <c r="D14" s="11">
        <f>0</f>
        <v>0</v>
      </c>
      <c r="E14" s="11">
        <f>0</f>
        <v>0</v>
      </c>
      <c r="F14" s="11">
        <f>0</f>
        <v>0</v>
      </c>
      <c r="G14" s="11">
        <f>0</f>
        <v>0</v>
      </c>
      <c r="H14" s="11">
        <f>0</f>
        <v>0</v>
      </c>
      <c r="I14" s="11">
        <f>0</f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>
        <f>SUM(D14:O14)</f>
        <v>0</v>
      </c>
    </row>
    <row r="15" spans="1:16">
      <c r="A15" s="56">
        <f>A14+1</f>
        <v>4</v>
      </c>
      <c r="B15" s="95">
        <v>8700</v>
      </c>
      <c r="C15" t="s">
        <v>297</v>
      </c>
      <c r="D15" s="11">
        <v>736.98999999999978</v>
      </c>
      <c r="E15" s="11">
        <v>577.99</v>
      </c>
      <c r="F15" s="11">
        <v>2913.75</v>
      </c>
      <c r="G15" s="11">
        <v>3146.7299999999996</v>
      </c>
      <c r="H15" s="11">
        <v>1202.1300000000001</v>
      </c>
      <c r="I15" s="11">
        <v>125.11</v>
      </c>
      <c r="J15" s="11">
        <v>3827.691037321576</v>
      </c>
      <c r="K15" s="11">
        <v>3793.1528364182968</v>
      </c>
      <c r="L15" s="11">
        <v>4112.5533763410858</v>
      </c>
      <c r="M15" s="11">
        <v>1248.4964086157509</v>
      </c>
      <c r="N15" s="11">
        <v>1168.2203456312932</v>
      </c>
      <c r="O15" s="11">
        <v>1258.084631656837</v>
      </c>
      <c r="P15">
        <f t="shared" ref="P15:P42" si="1">SUM(D15:O15)</f>
        <v>24110.898635984842</v>
      </c>
    </row>
    <row r="16" spans="1:16">
      <c r="A16" s="56">
        <f t="shared" ref="A16:A47" si="2">A15+1</f>
        <v>5</v>
      </c>
      <c r="B16" s="95">
        <v>8520</v>
      </c>
      <c r="C16" t="s">
        <v>134</v>
      </c>
      <c r="D16" s="11">
        <v>3864.17</v>
      </c>
      <c r="E16" s="11">
        <v>14233.84</v>
      </c>
      <c r="F16" s="11">
        <v>3112.23</v>
      </c>
      <c r="G16" s="11">
        <v>1040.32</v>
      </c>
      <c r="H16" s="11">
        <v>16645.3</v>
      </c>
      <c r="I16" s="11">
        <v>11489.47</v>
      </c>
      <c r="J16" s="11">
        <v>10743.032307657018</v>
      </c>
      <c r="K16" s="11">
        <v>10746.124515872205</v>
      </c>
      <c r="L16" s="11">
        <v>11486.067082850348</v>
      </c>
      <c r="M16" s="11">
        <v>8234.3843068440947</v>
      </c>
      <c r="N16" s="11">
        <v>7997.7364879978277</v>
      </c>
      <c r="O16" s="11">
        <v>8033.6926245965196</v>
      </c>
      <c r="P16">
        <f t="shared" si="1"/>
        <v>107626.36732581801</v>
      </c>
    </row>
    <row r="17" spans="1:16">
      <c r="A17" s="56">
        <f t="shared" si="2"/>
        <v>6</v>
      </c>
      <c r="B17" s="95">
        <v>8560</v>
      </c>
      <c r="C17" t="s">
        <v>345</v>
      </c>
      <c r="D17" s="11">
        <v>3779.4</v>
      </c>
      <c r="E17" s="11">
        <v>127.97</v>
      </c>
      <c r="F17" s="11">
        <v>25843.29</v>
      </c>
      <c r="G17" s="11">
        <v>283.86</v>
      </c>
      <c r="H17" s="11">
        <v>21427.119999999999</v>
      </c>
      <c r="I17" s="11">
        <v>-21427.119999999999</v>
      </c>
      <c r="J17" s="11">
        <v>6668.0176361357144</v>
      </c>
      <c r="K17" s="11">
        <v>6652.3880711180418</v>
      </c>
      <c r="L17" s="11">
        <v>6618.8196159278514</v>
      </c>
      <c r="M17" s="11">
        <v>5475.3341146558632</v>
      </c>
      <c r="N17" s="11">
        <v>5388.916279324133</v>
      </c>
      <c r="O17" s="11">
        <v>6028.5552307142561</v>
      </c>
      <c r="P17">
        <f t="shared" si="1"/>
        <v>66866.550947875861</v>
      </c>
    </row>
    <row r="18" spans="1:16">
      <c r="A18" s="56">
        <f t="shared" si="2"/>
        <v>7</v>
      </c>
      <c r="B18" s="95">
        <v>8740</v>
      </c>
      <c r="C18" t="s">
        <v>301</v>
      </c>
      <c r="D18" s="11">
        <v>22890.959999999999</v>
      </c>
      <c r="E18" s="11">
        <v>28089.940000000002</v>
      </c>
      <c r="F18" s="11">
        <v>14059.929999999998</v>
      </c>
      <c r="G18" s="11">
        <v>4412.3700000000026</v>
      </c>
      <c r="H18" s="11">
        <v>14987.11</v>
      </c>
      <c r="I18" s="11">
        <v>10745.23</v>
      </c>
      <c r="J18" s="11">
        <v>23240.867540737985</v>
      </c>
      <c r="K18" s="11">
        <v>23135.35914846231</v>
      </c>
      <c r="L18" s="11">
        <v>24339.004030155505</v>
      </c>
      <c r="M18" s="11">
        <v>19598.956585229491</v>
      </c>
      <c r="N18" s="11">
        <v>19398.878048674138</v>
      </c>
      <c r="O18" s="11">
        <v>23288.392206628232</v>
      </c>
      <c r="P18">
        <f t="shared" si="1"/>
        <v>228186.99755988768</v>
      </c>
    </row>
    <row r="19" spans="1:16">
      <c r="A19" s="56">
        <f t="shared" si="2"/>
        <v>8</v>
      </c>
      <c r="B19" s="95">
        <v>8780</v>
      </c>
      <c r="C19" t="s">
        <v>305</v>
      </c>
      <c r="D19" s="11">
        <f>0</f>
        <v>0</v>
      </c>
      <c r="E19" s="11">
        <f>0</f>
        <v>0</v>
      </c>
      <c r="F19" s="11">
        <f>0</f>
        <v>0</v>
      </c>
      <c r="G19" s="11">
        <f>0</f>
        <v>0</v>
      </c>
      <c r="H19" s="11">
        <f>0</f>
        <v>0</v>
      </c>
      <c r="I19" s="11">
        <f>0</f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>
        <f t="shared" si="1"/>
        <v>0</v>
      </c>
    </row>
    <row r="20" spans="1:16">
      <c r="A20" s="56">
        <f t="shared" si="2"/>
        <v>9</v>
      </c>
      <c r="B20" s="95">
        <v>8800</v>
      </c>
      <c r="C20" t="s">
        <v>307</v>
      </c>
      <c r="D20" s="11">
        <v>21095.919999999998</v>
      </c>
      <c r="E20" s="11">
        <v>11796.57</v>
      </c>
      <c r="F20" s="11">
        <v>1611.75</v>
      </c>
      <c r="G20" s="11">
        <v>11142.72</v>
      </c>
      <c r="H20" s="11">
        <v>23784.230000000003</v>
      </c>
      <c r="I20" s="11">
        <v>54918.53</v>
      </c>
      <c r="J20" s="11">
        <v>38804.315037939239</v>
      </c>
      <c r="K20" s="11">
        <v>38430.193712212516</v>
      </c>
      <c r="L20" s="11">
        <v>43730.56743345713</v>
      </c>
      <c r="M20" s="11">
        <v>16733.346843018175</v>
      </c>
      <c r="N20" s="11">
        <v>16147.204838278731</v>
      </c>
      <c r="O20" s="11">
        <v>15420.887132840589</v>
      </c>
      <c r="P20">
        <f t="shared" si="1"/>
        <v>293616.23499774636</v>
      </c>
    </row>
    <row r="21" spans="1:16">
      <c r="A21" s="56">
        <f t="shared" si="2"/>
        <v>10</v>
      </c>
      <c r="B21" s="95">
        <v>8810</v>
      </c>
      <c r="C21" t="s">
        <v>308</v>
      </c>
      <c r="D21" s="11">
        <v>-2444.77</v>
      </c>
      <c r="E21" s="11">
        <v>-2735.27</v>
      </c>
      <c r="F21" s="11">
        <v>-2444.77</v>
      </c>
      <c r="G21" s="11">
        <v>-713.48</v>
      </c>
      <c r="H21" s="11">
        <v>64635.81</v>
      </c>
      <c r="I21" s="11">
        <v>290.5</v>
      </c>
      <c r="J21" s="11">
        <v>8673.6239349648313</v>
      </c>
      <c r="K21" s="11">
        <v>8673.5925349578265</v>
      </c>
      <c r="L21" s="11">
        <v>9059.4044210270913</v>
      </c>
      <c r="M21" s="11">
        <v>8854.378075288565</v>
      </c>
      <c r="N21" s="11">
        <v>8776.2108978505548</v>
      </c>
      <c r="O21" s="11">
        <v>8968.6395607787144</v>
      </c>
      <c r="P21">
        <f t="shared" si="1"/>
        <v>109593.86942486759</v>
      </c>
    </row>
    <row r="22" spans="1:16">
      <c r="A22" s="56">
        <f t="shared" si="2"/>
        <v>11</v>
      </c>
      <c r="B22" s="95">
        <v>8850</v>
      </c>
      <c r="C22" t="s">
        <v>309</v>
      </c>
      <c r="D22" s="11">
        <f>0</f>
        <v>0</v>
      </c>
      <c r="E22" s="11">
        <f>0</f>
        <v>0</v>
      </c>
      <c r="F22" s="11">
        <f>0</f>
        <v>0</v>
      </c>
      <c r="G22" s="11">
        <f>0</f>
        <v>0</v>
      </c>
      <c r="H22" s="11">
        <f>0</f>
        <v>0</v>
      </c>
      <c r="I22" s="11">
        <f>0</f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>
        <f t="shared" si="1"/>
        <v>0</v>
      </c>
    </row>
    <row r="23" spans="1:16">
      <c r="A23" s="56">
        <f t="shared" si="2"/>
        <v>12</v>
      </c>
      <c r="B23" s="95">
        <v>8900</v>
      </c>
      <c r="C23" t="s">
        <v>313</v>
      </c>
      <c r="D23" s="11">
        <f>0</f>
        <v>0</v>
      </c>
      <c r="E23" s="11">
        <f>0</f>
        <v>0</v>
      </c>
      <c r="F23" s="11">
        <f>0</f>
        <v>0</v>
      </c>
      <c r="G23" s="11">
        <f>0</f>
        <v>0</v>
      </c>
      <c r="H23" s="11">
        <f>0</f>
        <v>0</v>
      </c>
      <c r="I23" s="11">
        <f>0</f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>
        <f t="shared" si="1"/>
        <v>0</v>
      </c>
    </row>
    <row r="24" spans="1:16">
      <c r="A24" s="56">
        <f t="shared" si="2"/>
        <v>13</v>
      </c>
      <c r="B24" s="95">
        <v>9010</v>
      </c>
      <c r="C24" t="s">
        <v>318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-68.633679147690373</v>
      </c>
      <c r="K24" s="11">
        <v>-55.075525647498921</v>
      </c>
      <c r="L24" s="11">
        <v>-8.5980592891780816</v>
      </c>
      <c r="M24" s="11">
        <v>-161.01523428958922</v>
      </c>
      <c r="N24" s="11">
        <v>-173.11736160570013</v>
      </c>
      <c r="O24" s="11">
        <v>-284.51452836331214</v>
      </c>
      <c r="P24">
        <f t="shared" si="1"/>
        <v>-750.95438834296885</v>
      </c>
    </row>
    <row r="25" spans="1:16">
      <c r="A25" s="56">
        <f t="shared" si="2"/>
        <v>14</v>
      </c>
      <c r="B25" s="95">
        <v>9020</v>
      </c>
      <c r="C25" t="s">
        <v>319</v>
      </c>
      <c r="D25" s="11">
        <v>16484.63</v>
      </c>
      <c r="E25" s="11">
        <v>7956.9300000000012</v>
      </c>
      <c r="F25" s="11">
        <v>10971.410000000002</v>
      </c>
      <c r="G25" s="11">
        <v>8677.1899999999987</v>
      </c>
      <c r="H25" s="11">
        <v>10685.679999999998</v>
      </c>
      <c r="I25" s="11">
        <v>12176.06</v>
      </c>
      <c r="J25" s="11">
        <v>14234.626984282571</v>
      </c>
      <c r="K25" s="11">
        <v>13437.79148782304</v>
      </c>
      <c r="L25" s="11">
        <v>12933.873372751023</v>
      </c>
      <c r="M25" s="11">
        <v>14304.170492190966</v>
      </c>
      <c r="N25" s="11">
        <v>13143.616733425391</v>
      </c>
      <c r="O25" s="11">
        <v>13824.270516126146</v>
      </c>
      <c r="P25">
        <f t="shared" si="1"/>
        <v>148830.24958659915</v>
      </c>
    </row>
    <row r="26" spans="1:16">
      <c r="A26" s="56">
        <f t="shared" si="2"/>
        <v>15</v>
      </c>
      <c r="B26" s="95">
        <v>9030</v>
      </c>
      <c r="C26" t="s">
        <v>320</v>
      </c>
      <c r="D26" s="11">
        <v>35979.129999999997</v>
      </c>
      <c r="E26" s="11">
        <v>37898.959999999992</v>
      </c>
      <c r="F26" s="11">
        <v>40029.939999999995</v>
      </c>
      <c r="G26" s="11">
        <v>43255.199999999997</v>
      </c>
      <c r="H26" s="11">
        <v>46287.7</v>
      </c>
      <c r="I26" s="11">
        <v>38621.89</v>
      </c>
      <c r="J26" s="11">
        <v>45388.641479180224</v>
      </c>
      <c r="K26" s="11">
        <v>43072.878842820995</v>
      </c>
      <c r="L26" s="11">
        <v>48441.499590688501</v>
      </c>
      <c r="M26" s="11">
        <v>51830.481641124505</v>
      </c>
      <c r="N26" s="11">
        <v>42763.63978853116</v>
      </c>
      <c r="O26" s="11">
        <v>44285.385445073858</v>
      </c>
      <c r="P26">
        <f t="shared" si="1"/>
        <v>517855.34678741929</v>
      </c>
    </row>
    <row r="27" spans="1:16">
      <c r="A27" s="56">
        <f t="shared" si="2"/>
        <v>16</v>
      </c>
      <c r="B27" s="95">
        <v>9040</v>
      </c>
      <c r="C27" t="s">
        <v>321</v>
      </c>
      <c r="D27" s="11">
        <f>0</f>
        <v>0</v>
      </c>
      <c r="E27" s="11">
        <f>0</f>
        <v>0</v>
      </c>
      <c r="F27" s="11">
        <f>0</f>
        <v>0</v>
      </c>
      <c r="G27" s="11">
        <f>0</f>
        <v>0</v>
      </c>
      <c r="H27" s="11">
        <f>0</f>
        <v>0</v>
      </c>
      <c r="I27" s="11">
        <f>0</f>
        <v>0</v>
      </c>
      <c r="J27" s="11">
        <v>1488509.73</v>
      </c>
      <c r="K27" s="11">
        <v>1488509.73</v>
      </c>
      <c r="L27" s="11">
        <v>1488509.73</v>
      </c>
      <c r="M27" s="11">
        <v>0</v>
      </c>
      <c r="N27" s="11">
        <v>0</v>
      </c>
      <c r="O27" s="11">
        <v>0</v>
      </c>
      <c r="P27">
        <f t="shared" si="1"/>
        <v>4465529.1899999995</v>
      </c>
    </row>
    <row r="28" spans="1:16">
      <c r="A28" s="56">
        <f t="shared" si="2"/>
        <v>17</v>
      </c>
      <c r="B28" s="95">
        <v>9100</v>
      </c>
      <c r="C28" t="s">
        <v>323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>
        <f t="shared" si="1"/>
        <v>0</v>
      </c>
    </row>
    <row r="29" spans="1:16">
      <c r="A29" s="56">
        <f t="shared" si="2"/>
        <v>18</v>
      </c>
      <c r="B29" s="95">
        <v>9120</v>
      </c>
      <c r="C29" t="s">
        <v>325</v>
      </c>
      <c r="D29" s="11">
        <v>10943.41</v>
      </c>
      <c r="E29" s="11">
        <v>10943.41</v>
      </c>
      <c r="F29" s="11">
        <v>13518.76</v>
      </c>
      <c r="G29" s="11">
        <v>6248.65</v>
      </c>
      <c r="H29" s="11">
        <v>10943.41</v>
      </c>
      <c r="I29" s="11">
        <v>13011.13</v>
      </c>
      <c r="J29" s="11">
        <v>89785.058741535438</v>
      </c>
      <c r="K29" s="11">
        <v>90162.397787110298</v>
      </c>
      <c r="L29" s="11">
        <v>91569.117749013356</v>
      </c>
      <c r="M29" s="11">
        <v>9740.3785631055453</v>
      </c>
      <c r="N29" s="11">
        <v>6419.7949620468362</v>
      </c>
      <c r="O29" s="11">
        <v>12834.558736819343</v>
      </c>
      <c r="P29">
        <f t="shared" si="1"/>
        <v>366120.07653963083</v>
      </c>
    </row>
    <row r="30" spans="1:16">
      <c r="A30" s="56">
        <f t="shared" si="2"/>
        <v>19</v>
      </c>
      <c r="B30" s="95">
        <v>9130</v>
      </c>
      <c r="C30" t="s">
        <v>346</v>
      </c>
      <c r="D30" s="11">
        <v>0</v>
      </c>
      <c r="E30" s="11">
        <v>0</v>
      </c>
      <c r="F30" s="11">
        <v>0</v>
      </c>
      <c r="G30" s="11">
        <v>0</v>
      </c>
      <c r="H30" s="11">
        <v>3027.66</v>
      </c>
      <c r="I30" s="11">
        <v>0</v>
      </c>
      <c r="J30" s="11">
        <v>977.83992544274406</v>
      </c>
      <c r="K30" s="11">
        <v>973.35506301384214</v>
      </c>
      <c r="L30" s="11">
        <v>1061.6015482297814</v>
      </c>
      <c r="M30" s="11">
        <v>384.95307674491414</v>
      </c>
      <c r="N30" s="11">
        <v>388.6617435602347</v>
      </c>
      <c r="O30" s="11">
        <v>364.43564200917052</v>
      </c>
      <c r="P30">
        <f t="shared" si="1"/>
        <v>7178.5069990006878</v>
      </c>
    </row>
    <row r="31" spans="1:16">
      <c r="A31" s="56">
        <f t="shared" si="2"/>
        <v>20</v>
      </c>
      <c r="B31" s="95">
        <v>9160</v>
      </c>
      <c r="C31" t="s">
        <v>327</v>
      </c>
      <c r="D31" s="11">
        <f>0</f>
        <v>0</v>
      </c>
      <c r="E31" s="11">
        <f>0</f>
        <v>0</v>
      </c>
      <c r="F31" s="11">
        <f>0</f>
        <v>0</v>
      </c>
      <c r="G31" s="11">
        <f>0</f>
        <v>0</v>
      </c>
      <c r="H31" s="11">
        <f>0</f>
        <v>0</v>
      </c>
      <c r="I31" s="11">
        <f>0</f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>
        <f t="shared" si="1"/>
        <v>0</v>
      </c>
    </row>
    <row r="32" spans="1:16">
      <c r="A32" s="56">
        <f t="shared" si="2"/>
        <v>21</v>
      </c>
      <c r="B32" s="95">
        <v>9200</v>
      </c>
      <c r="C32" t="s">
        <v>328</v>
      </c>
      <c r="D32" s="11">
        <v>-3648234.59</v>
      </c>
      <c r="E32" s="11">
        <v>-4393070.2799999984</v>
      </c>
      <c r="F32" s="11">
        <v>-3932316.1999999983</v>
      </c>
      <c r="G32" s="11">
        <v>-3531607.7600000021</v>
      </c>
      <c r="H32" s="11">
        <v>-3661275.6199999964</v>
      </c>
      <c r="I32" s="11">
        <v>-10063607.990000002</v>
      </c>
      <c r="J32" s="11">
        <v>-3892474.0901852674</v>
      </c>
      <c r="K32" s="11">
        <v>-2297766.6245849724</v>
      </c>
      <c r="L32" s="11">
        <v>-2624979.4925140324</v>
      </c>
      <c r="M32" s="11">
        <v>-3161135.8917140951</v>
      </c>
      <c r="N32" s="11">
        <v>-4143748.5512470291</v>
      </c>
      <c r="O32" s="11">
        <v>-3834805.2933778134</v>
      </c>
      <c r="P32">
        <f t="shared" si="1"/>
        <v>-49185022.383623205</v>
      </c>
    </row>
    <row r="33" spans="1:17">
      <c r="A33" s="56">
        <f t="shared" si="2"/>
        <v>22</v>
      </c>
      <c r="B33" s="95">
        <v>9210</v>
      </c>
      <c r="C33" t="s">
        <v>329</v>
      </c>
      <c r="D33" s="11">
        <v>4067102.1200000006</v>
      </c>
      <c r="E33" s="11">
        <v>3851891.5200000005</v>
      </c>
      <c r="F33" s="11">
        <v>3738665.18</v>
      </c>
      <c r="G33" s="11">
        <v>4077435.63</v>
      </c>
      <c r="H33" s="11">
        <v>4073809.2</v>
      </c>
      <c r="I33" s="11">
        <v>4244110.47</v>
      </c>
      <c r="J33" s="11">
        <v>5455488.0234697582</v>
      </c>
      <c r="K33" s="11">
        <v>5337952.7985181091</v>
      </c>
      <c r="L33" s="11">
        <v>5703986.8785327813</v>
      </c>
      <c r="M33" s="11">
        <v>4246588.6300230334</v>
      </c>
      <c r="N33" s="11">
        <v>4051579.8511325931</v>
      </c>
      <c r="O33" s="11">
        <v>4318073.6968942955</v>
      </c>
      <c r="P33">
        <f t="shared" si="1"/>
        <v>53166683.998570569</v>
      </c>
    </row>
    <row r="34" spans="1:17">
      <c r="A34" s="56">
        <f t="shared" si="2"/>
        <v>23</v>
      </c>
      <c r="B34" s="95">
        <v>9220</v>
      </c>
      <c r="C34" t="s">
        <v>330</v>
      </c>
      <c r="D34" s="11">
        <v>-11567346.989999996</v>
      </c>
      <c r="E34" s="11">
        <v>-8838143.8199999984</v>
      </c>
      <c r="F34" s="11">
        <v>-10708455.929999998</v>
      </c>
      <c r="G34" s="11">
        <v>-10320165.189999998</v>
      </c>
      <c r="H34" s="11">
        <v>-22798022.760000002</v>
      </c>
      <c r="I34" s="11">
        <v>-3264226.0199999991</v>
      </c>
      <c r="J34" s="120">
        <f>-(SUM(J12:J33,J35:J42))</f>
        <v>-19472281.630000006</v>
      </c>
      <c r="K34" s="120">
        <f t="shared" ref="K34:O34" si="3">-(SUM(K12:K33,K35:K42))</f>
        <v>-16319007.429999998</v>
      </c>
      <c r="L34" s="120">
        <f t="shared" si="3"/>
        <v>-17374781.259999998</v>
      </c>
      <c r="M34" s="120">
        <f t="shared" si="3"/>
        <v>-13171166.402942495</v>
      </c>
      <c r="N34" s="120">
        <f t="shared" si="3"/>
        <v>-11632019.894029098</v>
      </c>
      <c r="O34" s="120">
        <f t="shared" si="3"/>
        <v>-12208845.578612056</v>
      </c>
      <c r="P34">
        <f t="shared" si="1"/>
        <v>-157674462.90558365</v>
      </c>
    </row>
    <row r="35" spans="1:17">
      <c r="A35" s="56">
        <f t="shared" si="2"/>
        <v>24</v>
      </c>
      <c r="B35" s="95">
        <v>9230</v>
      </c>
      <c r="C35" t="s">
        <v>331</v>
      </c>
      <c r="D35" s="11">
        <v>1811008.6700000006</v>
      </c>
      <c r="E35" s="11">
        <v>2683363.4099999997</v>
      </c>
      <c r="F35" s="11">
        <v>169560.02000000002</v>
      </c>
      <c r="G35" s="11">
        <v>2119420.7600000002</v>
      </c>
      <c r="H35" s="11">
        <v>1429956.42</v>
      </c>
      <c r="I35" s="11">
        <v>2133366.5200000005</v>
      </c>
      <c r="J35" s="11">
        <v>3648600.6148832953</v>
      </c>
      <c r="K35" s="11">
        <v>3665165.027685795</v>
      </c>
      <c r="L35" s="11">
        <v>4014825.5919014025</v>
      </c>
      <c r="M35" s="11">
        <v>1255448.2218415176</v>
      </c>
      <c r="N35" s="11">
        <v>1253090.3947242908</v>
      </c>
      <c r="O35" s="11">
        <v>1160319.9210477939</v>
      </c>
      <c r="P35">
        <f t="shared" si="1"/>
        <v>25344125.572084099</v>
      </c>
    </row>
    <row r="36" spans="1:17">
      <c r="A36" s="56">
        <f t="shared" si="2"/>
        <v>25</v>
      </c>
      <c r="B36" s="95">
        <v>9240</v>
      </c>
      <c r="C36" t="s">
        <v>332</v>
      </c>
      <c r="D36" s="11">
        <v>10483.68</v>
      </c>
      <c r="E36" s="11">
        <v>10483.68</v>
      </c>
      <c r="F36" s="11">
        <v>11290.67</v>
      </c>
      <c r="G36" s="11">
        <v>11290.67</v>
      </c>
      <c r="H36" s="11">
        <v>11290.67</v>
      </c>
      <c r="I36" s="11">
        <v>11290.67</v>
      </c>
      <c r="J36" s="11">
        <v>8920.6369233910118</v>
      </c>
      <c r="K36" s="11">
        <v>8963.0627378960671</v>
      </c>
      <c r="L36" s="11">
        <v>8920.6369233910118</v>
      </c>
      <c r="M36" s="11">
        <v>11190.481094468694</v>
      </c>
      <c r="N36" s="11">
        <v>11251.496367394653</v>
      </c>
      <c r="O36" s="11">
        <v>11251.496367394653</v>
      </c>
      <c r="P36">
        <f t="shared" si="1"/>
        <v>126627.85041393606</v>
      </c>
    </row>
    <row r="37" spans="1:17">
      <c r="A37" s="56">
        <f t="shared" si="2"/>
        <v>26</v>
      </c>
      <c r="B37" s="95">
        <v>9250</v>
      </c>
      <c r="C37" t="s">
        <v>333</v>
      </c>
      <c r="D37" s="11">
        <v>4498330.75</v>
      </c>
      <c r="E37" s="11">
        <v>8498263.4400000013</v>
      </c>
      <c r="F37" s="11">
        <v>4481042.53</v>
      </c>
      <c r="G37" s="11">
        <v>4499438.9300000006</v>
      </c>
      <c r="H37" s="11">
        <v>4499395.0100000007</v>
      </c>
      <c r="I37" s="11">
        <v>4992750.07</v>
      </c>
      <c r="J37" s="11">
        <v>4251729.1500271289</v>
      </c>
      <c r="K37" s="11">
        <v>4271308.5039389497</v>
      </c>
      <c r="L37" s="11">
        <v>4250743.3935639579</v>
      </c>
      <c r="M37" s="11">
        <v>5330481.1918999515</v>
      </c>
      <c r="N37" s="11">
        <v>5358604.666890623</v>
      </c>
      <c r="O37" s="11">
        <v>5359120.8443442369</v>
      </c>
      <c r="P37">
        <f t="shared" si="1"/>
        <v>60291208.480664842</v>
      </c>
    </row>
    <row r="38" spans="1:17">
      <c r="A38" s="56">
        <f t="shared" si="2"/>
        <v>27</v>
      </c>
      <c r="B38" s="95">
        <v>9260</v>
      </c>
      <c r="C38" t="s">
        <v>334</v>
      </c>
      <c r="D38" s="11">
        <v>3226661.5599999996</v>
      </c>
      <c r="E38" s="11">
        <v>2979869.44</v>
      </c>
      <c r="F38" s="11">
        <v>2896527.5099999993</v>
      </c>
      <c r="G38" s="11">
        <v>2449236.8800000004</v>
      </c>
      <c r="H38" s="11">
        <v>15585680.600000003</v>
      </c>
      <c r="I38" s="11">
        <v>1475046.8100000005</v>
      </c>
      <c r="J38" s="11">
        <v>7437106.0519608147</v>
      </c>
      <c r="K38" s="11">
        <v>2753266.3971726196</v>
      </c>
      <c r="L38" s="11">
        <v>2599524.8993322221</v>
      </c>
      <c r="M38" s="11">
        <v>3829320.5649243249</v>
      </c>
      <c r="N38" s="11">
        <v>4124919.1817083326</v>
      </c>
      <c r="O38" s="11">
        <v>4249474.88021727</v>
      </c>
      <c r="P38">
        <f t="shared" si="1"/>
        <v>53606634.775315598</v>
      </c>
    </row>
    <row r="39" spans="1:17">
      <c r="A39" s="56">
        <f t="shared" si="2"/>
        <v>28</v>
      </c>
      <c r="B39" s="95">
        <v>9301</v>
      </c>
      <c r="C39" t="s">
        <v>347</v>
      </c>
      <c r="D39" s="11">
        <f>0</f>
        <v>0</v>
      </c>
      <c r="E39" s="11">
        <f>0</f>
        <v>0</v>
      </c>
      <c r="F39" s="11">
        <f>0</f>
        <v>0</v>
      </c>
      <c r="G39" s="11">
        <f>0</f>
        <v>0</v>
      </c>
      <c r="H39" s="11">
        <f>0</f>
        <v>0</v>
      </c>
      <c r="I39" s="11">
        <f>0</f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>
        <f t="shared" si="1"/>
        <v>0</v>
      </c>
    </row>
    <row r="40" spans="1:17">
      <c r="A40" s="56">
        <f t="shared" si="2"/>
        <v>29</v>
      </c>
      <c r="B40" s="95">
        <v>9302</v>
      </c>
      <c r="C40" t="s">
        <v>337</v>
      </c>
      <c r="D40" s="11">
        <v>880821.69000000018</v>
      </c>
      <c r="E40" s="11">
        <v>82116.010000000038</v>
      </c>
      <c r="F40" s="11">
        <v>1781272.6800000002</v>
      </c>
      <c r="G40" s="11">
        <v>776769.73</v>
      </c>
      <c r="H40" s="11">
        <v>232679.31</v>
      </c>
      <c r="I40" s="11">
        <v>698026.98</v>
      </c>
      <c r="J40" s="11">
        <v>233231.35524848846</v>
      </c>
      <c r="K40" s="11">
        <v>254386.71588168442</v>
      </c>
      <c r="L40" s="11">
        <v>1053587.1234676598</v>
      </c>
      <c r="M40" s="11">
        <v>968063.74380567227</v>
      </c>
      <c r="N40" s="11">
        <v>304520.82160574995</v>
      </c>
      <c r="O40" s="11">
        <v>249247.98463538257</v>
      </c>
      <c r="P40">
        <f t="shared" si="1"/>
        <v>7514724.1446446385</v>
      </c>
    </row>
    <row r="41" spans="1:17">
      <c r="A41" s="56">
        <f t="shared" si="2"/>
        <v>30</v>
      </c>
      <c r="B41" s="95">
        <v>9310</v>
      </c>
      <c r="C41" t="s">
        <v>212</v>
      </c>
      <c r="D41" s="11">
        <v>528827.8600000001</v>
      </c>
      <c r="E41" s="11">
        <v>668938.48</v>
      </c>
      <c r="F41" s="11">
        <v>410943.94000000006</v>
      </c>
      <c r="G41" s="11">
        <v>586478.67000000004</v>
      </c>
      <c r="H41" s="11">
        <v>620633.28000000014</v>
      </c>
      <c r="I41" s="11">
        <v>417245.33</v>
      </c>
      <c r="J41" s="11">
        <v>505916.1830725061</v>
      </c>
      <c r="K41" s="11">
        <v>505571.23484483635</v>
      </c>
      <c r="L41" s="11">
        <v>528494.14462432638</v>
      </c>
      <c r="M41" s="11">
        <v>504857.16351252573</v>
      </c>
      <c r="N41" s="11">
        <v>500503.71262924513</v>
      </c>
      <c r="O41" s="11">
        <v>511274.93397674285</v>
      </c>
      <c r="P41">
        <f t="shared" si="1"/>
        <v>6289684.932660182</v>
      </c>
    </row>
    <row r="42" spans="1:17">
      <c r="A42" s="56">
        <f t="shared" si="2"/>
        <v>31</v>
      </c>
      <c r="B42" s="95">
        <v>9320</v>
      </c>
      <c r="C42" t="s">
        <v>338</v>
      </c>
      <c r="D42" s="11">
        <v>42941.760000000002</v>
      </c>
      <c r="E42" s="11">
        <v>56650.16</v>
      </c>
      <c r="F42" s="11">
        <v>83265.399999999994</v>
      </c>
      <c r="G42" s="11">
        <v>65775.64</v>
      </c>
      <c r="H42" s="11">
        <v>50743.860000000008</v>
      </c>
      <c r="I42" s="11">
        <v>36532.33</v>
      </c>
      <c r="J42" s="11">
        <v>92978.893653838881</v>
      </c>
      <c r="K42" s="11">
        <v>92628.425330919898</v>
      </c>
      <c r="L42" s="11">
        <v>97824.44400713763</v>
      </c>
      <c r="M42" s="11">
        <v>50108.43268256585</v>
      </c>
      <c r="N42" s="11">
        <v>49878.557454183552</v>
      </c>
      <c r="O42" s="11">
        <v>50864.727307871071</v>
      </c>
      <c r="P42">
        <f t="shared" si="1"/>
        <v>770192.63043651707</v>
      </c>
    </row>
    <row r="43" spans="1:17" ht="15.75" thickBot="1">
      <c r="A43" s="56">
        <f t="shared" si="2"/>
        <v>32</v>
      </c>
      <c r="B43" t="s">
        <v>339</v>
      </c>
      <c r="C43" s="99"/>
      <c r="D43" s="100">
        <f>SUM(D12:D42)</f>
        <v>-51539.319999995882</v>
      </c>
      <c r="E43" s="100">
        <f t="shared" ref="E43:O43" si="4">SUM(E12:E42)</f>
        <v>5693786.7100000046</v>
      </c>
      <c r="F43" s="100">
        <f t="shared" si="4"/>
        <v>-974053.57999999716</v>
      </c>
      <c r="G43" s="100">
        <f t="shared" si="4"/>
        <v>796101.8600000008</v>
      </c>
      <c r="H43" s="100">
        <f t="shared" si="4"/>
        <v>243050.45000000575</v>
      </c>
      <c r="I43" s="100">
        <f t="shared" si="4"/>
        <v>785020.31000000087</v>
      </c>
      <c r="J43" s="100">
        <f t="shared" si="4"/>
        <v>-3.1577656045556068E-9</v>
      </c>
      <c r="K43" s="100">
        <f t="shared" si="4"/>
        <v>1.2078089639544487E-9</v>
      </c>
      <c r="L43" s="100">
        <f t="shared" si="4"/>
        <v>2.4010660126805305E-9</v>
      </c>
      <c r="M43" s="100">
        <f t="shared" si="4"/>
        <v>-2.4738255888223648E-9</v>
      </c>
      <c r="N43" s="100">
        <f t="shared" si="4"/>
        <v>3.2014213502407074E-10</v>
      </c>
      <c r="O43" s="100">
        <f t="shared" si="4"/>
        <v>-7.8580342233181E-10</v>
      </c>
      <c r="P43" s="100">
        <f>SUM(P12:P42)</f>
        <v>6492366.4300000174</v>
      </c>
      <c r="Q43" s="103"/>
    </row>
    <row r="44" spans="1:17" ht="15.75" thickTop="1">
      <c r="A44" s="56">
        <f t="shared" si="2"/>
        <v>33</v>
      </c>
    </row>
    <row r="45" spans="1:17">
      <c r="A45" s="56">
        <f t="shared" si="2"/>
        <v>34</v>
      </c>
      <c r="B45" s="95">
        <f>B34</f>
        <v>9220</v>
      </c>
      <c r="C45" s="95" t="str">
        <f>C34</f>
        <v>A&amp;G-Administrative expense transferred-Credit</v>
      </c>
      <c r="D45" s="117">
        <f>D34</f>
        <v>-11567346.989999996</v>
      </c>
      <c r="E45" s="117">
        <f>E34</f>
        <v>-8838143.8199999984</v>
      </c>
      <c r="F45" s="117">
        <f t="shared" ref="F45:I45" si="5">F34</f>
        <v>-10708455.929999998</v>
      </c>
      <c r="G45" s="117">
        <f t="shared" si="5"/>
        <v>-10320165.189999998</v>
      </c>
      <c r="H45" s="117">
        <f t="shared" si="5"/>
        <v>-22798022.760000002</v>
      </c>
      <c r="I45" s="117">
        <f t="shared" si="5"/>
        <v>-3264226.0199999991</v>
      </c>
      <c r="J45" s="117">
        <f>-(J43-J34)</f>
        <v>-19472281.630000003</v>
      </c>
      <c r="K45" s="117">
        <f t="shared" ref="K45" si="6">-(K43-K34)</f>
        <v>-16319007.43</v>
      </c>
      <c r="L45" s="117">
        <f>L34</f>
        <v>-17374781.259999998</v>
      </c>
      <c r="M45" s="117">
        <f>M34</f>
        <v>-13171166.402942495</v>
      </c>
      <c r="N45" s="117">
        <f>N34</f>
        <v>-11632019.894029098</v>
      </c>
      <c r="O45" s="117">
        <f>O34</f>
        <v>-12208845.578612056</v>
      </c>
      <c r="P45">
        <f t="shared" ref="P45" si="7">SUM(D45:O45)</f>
        <v>-157674462.90558365</v>
      </c>
      <c r="Q45" s="117"/>
    </row>
    <row r="46" spans="1:17">
      <c r="A46" s="56">
        <f t="shared" si="2"/>
        <v>35</v>
      </c>
      <c r="C46" s="59" t="s">
        <v>348</v>
      </c>
      <c r="D46" s="101">
        <f>D47/D45</f>
        <v>5.1381038410433316E-2</v>
      </c>
      <c r="E46" s="101">
        <f t="shared" ref="E46:I46" si="8">E47/E45</f>
        <v>5.2856591781508262E-2</v>
      </c>
      <c r="F46" s="101">
        <f t="shared" si="8"/>
        <v>5.1112451092657218E-2</v>
      </c>
      <c r="G46" s="101">
        <f t="shared" si="8"/>
        <v>5.2571964693522516E-2</v>
      </c>
      <c r="H46" s="101">
        <f t="shared" si="8"/>
        <v>4.9437427616639509E-2</v>
      </c>
      <c r="I46" s="101">
        <f t="shared" si="8"/>
        <v>6.1806810791858111E-2</v>
      </c>
      <c r="J46" s="101">
        <v>4.5622610000000001E-2</v>
      </c>
      <c r="K46" s="101">
        <v>4.5622610000000001E-2</v>
      </c>
      <c r="L46" s="101">
        <v>4.5622610000000001E-2</v>
      </c>
      <c r="M46" s="101">
        <v>4.5622610000000001E-2</v>
      </c>
      <c r="N46" s="101">
        <v>4.5622610000000001E-2</v>
      </c>
      <c r="O46" s="101">
        <v>4.5622610000000001E-2</v>
      </c>
      <c r="P46" s="101">
        <f t="shared" ref="P46" si="9">P47/P45</f>
        <v>4.8164873988229842E-2</v>
      </c>
    </row>
    <row r="47" spans="1:17">
      <c r="A47" s="56">
        <f t="shared" si="2"/>
        <v>36</v>
      </c>
      <c r="C47" t="s">
        <v>349</v>
      </c>
      <c r="D47">
        <v>-594342.30000000005</v>
      </c>
      <c r="E47">
        <v>-467154.16</v>
      </c>
      <c r="F47">
        <v>-547335.43000000005</v>
      </c>
      <c r="G47">
        <v>-542551.36</v>
      </c>
      <c r="H47">
        <v>-1127075.6000000001</v>
      </c>
      <c r="I47">
        <v>-201751.4</v>
      </c>
      <c r="J47">
        <f>J45*J46</f>
        <v>-888376.31061565445</v>
      </c>
      <c r="K47">
        <f t="shared" ref="K47:O47" si="10">K45*K46</f>
        <v>-744515.71156599233</v>
      </c>
      <c r="L47">
        <f t="shared" si="10"/>
        <v>-792682.86926028854</v>
      </c>
      <c r="M47">
        <f t="shared" si="10"/>
        <v>-600902.98804654833</v>
      </c>
      <c r="N47">
        <f t="shared" si="10"/>
        <v>-530683.10713753081</v>
      </c>
      <c r="O47">
        <f t="shared" si="10"/>
        <v>-556999.40038324217</v>
      </c>
      <c r="P47">
        <f>SUM(D47:O47)</f>
        <v>-7594370.6370092575</v>
      </c>
    </row>
    <row r="50" spans="2:17">
      <c r="B50" t="s">
        <v>350</v>
      </c>
    </row>
    <row r="52" spans="2:17">
      <c r="B52" t="s">
        <v>342</v>
      </c>
    </row>
    <row r="53" spans="2:17">
      <c r="B53" t="s">
        <v>415</v>
      </c>
    </row>
    <row r="54" spans="2:17">
      <c r="B54" t="s">
        <v>413</v>
      </c>
    </row>
    <row r="55" spans="2:17">
      <c r="B55" t="s">
        <v>416</v>
      </c>
      <c r="O55" s="62"/>
      <c r="Q55" s="121"/>
    </row>
    <row r="56" spans="2:17">
      <c r="O56" s="62"/>
      <c r="Q56" s="121"/>
    </row>
    <row r="57" spans="2:17">
      <c r="D57" s="79"/>
      <c r="E57" s="79"/>
      <c r="F57" s="79"/>
      <c r="G57" s="79"/>
      <c r="H57" s="79"/>
      <c r="I57" s="79"/>
      <c r="J57" s="79"/>
      <c r="K57" s="87"/>
      <c r="L57" s="87"/>
      <c r="M57" s="87"/>
      <c r="N57" s="87"/>
      <c r="O57" s="62"/>
      <c r="Q57" s="121"/>
    </row>
    <row r="58" spans="2:17">
      <c r="Q58" s="121"/>
    </row>
    <row r="59" spans="2:17">
      <c r="Q59" s="121"/>
    </row>
    <row r="64" spans="2:17">
      <c r="O64" s="62"/>
    </row>
    <row r="65" spans="15:15">
      <c r="O65" s="62"/>
    </row>
    <row r="66" spans="15:15">
      <c r="O66" s="62"/>
    </row>
    <row r="67" spans="15:15">
      <c r="O67" s="62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65" header="0.25" footer="0.25"/>
  <pageSetup scale="47" fitToHeight="2" orientation="landscape" r:id="rId1"/>
  <headerFooter alignWithMargins="0">
    <oddHeader xml:space="preserve">&amp;RCASE NO. 2024-00276 
FR 16(8)(c)
ATTACHMENT 1
</oddHeader>
    <oddFooter>&amp;RSchedule &amp;A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473F8-EA23-49BF-8FD6-87A9352DE47E}">
  <sheetPr>
    <tabColor rgb="FF92D050"/>
  </sheetPr>
  <dimension ref="A1:Q47"/>
  <sheetViews>
    <sheetView view="pageBreakPreview" zoomScale="80" zoomScaleNormal="100" zoomScaleSheetLayoutView="80" workbookViewId="0">
      <selection sqref="A1:P1"/>
    </sheetView>
  </sheetViews>
  <sheetFormatPr defaultColWidth="7.109375" defaultRowHeight="15"/>
  <cols>
    <col min="1" max="1" width="4.6640625" customWidth="1"/>
    <col min="2" max="2" width="7.21875" customWidth="1"/>
    <col min="3" max="3" width="45.5546875" customWidth="1"/>
    <col min="4" max="4" width="13.109375" bestFit="1" customWidth="1"/>
    <col min="5" max="6" width="11.109375" customWidth="1"/>
    <col min="7" max="8" width="13.109375" bestFit="1" customWidth="1"/>
    <col min="9" max="9" width="11.109375" customWidth="1"/>
    <col min="10" max="10" width="10.88671875" customWidth="1"/>
    <col min="11" max="14" width="13.109375" bestFit="1" customWidth="1"/>
    <col min="15" max="15" width="12.44140625" customWidth="1"/>
    <col min="16" max="16" width="12.44140625" bestFit="1" customWidth="1"/>
    <col min="17" max="17" width="12.44140625" customWidth="1"/>
    <col min="18" max="18" width="12.5546875" customWidth="1"/>
    <col min="19" max="19" width="11.33203125" bestFit="1" customWidth="1"/>
  </cols>
  <sheetData>
    <row r="1" spans="1:17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7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7" ht="15.75">
      <c r="A3" s="185" t="s">
        <v>351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7">
      <c r="A4" s="185" t="s">
        <v>409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7">
      <c r="B5" s="60"/>
      <c r="C5" s="60"/>
      <c r="D5" s="60"/>
      <c r="E5" s="60"/>
      <c r="F5" s="60"/>
      <c r="G5" s="47"/>
      <c r="H5" s="60"/>
      <c r="I5" s="60"/>
      <c r="J5" s="60"/>
      <c r="K5" s="60"/>
      <c r="L5" s="60"/>
      <c r="M5" s="60"/>
      <c r="N5" s="60"/>
      <c r="O5" s="60"/>
    </row>
    <row r="6" spans="1:17" ht="15.75">
      <c r="A6" s="61" t="str">
        <f>'C.2.2 B 09'!A6</f>
        <v>Data:___X____Base Period________Forecasted Period</v>
      </c>
      <c r="C6" s="61"/>
      <c r="D6" s="44"/>
      <c r="P6" s="62" t="s">
        <v>240</v>
      </c>
    </row>
    <row r="7" spans="1:17">
      <c r="A7" s="61" t="str">
        <f>'C.2.2 B 09'!A7</f>
        <v>Type of Filing:___X____Original________Updated ________Revised</v>
      </c>
      <c r="C7" s="61"/>
      <c r="P7" s="63" t="s">
        <v>241</v>
      </c>
    </row>
    <row r="8" spans="1:17">
      <c r="A8" s="64" t="str">
        <f>'C.2.2 B 09'!A8</f>
        <v>Workpaper Reference No(s).____________________</v>
      </c>
      <c r="B8" s="58"/>
      <c r="C8" s="89"/>
      <c r="D8" s="65"/>
      <c r="E8" s="65"/>
      <c r="F8" s="65"/>
      <c r="G8" s="65"/>
      <c r="H8" s="65"/>
      <c r="I8" s="65"/>
      <c r="J8" s="65"/>
      <c r="K8" s="65"/>
      <c r="L8" s="65"/>
      <c r="M8" s="58"/>
      <c r="N8" s="58"/>
      <c r="O8" s="58"/>
      <c r="P8" s="66" t="str">
        <f>'C.1'!J9</f>
        <v>Witness: Waller, Wiebe, Troup</v>
      </c>
    </row>
    <row r="9" spans="1:17">
      <c r="A9" s="107" t="s">
        <v>22</v>
      </c>
      <c r="B9" s="92" t="s">
        <v>242</v>
      </c>
      <c r="C9" s="108"/>
      <c r="D9" s="68" t="str">
        <f>'C.2.2 B 09'!D9</f>
        <v>actual</v>
      </c>
      <c r="E9" s="68" t="str">
        <f>'C.2.2 B 09'!F9</f>
        <v>actual</v>
      </c>
      <c r="F9" s="68" t="str">
        <f>'C.2.2 B 09'!F9</f>
        <v>actual</v>
      </c>
      <c r="G9" s="68" t="str">
        <f>'C.2.2 B 09'!G9</f>
        <v>actual</v>
      </c>
      <c r="H9" s="68" t="str">
        <f>'C.2.2 B 09'!H9</f>
        <v>actual</v>
      </c>
      <c r="I9" s="68" t="str">
        <f>'C.2.2 B 09'!I9</f>
        <v>actual</v>
      </c>
      <c r="J9" s="68" t="str">
        <f>'C.2.2 B 09'!J9</f>
        <v>Budgeted</v>
      </c>
      <c r="K9" s="68" t="str">
        <f>'C.2.2 B 09'!K9</f>
        <v>Budgeted</v>
      </c>
      <c r="L9" s="68" t="str">
        <f>'C.2.2 B 09'!L9</f>
        <v>Budgeted</v>
      </c>
      <c r="M9" s="68" t="str">
        <f>'C.2.2 B 09'!M9</f>
        <v>Budgeted</v>
      </c>
      <c r="N9" s="68" t="str">
        <f>'C.2.2 B 09'!N9</f>
        <v>Budgeted</v>
      </c>
      <c r="O9" s="68" t="str">
        <f>'C.2.2 B 09'!O9</f>
        <v>Budgeted</v>
      </c>
      <c r="P9" s="75"/>
      <c r="Q9" s="56"/>
    </row>
    <row r="10" spans="1:17">
      <c r="A10" s="110" t="s">
        <v>25</v>
      </c>
      <c r="B10" s="57" t="s">
        <v>25</v>
      </c>
      <c r="C10" s="111" t="s">
        <v>245</v>
      </c>
      <c r="D10" s="76">
        <f>'C.2.2 B 09'!D10</f>
        <v>45292</v>
      </c>
      <c r="E10" s="76">
        <f>'C.2.2 B 09'!F10</f>
        <v>45352</v>
      </c>
      <c r="F10" s="76">
        <f>'C.2.2 B 09'!F10</f>
        <v>45352</v>
      </c>
      <c r="G10" s="76">
        <f>'C.2.2 B 09'!G10</f>
        <v>45383</v>
      </c>
      <c r="H10" s="76">
        <f>'C.2.2 B 09'!H10</f>
        <v>45413</v>
      </c>
      <c r="I10" s="76">
        <f>'C.2.2 B 09'!I10</f>
        <v>45444</v>
      </c>
      <c r="J10" s="76">
        <f>'C.2.2 B 09'!J10</f>
        <v>45474</v>
      </c>
      <c r="K10" s="76">
        <f>'C.2.2 B 09'!K10</f>
        <v>45505</v>
      </c>
      <c r="L10" s="76">
        <f>'C.2.2 B 09'!L10</f>
        <v>45536</v>
      </c>
      <c r="M10" s="76">
        <f>'C.2.2 B 09'!M10</f>
        <v>45566</v>
      </c>
      <c r="N10" s="76">
        <f>'C.2.2 B 09'!N10</f>
        <v>45597</v>
      </c>
      <c r="O10" s="76">
        <f>'C.2.2 B 09'!O10</f>
        <v>45627</v>
      </c>
      <c r="P10" s="76" t="str">
        <f>'C.2.2 B 09'!P10</f>
        <v>Total</v>
      </c>
      <c r="Q10" s="56"/>
    </row>
    <row r="11" spans="1:17">
      <c r="D11" s="77" t="s">
        <v>247</v>
      </c>
      <c r="E11" s="77" t="s">
        <v>247</v>
      </c>
      <c r="F11" s="77" t="s">
        <v>247</v>
      </c>
      <c r="G11" s="77" t="s">
        <v>247</v>
      </c>
      <c r="H11" s="77" t="s">
        <v>247</v>
      </c>
      <c r="I11" s="77" t="s">
        <v>247</v>
      </c>
      <c r="J11" s="77" t="s">
        <v>247</v>
      </c>
      <c r="K11" s="77" t="s">
        <v>247</v>
      </c>
      <c r="L11" s="77" t="s">
        <v>247</v>
      </c>
      <c r="M11" s="77" t="s">
        <v>247</v>
      </c>
      <c r="N11" s="77" t="s">
        <v>247</v>
      </c>
      <c r="O11" s="77" t="s">
        <v>247</v>
      </c>
      <c r="P11" s="77" t="s">
        <v>247</v>
      </c>
      <c r="Q11" s="77"/>
    </row>
    <row r="12" spans="1:17">
      <c r="A12" s="56">
        <v>1</v>
      </c>
      <c r="B12" s="95">
        <v>4030</v>
      </c>
      <c r="C12" t="s">
        <v>71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>
        <f t="shared" ref="P12:P28" si="0">SUM(D12:O12)</f>
        <v>0</v>
      </c>
    </row>
    <row r="13" spans="1:17">
      <c r="A13" s="56">
        <f>A12+1</f>
        <v>2</v>
      </c>
      <c r="B13" s="95">
        <v>4081</v>
      </c>
      <c r="C13" t="s">
        <v>250</v>
      </c>
      <c r="D13" s="11">
        <v>0</v>
      </c>
      <c r="E13" s="11">
        <v>9.9999999511055648E-3</v>
      </c>
      <c r="F13" s="11">
        <v>0</v>
      </c>
      <c r="G13" s="11">
        <v>0</v>
      </c>
      <c r="H13" s="11">
        <v>-9.9999999511055648E-3</v>
      </c>
      <c r="I13" s="11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>
        <f t="shared" si="0"/>
        <v>0</v>
      </c>
    </row>
    <row r="14" spans="1:17">
      <c r="A14" s="56">
        <f t="shared" ref="A14:A38" si="1">A13+1</f>
        <v>3</v>
      </c>
      <c r="B14" s="95">
        <v>8700</v>
      </c>
      <c r="C14" t="s">
        <v>297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>
        <f t="shared" si="0"/>
        <v>0</v>
      </c>
    </row>
    <row r="15" spans="1:17">
      <c r="A15" s="56">
        <f t="shared" si="1"/>
        <v>4</v>
      </c>
      <c r="B15" s="95">
        <v>8740</v>
      </c>
      <c r="C15" t="s">
        <v>301</v>
      </c>
      <c r="D15" s="11">
        <v>612.25</v>
      </c>
      <c r="E15" s="11">
        <v>569.67999999999995</v>
      </c>
      <c r="F15" s="11">
        <v>810.04</v>
      </c>
      <c r="G15" s="11">
        <v>918.4</v>
      </c>
      <c r="H15" s="11">
        <v>460.3</v>
      </c>
      <c r="I15" s="11">
        <v>891.39</v>
      </c>
      <c r="J15" s="6">
        <v>1500.0000000000002</v>
      </c>
      <c r="K15" s="6">
        <v>1500.0000000000002</v>
      </c>
      <c r="L15" s="6">
        <v>1500.0000000000002</v>
      </c>
      <c r="M15" s="6">
        <v>1500.0000000000002</v>
      </c>
      <c r="N15" s="6">
        <v>1500.0000000000002</v>
      </c>
      <c r="O15" s="6">
        <v>1500.0000000000002</v>
      </c>
      <c r="P15">
        <f t="shared" si="0"/>
        <v>13262.060000000001</v>
      </c>
    </row>
    <row r="16" spans="1:17">
      <c r="A16" s="56">
        <f t="shared" si="1"/>
        <v>5</v>
      </c>
      <c r="B16" s="95">
        <v>8780</v>
      </c>
      <c r="C16" t="s">
        <v>352</v>
      </c>
      <c r="D16" s="11">
        <v>0</v>
      </c>
      <c r="E16" s="11">
        <v>0</v>
      </c>
      <c r="F16" s="11">
        <v>25.95</v>
      </c>
      <c r="G16" s="11">
        <v>0</v>
      </c>
      <c r="H16" s="11">
        <v>0</v>
      </c>
      <c r="I16" s="11">
        <v>0</v>
      </c>
      <c r="J16" s="6">
        <v>4.8807733138971674</v>
      </c>
      <c r="K16" s="6">
        <v>4.8807733138971674</v>
      </c>
      <c r="L16" s="6">
        <v>4.8829649498710772</v>
      </c>
      <c r="M16" s="6">
        <v>4.9815885686970187</v>
      </c>
      <c r="N16" s="6">
        <v>4.9815885686970187</v>
      </c>
      <c r="O16" s="6">
        <v>4.9815885686970187</v>
      </c>
      <c r="P16">
        <f t="shared" si="0"/>
        <v>55.539277283756476</v>
      </c>
    </row>
    <row r="17" spans="1:16">
      <c r="A17" s="56">
        <f t="shared" si="1"/>
        <v>6</v>
      </c>
      <c r="B17" s="95">
        <v>8800</v>
      </c>
      <c r="C17" t="s">
        <v>307</v>
      </c>
      <c r="D17" s="11">
        <f>0</f>
        <v>0</v>
      </c>
      <c r="E17" s="11">
        <f>0</f>
        <v>0</v>
      </c>
      <c r="F17" s="11">
        <f>0</f>
        <v>0</v>
      </c>
      <c r="G17" s="11">
        <f>0</f>
        <v>0</v>
      </c>
      <c r="H17" s="11">
        <f>0</f>
        <v>0</v>
      </c>
      <c r="I17" s="11">
        <f>0</f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>
        <f t="shared" si="0"/>
        <v>0</v>
      </c>
    </row>
    <row r="18" spans="1:16">
      <c r="A18" s="56">
        <f t="shared" si="1"/>
        <v>7</v>
      </c>
      <c r="B18" s="95">
        <v>8810</v>
      </c>
      <c r="C18" t="s">
        <v>308</v>
      </c>
      <c r="D18" s="11">
        <v>0</v>
      </c>
      <c r="E18" s="11">
        <v>0</v>
      </c>
      <c r="F18" s="11">
        <v>0</v>
      </c>
      <c r="G18" s="11">
        <v>3203.72</v>
      </c>
      <c r="H18" s="11">
        <v>11058.07</v>
      </c>
      <c r="I18" s="11">
        <v>0</v>
      </c>
      <c r="J18" s="6">
        <v>2180.1710595937075</v>
      </c>
      <c r="K18" s="6">
        <v>2117.4785266694948</v>
      </c>
      <c r="L18" s="6">
        <v>2117.4785266694948</v>
      </c>
      <c r="M18" s="6">
        <v>2223.3891510710228</v>
      </c>
      <c r="N18" s="6">
        <v>2219.4135270319266</v>
      </c>
      <c r="O18" s="6">
        <v>2219.4135270319266</v>
      </c>
      <c r="P18">
        <f t="shared" si="0"/>
        <v>27339.134318067576</v>
      </c>
    </row>
    <row r="19" spans="1:16">
      <c r="A19" s="56">
        <f t="shared" si="1"/>
        <v>8</v>
      </c>
      <c r="B19" s="95">
        <v>9100</v>
      </c>
      <c r="C19" t="s">
        <v>353</v>
      </c>
      <c r="D19" s="11">
        <v>0</v>
      </c>
      <c r="E19" s="11">
        <v>-1539.38</v>
      </c>
      <c r="F19" s="11">
        <v>1539.38</v>
      </c>
      <c r="G19" s="11">
        <v>0</v>
      </c>
      <c r="H19" s="11">
        <v>0</v>
      </c>
      <c r="I19" s="11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>
        <f t="shared" si="0"/>
        <v>0</v>
      </c>
    </row>
    <row r="20" spans="1:16">
      <c r="A20" s="56">
        <f t="shared" si="1"/>
        <v>9</v>
      </c>
      <c r="B20" s="95">
        <v>9010</v>
      </c>
      <c r="C20" t="s">
        <v>318</v>
      </c>
      <c r="D20" s="11">
        <v>281689.63</v>
      </c>
      <c r="E20" s="11">
        <v>261042.87</v>
      </c>
      <c r="F20" s="11">
        <v>264394.17</v>
      </c>
      <c r="G20" s="11">
        <v>265275.82</v>
      </c>
      <c r="H20" s="11">
        <v>247984.72999999998</v>
      </c>
      <c r="I20" s="11">
        <v>210482.68</v>
      </c>
      <c r="J20" s="6">
        <v>285852.96252951009</v>
      </c>
      <c r="K20" s="6">
        <v>272781.5161851208</v>
      </c>
      <c r="L20" s="6">
        <v>260568.98641968699</v>
      </c>
      <c r="M20" s="6">
        <v>292759.42144634144</v>
      </c>
      <c r="N20" s="6">
        <v>266491.64871725399</v>
      </c>
      <c r="O20" s="6">
        <v>285899.30807007069</v>
      </c>
      <c r="P20">
        <f t="shared" si="0"/>
        <v>3195223.743367984</v>
      </c>
    </row>
    <row r="21" spans="1:16">
      <c r="A21" s="56">
        <f t="shared" si="1"/>
        <v>10</v>
      </c>
      <c r="B21" s="95">
        <v>9020</v>
      </c>
      <c r="C21" t="s">
        <v>319</v>
      </c>
      <c r="D21" s="11">
        <v>-793.69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6">
        <v>-148.85247797046387</v>
      </c>
      <c r="K21" s="6">
        <v>-142.89384628330282</v>
      </c>
      <c r="L21" s="6">
        <v>-136.49759945511957</v>
      </c>
      <c r="M21" s="6">
        <v>-151.46860920205367</v>
      </c>
      <c r="N21" s="6">
        <v>-138.30169113736636</v>
      </c>
      <c r="O21" s="6">
        <v>-148.64116353853643</v>
      </c>
      <c r="P21">
        <f t="shared" si="0"/>
        <v>-1660.3453875868427</v>
      </c>
    </row>
    <row r="22" spans="1:16">
      <c r="A22" s="56">
        <f t="shared" si="1"/>
        <v>11</v>
      </c>
      <c r="B22" s="95">
        <v>9030</v>
      </c>
      <c r="C22" t="s">
        <v>320</v>
      </c>
      <c r="D22" s="11">
        <v>2730006.66</v>
      </c>
      <c r="E22" s="11">
        <v>2218548.8699999996</v>
      </c>
      <c r="F22" s="11">
        <v>2139807.85</v>
      </c>
      <c r="G22" s="11">
        <v>2253102.29</v>
      </c>
      <c r="H22" s="11">
        <v>2179183.7600000002</v>
      </c>
      <c r="I22" s="11">
        <v>1904682.32</v>
      </c>
      <c r="J22" s="6">
        <v>2538028.3217294514</v>
      </c>
      <c r="K22" s="6">
        <v>2390667.3611120558</v>
      </c>
      <c r="L22" s="6">
        <v>2285037.1232663714</v>
      </c>
      <c r="M22" s="6">
        <v>2589352.5764774447</v>
      </c>
      <c r="N22" s="6">
        <v>2323794.6740428433</v>
      </c>
      <c r="O22" s="6">
        <v>2495299.9775546165</v>
      </c>
      <c r="P22">
        <f t="shared" si="0"/>
        <v>28047511.784182783</v>
      </c>
    </row>
    <row r="23" spans="1:16">
      <c r="A23" s="56">
        <f t="shared" si="1"/>
        <v>12</v>
      </c>
      <c r="B23" s="95">
        <v>9200</v>
      </c>
      <c r="C23" t="s">
        <v>328</v>
      </c>
      <c r="D23" s="11">
        <v>299736.38</v>
      </c>
      <c r="E23" s="11">
        <v>227416.36</v>
      </c>
      <c r="F23" s="11">
        <v>348266.43000000005</v>
      </c>
      <c r="G23" s="11">
        <v>421978.9</v>
      </c>
      <c r="H23" s="11">
        <v>632422.08000000007</v>
      </c>
      <c r="I23" s="11">
        <v>360485.97</v>
      </c>
      <c r="J23" s="6">
        <v>429535.13496820984</v>
      </c>
      <c r="K23" s="6">
        <v>412340.65019464487</v>
      </c>
      <c r="L23" s="6">
        <v>393883.36428248935</v>
      </c>
      <c r="M23" s="6">
        <v>437084.35616342875</v>
      </c>
      <c r="N23" s="6">
        <v>399089.32910614967</v>
      </c>
      <c r="O23" s="6">
        <v>428925.35692301876</v>
      </c>
      <c r="P23">
        <f t="shared" si="0"/>
        <v>4791164.3116379408</v>
      </c>
    </row>
    <row r="24" spans="1:16">
      <c r="A24" s="56">
        <f t="shared" si="1"/>
        <v>13</v>
      </c>
      <c r="B24" s="95">
        <v>9210</v>
      </c>
      <c r="C24" t="s">
        <v>329</v>
      </c>
      <c r="D24" s="11">
        <v>896087.37</v>
      </c>
      <c r="E24" s="11">
        <v>1075335.8399999999</v>
      </c>
      <c r="F24" s="11">
        <v>958046.69000000006</v>
      </c>
      <c r="G24" s="11">
        <v>1100712.0499999998</v>
      </c>
      <c r="H24" s="11">
        <v>1148787.7300000002</v>
      </c>
      <c r="I24" s="11">
        <v>1159463.5999999996</v>
      </c>
      <c r="J24" s="6">
        <v>270932.7367156088</v>
      </c>
      <c r="K24" s="6">
        <v>246085.22564649372</v>
      </c>
      <c r="L24" s="6">
        <v>244691.12669076002</v>
      </c>
      <c r="M24" s="6">
        <v>710379.95047561871</v>
      </c>
      <c r="N24" s="6">
        <v>688759.85376555589</v>
      </c>
      <c r="O24" s="6">
        <v>709551.19983445969</v>
      </c>
      <c r="P24">
        <f t="shared" si="0"/>
        <v>9208833.373128498</v>
      </c>
    </row>
    <row r="25" spans="1:16">
      <c r="A25" s="56">
        <f t="shared" si="1"/>
        <v>14</v>
      </c>
      <c r="B25" s="95">
        <v>9220</v>
      </c>
      <c r="C25" t="s">
        <v>330</v>
      </c>
      <c r="D25" s="11">
        <v>-5518126.3299999991</v>
      </c>
      <c r="E25" s="11">
        <v>-4953330.0199999996</v>
      </c>
      <c r="F25" s="11">
        <v>-4747445.959999999</v>
      </c>
      <c r="G25" s="11">
        <v>-5206149.16</v>
      </c>
      <c r="H25" s="11">
        <v>-5544998.4199999999</v>
      </c>
      <c r="I25" s="11">
        <v>-4584404.9600000009</v>
      </c>
      <c r="J25" s="6">
        <f>-(SUM(J12:J24)+SUM(J26:J32))</f>
        <v>-4551308.75</v>
      </c>
      <c r="K25" s="6">
        <f t="shared" ref="K25:O25" si="2">-(SUM(K12:K24)+SUM(K26:K32))</f>
        <v>-4267010.3499999996</v>
      </c>
      <c r="L25" s="6">
        <f t="shared" si="2"/>
        <v>-4088246.2500000014</v>
      </c>
      <c r="M25" s="6">
        <f t="shared" si="2"/>
        <v>-5205494.0943390885</v>
      </c>
      <c r="N25" s="6">
        <f t="shared" si="2"/>
        <v>-4851146.5448093927</v>
      </c>
      <c r="O25" s="6">
        <f t="shared" si="2"/>
        <v>-5191292.9655873906</v>
      </c>
      <c r="P25">
        <f t="shared" si="0"/>
        <v>-58708953.804735877</v>
      </c>
    </row>
    <row r="26" spans="1:16">
      <c r="A26" s="56">
        <f t="shared" si="1"/>
        <v>15</v>
      </c>
      <c r="B26" s="95">
        <v>9230</v>
      </c>
      <c r="C26" t="s">
        <v>331</v>
      </c>
      <c r="D26" s="11">
        <v>60626.02</v>
      </c>
      <c r="E26" s="11">
        <v>62466.1</v>
      </c>
      <c r="F26" s="11">
        <v>9033.630000000001</v>
      </c>
      <c r="G26" s="11">
        <v>82012.87999999999</v>
      </c>
      <c r="H26" s="11">
        <v>193635.58000000002</v>
      </c>
      <c r="I26" s="11">
        <v>-96275.68</v>
      </c>
      <c r="J26" s="6">
        <v>30594.978744751199</v>
      </c>
      <c r="K26" s="6">
        <v>30594.978744751199</v>
      </c>
      <c r="L26" s="6">
        <v>31252.845640094896</v>
      </c>
      <c r="M26" s="6">
        <v>57564.017114293034</v>
      </c>
      <c r="N26" s="6">
        <v>57493.660438094441</v>
      </c>
      <c r="O26" s="6">
        <v>57516.051531833327</v>
      </c>
      <c r="P26">
        <f t="shared" si="0"/>
        <v>576515.06221381808</v>
      </c>
    </row>
    <row r="27" spans="1:16">
      <c r="A27" s="56">
        <f t="shared" si="1"/>
        <v>16</v>
      </c>
      <c r="B27" s="95">
        <v>9240</v>
      </c>
      <c r="C27" t="s">
        <v>332</v>
      </c>
      <c r="D27" s="11">
        <v>6316.47</v>
      </c>
      <c r="E27" s="11">
        <v>6316.47</v>
      </c>
      <c r="F27" s="11">
        <v>6100.58</v>
      </c>
      <c r="G27" s="11">
        <v>6100.58</v>
      </c>
      <c r="H27" s="11">
        <v>6100.58</v>
      </c>
      <c r="I27" s="11">
        <v>6100.58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>
        <f t="shared" si="0"/>
        <v>37035.26</v>
      </c>
    </row>
    <row r="28" spans="1:16">
      <c r="A28" s="56">
        <f t="shared" si="1"/>
        <v>17</v>
      </c>
      <c r="B28" s="95">
        <v>9250</v>
      </c>
      <c r="C28" t="s">
        <v>333</v>
      </c>
      <c r="D28" s="11">
        <v>47.67</v>
      </c>
      <c r="E28" s="11">
        <v>47.67</v>
      </c>
      <c r="F28" s="11">
        <v>47.67</v>
      </c>
      <c r="G28" s="11">
        <v>38.409999999999997</v>
      </c>
      <c r="H28" s="11">
        <v>38.4</v>
      </c>
      <c r="I28" s="11">
        <v>38.4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>
        <f t="shared" si="0"/>
        <v>258.21999999999997</v>
      </c>
    </row>
    <row r="29" spans="1:16">
      <c r="A29" s="56">
        <f t="shared" si="1"/>
        <v>18</v>
      </c>
      <c r="B29" s="95">
        <v>9260</v>
      </c>
      <c r="C29" t="s">
        <v>334</v>
      </c>
      <c r="D29" s="11">
        <v>1128721.5899999999</v>
      </c>
      <c r="E29" s="11">
        <v>963227.0199999999</v>
      </c>
      <c r="F29" s="11">
        <v>922625.00999999989</v>
      </c>
      <c r="G29" s="11">
        <v>940287.6</v>
      </c>
      <c r="H29" s="11">
        <v>1106148.05</v>
      </c>
      <c r="I29" s="11">
        <v>825980.24</v>
      </c>
      <c r="J29" s="6">
        <v>882197.80933474551</v>
      </c>
      <c r="K29" s="6">
        <v>803714.28742536192</v>
      </c>
      <c r="L29" s="6">
        <v>761982.07636357308</v>
      </c>
      <c r="M29" s="6">
        <v>1001868.3355627197</v>
      </c>
      <c r="N29" s="6">
        <v>999348.98600645026</v>
      </c>
      <c r="O29" s="6">
        <v>1097936.9426256672</v>
      </c>
      <c r="P29">
        <f>SUM(D29:O29)</f>
        <v>11434037.947318517</v>
      </c>
    </row>
    <row r="30" spans="1:16">
      <c r="A30" s="56">
        <f t="shared" si="1"/>
        <v>19</v>
      </c>
      <c r="B30" s="95">
        <v>9302</v>
      </c>
      <c r="C30" t="s">
        <v>354</v>
      </c>
      <c r="D30" s="11">
        <f>0</f>
        <v>0</v>
      </c>
      <c r="E30" s="11">
        <f>0</f>
        <v>0</v>
      </c>
      <c r="F30" s="11">
        <f>0</f>
        <v>0</v>
      </c>
      <c r="G30" s="11">
        <f>0</f>
        <v>0</v>
      </c>
      <c r="H30" s="11">
        <f>0</f>
        <v>0</v>
      </c>
      <c r="I30" s="11">
        <f>0</f>
        <v>0</v>
      </c>
      <c r="J30" s="6">
        <v>791</v>
      </c>
      <c r="K30" s="6">
        <v>666</v>
      </c>
      <c r="L30" s="6">
        <v>664</v>
      </c>
      <c r="M30" s="6">
        <v>791</v>
      </c>
      <c r="N30" s="6">
        <v>666</v>
      </c>
      <c r="O30" s="6">
        <v>666</v>
      </c>
      <c r="P30">
        <f>SUM(D30:O30)</f>
        <v>4244</v>
      </c>
    </row>
    <row r="31" spans="1:16">
      <c r="A31" s="56">
        <f t="shared" si="1"/>
        <v>20</v>
      </c>
      <c r="B31" s="95">
        <v>9310</v>
      </c>
      <c r="C31" t="s">
        <v>212</v>
      </c>
      <c r="D31" s="11">
        <v>115008.77000000002</v>
      </c>
      <c r="E31" s="11">
        <v>139627.37</v>
      </c>
      <c r="F31" s="11">
        <v>96748.54</v>
      </c>
      <c r="G31" s="11">
        <v>132518.51</v>
      </c>
      <c r="H31" s="11">
        <v>137847.57</v>
      </c>
      <c r="I31" s="11">
        <v>96770.76</v>
      </c>
      <c r="J31" s="6">
        <v>109838.93491625394</v>
      </c>
      <c r="K31" s="6">
        <v>106680.42998459002</v>
      </c>
      <c r="L31" s="6">
        <v>106680.42998459002</v>
      </c>
      <c r="M31" s="6">
        <v>112016.30036475514</v>
      </c>
      <c r="N31" s="6">
        <v>111816.00493006426</v>
      </c>
      <c r="O31" s="6">
        <v>111816.00493006426</v>
      </c>
      <c r="P31">
        <f>SUM(D31:O31)</f>
        <v>1377369.6251103177</v>
      </c>
    </row>
    <row r="32" spans="1:16">
      <c r="A32" s="56">
        <f t="shared" si="1"/>
        <v>21</v>
      </c>
      <c r="B32" s="95">
        <v>9320</v>
      </c>
      <c r="C32" t="s">
        <v>338</v>
      </c>
      <c r="D32" s="11">
        <v>67.2</v>
      </c>
      <c r="E32" s="11">
        <v>271.17</v>
      </c>
      <c r="F32" s="11">
        <v>0</v>
      </c>
      <c r="G32" s="11">
        <v>0</v>
      </c>
      <c r="H32" s="11">
        <v>205.52</v>
      </c>
      <c r="I32" s="11">
        <v>411.04</v>
      </c>
      <c r="J32" s="6">
        <v>0.67170653205553832</v>
      </c>
      <c r="K32" s="6">
        <v>0.43525328169898408</v>
      </c>
      <c r="L32" s="6">
        <v>0.43346027126974007</v>
      </c>
      <c r="M32" s="6">
        <v>101.23460404981975</v>
      </c>
      <c r="N32" s="6">
        <v>100.29437851714366</v>
      </c>
      <c r="O32" s="6">
        <v>106.37016559818858</v>
      </c>
      <c r="P32">
        <f>SUM(D32:O32)</f>
        <v>1264.3695682501764</v>
      </c>
    </row>
    <row r="33" spans="1:17">
      <c r="A33" s="56">
        <f t="shared" si="1"/>
        <v>22</v>
      </c>
      <c r="C33" s="99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17" ht="15.75" thickBot="1">
      <c r="A34" s="56">
        <f t="shared" si="1"/>
        <v>23</v>
      </c>
      <c r="B34" t="s">
        <v>339</v>
      </c>
      <c r="C34" s="99"/>
      <c r="D34" s="100">
        <f>SUM(D12:D32)</f>
        <v>-9.9999997299136112E-3</v>
      </c>
      <c r="E34" s="100">
        <f t="shared" ref="E34:I34" si="3">SUM(E12:E32)</f>
        <v>2.9999999869630756E-2</v>
      </c>
      <c r="F34" s="100">
        <f t="shared" si="3"/>
        <v>-1.9999998898128979E-2</v>
      </c>
      <c r="G34" s="100">
        <f t="shared" si="3"/>
        <v>-5.8207660913467407E-10</v>
      </c>
      <c r="H34" s="100">
        <f t="shared" si="3"/>
        <v>118873.94000000034</v>
      </c>
      <c r="I34" s="100">
        <f t="shared" si="3"/>
        <v>-115373.66000000091</v>
      </c>
      <c r="J34" s="100">
        <f t="shared" ref="J34:P34" si="4">SUM(J12:J33)</f>
        <v>-2.8961166798069371E-11</v>
      </c>
      <c r="K34" s="100">
        <f t="shared" si="4"/>
        <v>3.0531360772911853E-10</v>
      </c>
      <c r="L34" s="100">
        <f t="shared" si="4"/>
        <v>3.6396552438588969E-11</v>
      </c>
      <c r="M34" s="100">
        <f t="shared" si="4"/>
        <v>3.8940584090596531E-10</v>
      </c>
      <c r="N34" s="100">
        <f t="shared" si="4"/>
        <v>-2.2654944586975034E-10</v>
      </c>
      <c r="O34" s="100">
        <f t="shared" si="4"/>
        <v>-2.1555024432018399E-10</v>
      </c>
      <c r="P34" s="100">
        <f t="shared" si="4"/>
        <v>3500.2799999954059</v>
      </c>
      <c r="Q34" s="103"/>
    </row>
    <row r="35" spans="1:17" ht="15.75" thickTop="1">
      <c r="A35" s="56">
        <f t="shared" si="1"/>
        <v>24</v>
      </c>
      <c r="C35" s="99"/>
    </row>
    <row r="36" spans="1:17">
      <c r="A36" s="56">
        <f t="shared" si="1"/>
        <v>25</v>
      </c>
      <c r="B36" s="95">
        <f>B25</f>
        <v>9220</v>
      </c>
      <c r="C36" s="118" t="str">
        <f>C25</f>
        <v>A&amp;G-Administrative expense transferred-Credit</v>
      </c>
      <c r="D36" s="117">
        <f>D25</f>
        <v>-5518126.3299999991</v>
      </c>
      <c r="E36" s="117">
        <f t="shared" ref="E36:I36" si="5">E25</f>
        <v>-4953330.0199999996</v>
      </c>
      <c r="F36" s="117">
        <f t="shared" si="5"/>
        <v>-4747445.959999999</v>
      </c>
      <c r="G36" s="117">
        <f t="shared" si="5"/>
        <v>-5206149.16</v>
      </c>
      <c r="H36" s="117">
        <f t="shared" si="5"/>
        <v>-5544998.4199999999</v>
      </c>
      <c r="I36" s="117">
        <f t="shared" si="5"/>
        <v>-4584404.9600000009</v>
      </c>
      <c r="J36" s="117">
        <f t="shared" ref="J36:K36" si="6">-(J34-J25)</f>
        <v>-4551308.75</v>
      </c>
      <c r="K36" s="117">
        <f t="shared" si="6"/>
        <v>-4267010.3499999996</v>
      </c>
      <c r="L36" s="119">
        <f>L25</f>
        <v>-4088246.2500000014</v>
      </c>
      <c r="M36" s="119">
        <f>M25</f>
        <v>-5205494.0943390885</v>
      </c>
      <c r="N36" s="119">
        <f>N25</f>
        <v>-4851146.5448093927</v>
      </c>
      <c r="O36" s="119">
        <f>O25</f>
        <v>-5191292.9655873906</v>
      </c>
      <c r="P36">
        <f t="shared" ref="P36" si="7">SUM(D36:O36)</f>
        <v>-58708953.804735877</v>
      </c>
    </row>
    <row r="37" spans="1:17">
      <c r="A37" s="56">
        <f t="shared" si="1"/>
        <v>26</v>
      </c>
      <c r="C37" s="59" t="s">
        <v>348</v>
      </c>
      <c r="D37" s="101">
        <f>D38/D36</f>
        <v>4.0551699366404327E-2</v>
      </c>
      <c r="E37" s="101">
        <f t="shared" ref="E37:I37" si="8">E38/E36</f>
        <v>3.9196245599642084E-2</v>
      </c>
      <c r="F37" s="101">
        <f t="shared" si="8"/>
        <v>3.9802909099359192E-2</v>
      </c>
      <c r="G37" s="101">
        <f t="shared" si="8"/>
        <v>3.9196082119168481E-2</v>
      </c>
      <c r="H37" s="101">
        <f t="shared" si="8"/>
        <v>3.8173190318059637E-2</v>
      </c>
      <c r="I37" s="101">
        <f t="shared" si="8"/>
        <v>4.006848470035683E-2</v>
      </c>
      <c r="J37" s="101">
        <v>5.3911399999999998E-2</v>
      </c>
      <c r="K37" s="101">
        <v>5.3911399999999998E-2</v>
      </c>
      <c r="L37" s="101">
        <v>5.3911399999999998E-2</v>
      </c>
      <c r="M37" s="101">
        <v>5.3911399999999998E-2</v>
      </c>
      <c r="N37" s="101">
        <v>5.3911399999999998E-2</v>
      </c>
      <c r="O37" s="101">
        <v>5.3911399999999998E-2</v>
      </c>
      <c r="P37" s="101">
        <f>P38/P36</f>
        <v>4.6400980913555274E-2</v>
      </c>
    </row>
    <row r="38" spans="1:17">
      <c r="A38" s="56">
        <f t="shared" si="1"/>
        <v>27</v>
      </c>
      <c r="C38" t="s">
        <v>349</v>
      </c>
      <c r="D38">
        <v>-223769.4</v>
      </c>
      <c r="E38">
        <v>-194151.94</v>
      </c>
      <c r="F38">
        <v>-188962.16</v>
      </c>
      <c r="G38">
        <v>-204060.65</v>
      </c>
      <c r="H38">
        <v>-211670.28</v>
      </c>
      <c r="I38">
        <v>-183690.16</v>
      </c>
      <c r="J38">
        <f t="shared" ref="J38:O38" si="9">J36*J37</f>
        <v>-245367.42654474999</v>
      </c>
      <c r="K38">
        <f t="shared" si="9"/>
        <v>-230040.50178298997</v>
      </c>
      <c r="L38">
        <f t="shared" si="9"/>
        <v>-220403.07888225006</v>
      </c>
      <c r="M38">
        <f t="shared" si="9"/>
        <v>-280635.47431755235</v>
      </c>
      <c r="N38">
        <f t="shared" si="9"/>
        <v>-261532.10183583709</v>
      </c>
      <c r="O38">
        <f t="shared" si="9"/>
        <v>-279869.87158496806</v>
      </c>
      <c r="P38">
        <f>SUM(D38:O38)</f>
        <v>-2724153.0449483478</v>
      </c>
    </row>
    <row r="39" spans="1:17">
      <c r="A39" s="56"/>
      <c r="C39" s="99"/>
      <c r="P39" s="48"/>
    </row>
    <row r="40" spans="1:17">
      <c r="C40" s="99"/>
    </row>
    <row r="41" spans="1:17">
      <c r="B41" t="s">
        <v>350</v>
      </c>
      <c r="C41" s="99"/>
      <c r="D41" s="103"/>
      <c r="E41" s="103"/>
      <c r="F41" s="103"/>
      <c r="G41" s="103"/>
      <c r="H41" s="103"/>
      <c r="I41" s="103"/>
      <c r="P41" s="103"/>
    </row>
    <row r="44" spans="1:17">
      <c r="B44" t="s">
        <v>342</v>
      </c>
    </row>
    <row r="45" spans="1:17">
      <c r="B45" t="s">
        <v>415</v>
      </c>
    </row>
    <row r="46" spans="1:17">
      <c r="B46" t="s">
        <v>413</v>
      </c>
    </row>
    <row r="47" spans="1:17">
      <c r="B47" t="s">
        <v>416</v>
      </c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65" header="0.25" footer="0.25"/>
  <pageSetup scale="47" fitToHeight="2" orientation="landscape" r:id="rId1"/>
  <headerFooter alignWithMargins="0">
    <oddHeader xml:space="preserve">&amp;RCASE NO. 2024-00276 
FR 16(8)(c)
ATTACHMENT 1
</oddHeader>
    <oddFooter>&amp;RSchedule &amp;A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7B19-168A-4065-A638-501C426A1E59}">
  <sheetPr>
    <tabColor rgb="FF92D050"/>
  </sheetPr>
  <dimension ref="A1:R73"/>
  <sheetViews>
    <sheetView view="pageBreakPreview" zoomScale="80" zoomScaleNormal="100" zoomScaleSheetLayoutView="80" workbookViewId="0">
      <selection sqref="A1:P1"/>
    </sheetView>
  </sheetViews>
  <sheetFormatPr defaultColWidth="7.109375" defaultRowHeight="15"/>
  <cols>
    <col min="1" max="1" width="6.21875" customWidth="1"/>
    <col min="2" max="2" width="7.21875" customWidth="1"/>
    <col min="3" max="3" width="38.88671875" customWidth="1"/>
    <col min="4" max="5" width="11.109375" customWidth="1"/>
    <col min="6" max="6" width="11.77734375" bestFit="1" customWidth="1"/>
    <col min="7" max="7" width="11.33203125" bestFit="1" customWidth="1"/>
    <col min="8" max="8" width="11.109375" customWidth="1"/>
    <col min="9" max="9" width="12" bestFit="1" customWidth="1"/>
    <col min="10" max="13" width="11.33203125" bestFit="1" customWidth="1"/>
    <col min="14" max="14" width="12.44140625" customWidth="1"/>
    <col min="15" max="15" width="10.5546875" bestFit="1" customWidth="1"/>
    <col min="16" max="16" width="12.44140625" customWidth="1"/>
    <col min="17" max="17" width="12.5546875" customWidth="1"/>
  </cols>
  <sheetData>
    <row r="1" spans="1:18">
      <c r="A1" s="185" t="s">
        <v>407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8">
      <c r="A2" s="185" t="s">
        <v>408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8" ht="15.75">
      <c r="A3" s="185" t="s">
        <v>355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8">
      <c r="A4" s="185" t="s">
        <v>409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8">
      <c r="B5" s="60"/>
      <c r="C5" s="60"/>
      <c r="D5" s="60"/>
      <c r="E5" s="60"/>
      <c r="F5" s="60"/>
      <c r="G5" s="47"/>
      <c r="H5" s="60"/>
      <c r="I5" s="60"/>
      <c r="J5" s="60"/>
      <c r="K5" s="60"/>
      <c r="L5" s="60"/>
      <c r="M5" s="60"/>
      <c r="N5" s="60"/>
      <c r="O5" s="60"/>
    </row>
    <row r="6" spans="1:18" ht="15.75">
      <c r="A6" s="61" t="str">
        <f>'C.2.2 B 09'!A6</f>
        <v>Data:___X____Base Period________Forecasted Period</v>
      </c>
      <c r="C6" s="61"/>
      <c r="F6" s="44"/>
      <c r="P6" s="62" t="s">
        <v>240</v>
      </c>
    </row>
    <row r="7" spans="1:18">
      <c r="A7" s="61" t="str">
        <f>'C.2.2 B 09'!A7</f>
        <v>Type of Filing:___X____Original________Updated ________Revised</v>
      </c>
      <c r="C7" s="61"/>
      <c r="P7" s="63" t="s">
        <v>241</v>
      </c>
    </row>
    <row r="8" spans="1:18">
      <c r="A8" s="64" t="str">
        <f>'C.2.2 B 09'!A8</f>
        <v>Workpaper Reference No(s).____________________</v>
      </c>
      <c r="B8" s="58"/>
      <c r="C8" s="89"/>
      <c r="D8" s="65"/>
      <c r="E8" s="65"/>
      <c r="F8" s="65"/>
      <c r="G8" s="65"/>
      <c r="H8" s="65"/>
      <c r="I8" s="65"/>
      <c r="J8" s="65"/>
      <c r="K8" s="65"/>
      <c r="L8" s="65"/>
      <c r="M8" s="58"/>
      <c r="N8" s="58"/>
      <c r="O8" s="58"/>
      <c r="P8" s="66" t="str">
        <f>'C.1'!J9</f>
        <v>Witness: Waller, Wiebe, Troup</v>
      </c>
    </row>
    <row r="9" spans="1:18">
      <c r="A9" s="107" t="s">
        <v>22</v>
      </c>
      <c r="B9" s="92" t="s">
        <v>242</v>
      </c>
      <c r="C9" s="108"/>
      <c r="D9" s="68" t="str">
        <f>'C.2.2 B 09'!D9</f>
        <v>actual</v>
      </c>
      <c r="E9" s="68" t="str">
        <f>'C.2.2 B 09'!F9</f>
        <v>actual</v>
      </c>
      <c r="F9" s="68" t="str">
        <f>'C.2.2 B 09'!F9</f>
        <v>actual</v>
      </c>
      <c r="G9" s="68" t="str">
        <f>'C.2.2 B 09'!G9</f>
        <v>actual</v>
      </c>
      <c r="H9" s="68" t="str">
        <f>'C.2.2 B 09'!H9</f>
        <v>actual</v>
      </c>
      <c r="I9" s="68" t="str">
        <f>'C.2.2 B 09'!I9</f>
        <v>actual</v>
      </c>
      <c r="J9" s="68" t="str">
        <f>'C.2.2 B 09'!J9</f>
        <v>Budgeted</v>
      </c>
      <c r="K9" s="68" t="str">
        <f>'C.2.2 B 09'!K9</f>
        <v>Budgeted</v>
      </c>
      <c r="L9" s="68" t="str">
        <f>'C.2.2 B 09'!L9</f>
        <v>Budgeted</v>
      </c>
      <c r="M9" s="68" t="str">
        <f>'C.2.2 B 09'!M9</f>
        <v>Budgeted</v>
      </c>
      <c r="N9" s="68" t="str">
        <f>'C.2.2 B 09'!N9</f>
        <v>Budgeted</v>
      </c>
      <c r="O9" s="68" t="str">
        <f>'C.2.2 B 09'!O9</f>
        <v>Budgeted</v>
      </c>
      <c r="P9" s="75"/>
      <c r="Q9" s="56"/>
      <c r="R9" s="56"/>
    </row>
    <row r="10" spans="1:18">
      <c r="A10" s="110" t="s">
        <v>25</v>
      </c>
      <c r="B10" s="57" t="s">
        <v>25</v>
      </c>
      <c r="C10" s="111" t="s">
        <v>245</v>
      </c>
      <c r="D10" s="76">
        <f>'C.2.2 B 09'!D10</f>
        <v>45292</v>
      </c>
      <c r="E10" s="76">
        <f>'C.2.2 B 09'!E10</f>
        <v>45323</v>
      </c>
      <c r="F10" s="76">
        <f>'C.2.2 B 09'!F10</f>
        <v>45352</v>
      </c>
      <c r="G10" s="76">
        <f>'C.2.2 B 09'!G10</f>
        <v>45383</v>
      </c>
      <c r="H10" s="76">
        <f>'C.2.2 B 09'!H10</f>
        <v>45413</v>
      </c>
      <c r="I10" s="76">
        <f>'C.2.2 B 09'!I10</f>
        <v>45444</v>
      </c>
      <c r="J10" s="76">
        <f>'C.2.2 B 09'!J10</f>
        <v>45474</v>
      </c>
      <c r="K10" s="76">
        <f>'C.2.2 B 09'!K10</f>
        <v>45505</v>
      </c>
      <c r="L10" s="76">
        <f>'C.2.2 B 09'!L10</f>
        <v>45536</v>
      </c>
      <c r="M10" s="76">
        <f>'C.2.2 B 09'!M10</f>
        <v>45566</v>
      </c>
      <c r="N10" s="76">
        <f>'C.2.2 B 09'!N10</f>
        <v>45597</v>
      </c>
      <c r="O10" s="76">
        <f>'C.2.2 B 09'!O10</f>
        <v>45627</v>
      </c>
      <c r="P10" s="76" t="str">
        <f>'C.2.2 B 09'!P10</f>
        <v>Total</v>
      </c>
      <c r="Q10" s="56"/>
      <c r="R10" s="56"/>
    </row>
    <row r="11" spans="1:18">
      <c r="D11" s="77" t="s">
        <v>247</v>
      </c>
      <c r="E11" s="77" t="s">
        <v>247</v>
      </c>
      <c r="F11" s="77" t="s">
        <v>247</v>
      </c>
      <c r="G11" s="77" t="s">
        <v>247</v>
      </c>
      <c r="H11" s="77" t="s">
        <v>247</v>
      </c>
      <c r="I11" s="77" t="s">
        <v>247</v>
      </c>
      <c r="J11" s="77" t="s">
        <v>247</v>
      </c>
      <c r="K11" s="77" t="s">
        <v>247</v>
      </c>
      <c r="L11" s="77" t="s">
        <v>247</v>
      </c>
      <c r="M11" s="77" t="s">
        <v>247</v>
      </c>
      <c r="N11" s="77" t="s">
        <v>247</v>
      </c>
      <c r="O11" s="77" t="s">
        <v>247</v>
      </c>
      <c r="P11" s="77" t="s">
        <v>247</v>
      </c>
      <c r="Q11" s="77"/>
    </row>
    <row r="12" spans="1:18">
      <c r="A12" s="56">
        <v>1</v>
      </c>
      <c r="B12" s="95">
        <v>4030</v>
      </c>
      <c r="C12" t="s">
        <v>71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f>0</f>
        <v>0</v>
      </c>
      <c r="K12" s="11">
        <f>0</f>
        <v>0</v>
      </c>
      <c r="L12" s="11">
        <f>0</f>
        <v>0</v>
      </c>
      <c r="M12" s="11">
        <f>0</f>
        <v>0</v>
      </c>
      <c r="N12" s="11">
        <f>0</f>
        <v>0</v>
      </c>
      <c r="O12" s="11">
        <f>0</f>
        <v>0</v>
      </c>
      <c r="P12">
        <f t="shared" ref="P12:P13" si="0">SUM(D12:O12)</f>
        <v>0</v>
      </c>
    </row>
    <row r="13" spans="1:18">
      <c r="A13" s="56">
        <f>A12+1</f>
        <v>2</v>
      </c>
      <c r="B13" s="95" t="s">
        <v>356</v>
      </c>
      <c r="C13" t="s">
        <v>249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f>0</f>
        <v>0</v>
      </c>
      <c r="K13" s="11">
        <f>0</f>
        <v>0</v>
      </c>
      <c r="L13" s="11">
        <f>0</f>
        <v>0</v>
      </c>
      <c r="M13" s="11">
        <f>0</f>
        <v>0</v>
      </c>
      <c r="N13" s="11">
        <f>0</f>
        <v>0</v>
      </c>
      <c r="O13" s="11">
        <f>0</f>
        <v>0</v>
      </c>
      <c r="P13">
        <f t="shared" si="0"/>
        <v>0</v>
      </c>
    </row>
    <row r="14" spans="1:18">
      <c r="A14" s="56">
        <f t="shared" ref="A14:A63" si="1">A13+1</f>
        <v>3</v>
      </c>
      <c r="B14" s="95">
        <v>4081</v>
      </c>
      <c r="C14" t="s">
        <v>250</v>
      </c>
      <c r="D14" s="11">
        <v>-1.0000000002037268E-2</v>
      </c>
      <c r="E14" s="11">
        <v>1.0000000009313226E-2</v>
      </c>
      <c r="F14" s="11">
        <v>0</v>
      </c>
      <c r="G14" s="11">
        <v>0</v>
      </c>
      <c r="H14" s="11">
        <v>0</v>
      </c>
      <c r="I14" s="11">
        <v>1.9999999989522621E-2</v>
      </c>
      <c r="J14" s="11">
        <f>0</f>
        <v>0</v>
      </c>
      <c r="K14" s="11">
        <f>0</f>
        <v>0</v>
      </c>
      <c r="L14" s="11">
        <f>0</f>
        <v>0</v>
      </c>
      <c r="M14" s="11">
        <f>0</f>
        <v>0</v>
      </c>
      <c r="N14" s="11">
        <f>0</f>
        <v>0</v>
      </c>
      <c r="O14" s="11">
        <f>0</f>
        <v>0</v>
      </c>
      <c r="P14">
        <f t="shared" ref="P14:P57" si="2">SUM(D14:O14)</f>
        <v>1.9999999996798579E-2</v>
      </c>
    </row>
    <row r="15" spans="1:18">
      <c r="A15" s="56">
        <f t="shared" si="1"/>
        <v>4</v>
      </c>
      <c r="B15" s="95">
        <v>8170</v>
      </c>
      <c r="C15" t="s">
        <v>279</v>
      </c>
      <c r="D15" s="11">
        <v>45.38</v>
      </c>
      <c r="E15" s="11">
        <v>0.94</v>
      </c>
      <c r="F15" s="11">
        <v>70.83</v>
      </c>
      <c r="G15" s="11">
        <v>25</v>
      </c>
      <c r="H15" s="11">
        <v>86.96</v>
      </c>
      <c r="I15" s="11">
        <v>47.2</v>
      </c>
      <c r="J15" s="6">
        <v>93.362025908503227</v>
      </c>
      <c r="K15" s="6">
        <v>98.536952968706913</v>
      </c>
      <c r="L15" s="6">
        <v>102.13447749017962</v>
      </c>
      <c r="M15" s="6">
        <v>107.57807261349424</v>
      </c>
      <c r="N15" s="6">
        <v>111.19197344437158</v>
      </c>
      <c r="O15" s="6">
        <v>114.24303119834447</v>
      </c>
      <c r="P15">
        <f t="shared" si="2"/>
        <v>903.35653362360006</v>
      </c>
    </row>
    <row r="16" spans="1:18">
      <c r="A16" s="56">
        <f t="shared" si="1"/>
        <v>5</v>
      </c>
      <c r="B16" s="95">
        <v>8180</v>
      </c>
      <c r="C16" t="s">
        <v>280</v>
      </c>
      <c r="D16" s="11">
        <v>57.230000000000018</v>
      </c>
      <c r="E16" s="11">
        <v>1.1799999999999997</v>
      </c>
      <c r="F16" s="11">
        <v>89.29000000000002</v>
      </c>
      <c r="G16" s="11">
        <v>31.47999999999999</v>
      </c>
      <c r="H16" s="11">
        <v>109.46999999999997</v>
      </c>
      <c r="I16" s="11">
        <v>59.470000000000027</v>
      </c>
      <c r="J16" s="6">
        <v>117.62581325058125</v>
      </c>
      <c r="K16" s="6">
        <v>124.14564824822196</v>
      </c>
      <c r="L16" s="6">
        <v>128.67813073678587</v>
      </c>
      <c r="M16" s="6">
        <v>135.53645774025404</v>
      </c>
      <c r="N16" s="6">
        <v>140.08957256507051</v>
      </c>
      <c r="O16" s="6">
        <v>143.93356744514369</v>
      </c>
      <c r="P16">
        <f t="shared" si="2"/>
        <v>1138.1291899860573</v>
      </c>
    </row>
    <row r="17" spans="1:18">
      <c r="A17" s="56">
        <f t="shared" si="1"/>
        <v>6</v>
      </c>
      <c r="B17" s="95">
        <v>8190</v>
      </c>
      <c r="C17" t="s">
        <v>281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>
        <f t="shared" si="2"/>
        <v>0</v>
      </c>
    </row>
    <row r="18" spans="1:18">
      <c r="A18" s="56">
        <f t="shared" si="1"/>
        <v>7</v>
      </c>
      <c r="B18" s="95">
        <v>8210</v>
      </c>
      <c r="C18" t="s">
        <v>283</v>
      </c>
      <c r="D18" s="11">
        <v>99.58</v>
      </c>
      <c r="E18" s="11">
        <v>154.44999999999999</v>
      </c>
      <c r="F18" s="11">
        <v>115.3</v>
      </c>
      <c r="G18" s="11">
        <v>89.93</v>
      </c>
      <c r="H18" s="11">
        <v>85.01</v>
      </c>
      <c r="I18" s="11">
        <v>80.34</v>
      </c>
      <c r="J18" s="6">
        <v>211.04865912457097</v>
      </c>
      <c r="K18" s="6">
        <v>222.74679234839141</v>
      </c>
      <c r="L18" s="6">
        <v>230.87914293779124</v>
      </c>
      <c r="M18" s="6">
        <v>243.18461125226969</v>
      </c>
      <c r="N18" s="6">
        <v>251.35398115554608</v>
      </c>
      <c r="O18" s="6">
        <v>258.2510213774309</v>
      </c>
      <c r="P18">
        <f t="shared" si="2"/>
        <v>2042.0742081960002</v>
      </c>
    </row>
    <row r="19" spans="1:18">
      <c r="A19" s="56">
        <f t="shared" si="1"/>
        <v>8</v>
      </c>
      <c r="B19" s="95">
        <v>8240</v>
      </c>
      <c r="C19" t="s">
        <v>284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>
        <f t="shared" si="2"/>
        <v>0</v>
      </c>
    </row>
    <row r="20" spans="1:18">
      <c r="A20" s="56">
        <f t="shared" si="1"/>
        <v>9</v>
      </c>
      <c r="B20" s="95">
        <v>8250</v>
      </c>
      <c r="C20" t="s">
        <v>285</v>
      </c>
      <c r="D20" s="11">
        <v>735.15000000000009</v>
      </c>
      <c r="E20" s="11">
        <v>525.28000000000009</v>
      </c>
      <c r="F20" s="11">
        <v>506.4</v>
      </c>
      <c r="G20" s="11">
        <v>649.79000000000042</v>
      </c>
      <c r="H20" s="11">
        <v>178.09</v>
      </c>
      <c r="I20" s="11">
        <v>129.95000000000005</v>
      </c>
      <c r="J20" s="6">
        <v>920.63181756672759</v>
      </c>
      <c r="K20" s="6">
        <v>971.66115694588336</v>
      </c>
      <c r="L20" s="6">
        <v>1007.1359177676989</v>
      </c>
      <c r="M20" s="6">
        <v>1060.8145609173871</v>
      </c>
      <c r="N20" s="6">
        <v>1096.4508065757359</v>
      </c>
      <c r="O20" s="6">
        <v>1126.5369236903525</v>
      </c>
      <c r="P20">
        <f t="shared" si="2"/>
        <v>8907.8911834637875</v>
      </c>
    </row>
    <row r="21" spans="1:18">
      <c r="A21" s="56">
        <f t="shared" si="1"/>
        <v>10</v>
      </c>
      <c r="B21" s="95">
        <v>8500</v>
      </c>
      <c r="C21" t="s">
        <v>153</v>
      </c>
      <c r="D21" s="11">
        <f>0</f>
        <v>0</v>
      </c>
      <c r="E21" s="11">
        <f>0</f>
        <v>0</v>
      </c>
      <c r="F21" s="11">
        <f>0</f>
        <v>0</v>
      </c>
      <c r="G21" s="11">
        <f>0</f>
        <v>0</v>
      </c>
      <c r="H21" s="11">
        <f>0</f>
        <v>0</v>
      </c>
      <c r="I21" s="11">
        <f>0</f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>
        <f t="shared" si="2"/>
        <v>0</v>
      </c>
    </row>
    <row r="22" spans="1:18">
      <c r="A22" s="56">
        <f t="shared" si="1"/>
        <v>11</v>
      </c>
      <c r="B22" s="95">
        <v>8560</v>
      </c>
      <c r="C22" t="s">
        <v>292</v>
      </c>
      <c r="D22" s="11">
        <v>73.56</v>
      </c>
      <c r="E22" s="11">
        <v>1.5099999999999998</v>
      </c>
      <c r="F22" s="11">
        <v>114.81999999999994</v>
      </c>
      <c r="G22" s="11">
        <v>40.460000000000008</v>
      </c>
      <c r="H22" s="11">
        <v>140.70000000000005</v>
      </c>
      <c r="I22" s="11">
        <v>76.430000000000007</v>
      </c>
      <c r="J22" s="6">
        <v>151.19843419904112</v>
      </c>
      <c r="K22" s="6">
        <v>159.57915281545002</v>
      </c>
      <c r="L22" s="6">
        <v>165.40529111253898</v>
      </c>
      <c r="M22" s="6">
        <v>174.22111372402901</v>
      </c>
      <c r="N22" s="6">
        <v>180.07377321445995</v>
      </c>
      <c r="O22" s="6">
        <v>185.01491658150348</v>
      </c>
      <c r="P22">
        <f t="shared" si="2"/>
        <v>1462.9726816470222</v>
      </c>
    </row>
    <row r="23" spans="1:18">
      <c r="A23" s="56">
        <f t="shared" si="1"/>
        <v>12</v>
      </c>
      <c r="B23" s="95">
        <v>8570</v>
      </c>
      <c r="C23" t="s">
        <v>293</v>
      </c>
      <c r="D23" s="11">
        <v>90.9</v>
      </c>
      <c r="E23" s="11">
        <v>1.88</v>
      </c>
      <c r="F23" s="11">
        <v>141.83000000000001</v>
      </c>
      <c r="G23" s="11">
        <v>49.96</v>
      </c>
      <c r="H23" s="11">
        <v>173.72</v>
      </c>
      <c r="I23" s="11">
        <v>94.38</v>
      </c>
      <c r="J23" s="6">
        <v>186.74094625186376</v>
      </c>
      <c r="K23" s="6">
        <v>197.09173680726448</v>
      </c>
      <c r="L23" s="6">
        <v>204.28743684447747</v>
      </c>
      <c r="M23" s="6">
        <v>215.17561214324436</v>
      </c>
      <c r="N23" s="6">
        <v>222.4040677626609</v>
      </c>
      <c r="O23" s="6">
        <v>228.50673537833964</v>
      </c>
      <c r="P23">
        <f>SUM(D23:O23)</f>
        <v>1806.8765351878505</v>
      </c>
    </row>
    <row r="24" spans="1:18">
      <c r="A24" s="56">
        <f t="shared" si="1"/>
        <v>13</v>
      </c>
      <c r="B24" s="95">
        <v>8600</v>
      </c>
      <c r="C24" t="s">
        <v>293</v>
      </c>
      <c r="D24" s="11">
        <v>0</v>
      </c>
      <c r="E24" s="11">
        <v>0</v>
      </c>
      <c r="F24" s="11">
        <v>0</v>
      </c>
      <c r="G24" s="11">
        <v>0</v>
      </c>
      <c r="H24" s="11">
        <v>554.5</v>
      </c>
      <c r="I24" s="11">
        <v>0</v>
      </c>
      <c r="J24" s="6">
        <v>2528.6939414980843</v>
      </c>
      <c r="K24" s="6">
        <v>2528.6939414980843</v>
      </c>
      <c r="L24" s="6">
        <v>2528.6939414980843</v>
      </c>
      <c r="M24" s="6">
        <v>2419.8381132950599</v>
      </c>
      <c r="N24" s="6">
        <v>2419.8381132950599</v>
      </c>
      <c r="O24" s="6">
        <v>2419.8381132950599</v>
      </c>
      <c r="P24">
        <f t="shared" si="2"/>
        <v>15400.096164379433</v>
      </c>
      <c r="R24" s="116"/>
    </row>
    <row r="25" spans="1:18">
      <c r="A25" s="56">
        <f t="shared" si="1"/>
        <v>14</v>
      </c>
      <c r="B25" s="95">
        <v>8650</v>
      </c>
      <c r="C25" s="97" t="s">
        <v>357</v>
      </c>
      <c r="D25" s="11">
        <f>0</f>
        <v>0</v>
      </c>
      <c r="E25" s="11">
        <f>0</f>
        <v>0</v>
      </c>
      <c r="F25" s="11">
        <f>0</f>
        <v>0</v>
      </c>
      <c r="G25" s="11">
        <f>0</f>
        <v>0</v>
      </c>
      <c r="H25" s="11">
        <f>0</f>
        <v>0</v>
      </c>
      <c r="I25" s="11">
        <f>0</f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>
        <f t="shared" si="2"/>
        <v>0</v>
      </c>
      <c r="R25" s="116"/>
    </row>
    <row r="26" spans="1:18">
      <c r="A26" s="56">
        <f t="shared" si="1"/>
        <v>15</v>
      </c>
      <c r="B26" s="95">
        <v>8700</v>
      </c>
      <c r="C26" t="s">
        <v>297</v>
      </c>
      <c r="D26" s="11">
        <v>117489.05000000005</v>
      </c>
      <c r="E26" s="11">
        <v>461667.75</v>
      </c>
      <c r="F26" s="11">
        <v>246379.26999999993</v>
      </c>
      <c r="G26" s="11">
        <v>263989.18999999994</v>
      </c>
      <c r="H26" s="11">
        <v>244730.02000000008</v>
      </c>
      <c r="I26" s="11">
        <v>189577.01000000007</v>
      </c>
      <c r="J26" s="6">
        <v>107158.55469573625</v>
      </c>
      <c r="K26" s="6">
        <v>164744.68903106189</v>
      </c>
      <c r="L26" s="6">
        <v>170692.47684395962</v>
      </c>
      <c r="M26" s="6">
        <v>224460.17601845635</v>
      </c>
      <c r="N26" s="6">
        <v>211310.29866443598</v>
      </c>
      <c r="O26" s="6">
        <v>234668.53002282712</v>
      </c>
      <c r="P26">
        <f t="shared" si="2"/>
        <v>2636867.0152764767</v>
      </c>
      <c r="R26" s="116"/>
    </row>
    <row r="27" spans="1:18">
      <c r="A27" s="56">
        <f t="shared" si="1"/>
        <v>16</v>
      </c>
      <c r="B27" s="95">
        <v>8711</v>
      </c>
      <c r="C27" t="s">
        <v>299</v>
      </c>
      <c r="D27" s="11">
        <f>0</f>
        <v>0</v>
      </c>
      <c r="E27" s="11">
        <f>0</f>
        <v>0</v>
      </c>
      <c r="F27" s="11">
        <f>0</f>
        <v>0</v>
      </c>
      <c r="G27" s="11">
        <f>0</f>
        <v>0</v>
      </c>
      <c r="H27" s="11">
        <f>0</f>
        <v>0</v>
      </c>
      <c r="I27" s="11">
        <f>0</f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>
        <f t="shared" si="2"/>
        <v>0</v>
      </c>
      <c r="R27" s="116"/>
    </row>
    <row r="28" spans="1:18">
      <c r="A28" s="56">
        <f t="shared" si="1"/>
        <v>17</v>
      </c>
      <c r="B28" s="95">
        <v>8740</v>
      </c>
      <c r="C28" t="s">
        <v>301</v>
      </c>
      <c r="D28" s="11">
        <v>42428.5</v>
      </c>
      <c r="E28" s="11">
        <v>22466.33</v>
      </c>
      <c r="F28" s="11">
        <v>23206.039999999997</v>
      </c>
      <c r="G28" s="11">
        <v>47854.8</v>
      </c>
      <c r="H28" s="11">
        <v>28568.860000000008</v>
      </c>
      <c r="I28" s="11">
        <v>19727.329999999998</v>
      </c>
      <c r="J28" s="6">
        <v>20964.913747103863</v>
      </c>
      <c r="K28" s="6">
        <v>20498.333970490374</v>
      </c>
      <c r="L28" s="6">
        <v>21209.699017285049</v>
      </c>
      <c r="M28" s="6">
        <v>34791.54356362066</v>
      </c>
      <c r="N28" s="6">
        <v>32899.907065162064</v>
      </c>
      <c r="O28" s="6">
        <v>36343.741372177967</v>
      </c>
      <c r="P28">
        <f t="shared" si="2"/>
        <v>350959.99873583997</v>
      </c>
      <c r="R28" s="116"/>
    </row>
    <row r="29" spans="1:18">
      <c r="A29" s="56">
        <f t="shared" si="1"/>
        <v>18</v>
      </c>
      <c r="B29" s="95">
        <v>8750</v>
      </c>
      <c r="C29" t="s">
        <v>302</v>
      </c>
      <c r="D29" s="11">
        <v>11712.34</v>
      </c>
      <c r="E29" s="11">
        <v>12050.61</v>
      </c>
      <c r="F29" s="11">
        <v>8770.82</v>
      </c>
      <c r="G29" s="11">
        <v>10427.85</v>
      </c>
      <c r="H29" s="11">
        <v>9549.23</v>
      </c>
      <c r="I29" s="11">
        <v>10510.539999999999</v>
      </c>
      <c r="J29" s="6">
        <v>7070.7712295331648</v>
      </c>
      <c r="K29" s="6">
        <v>8788.3766008408475</v>
      </c>
      <c r="L29" s="6">
        <v>7690.1176503356583</v>
      </c>
      <c r="M29" s="6">
        <v>10695.904157299343</v>
      </c>
      <c r="N29" s="6">
        <v>9864.1769989341556</v>
      </c>
      <c r="O29" s="6">
        <v>10444.853303073927</v>
      </c>
      <c r="P29">
        <f t="shared" si="2"/>
        <v>117575.58994001709</v>
      </c>
      <c r="R29" s="116"/>
    </row>
    <row r="30" spans="1:18">
      <c r="A30" s="56">
        <f t="shared" si="1"/>
        <v>19</v>
      </c>
      <c r="B30" s="95">
        <v>8760</v>
      </c>
      <c r="C30" t="s">
        <v>303</v>
      </c>
      <c r="D30" s="11">
        <f>0</f>
        <v>0</v>
      </c>
      <c r="E30" s="11">
        <f>0</f>
        <v>0</v>
      </c>
      <c r="F30" s="11">
        <f>0</f>
        <v>0</v>
      </c>
      <c r="G30" s="11">
        <f>0</f>
        <v>0</v>
      </c>
      <c r="H30" s="11">
        <f>0</f>
        <v>0</v>
      </c>
      <c r="I30" s="11">
        <f>0</f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>
        <f t="shared" si="2"/>
        <v>0</v>
      </c>
      <c r="R30" s="116"/>
    </row>
    <row r="31" spans="1:18">
      <c r="A31" s="56">
        <f t="shared" si="1"/>
        <v>20</v>
      </c>
      <c r="B31" s="95">
        <v>8770</v>
      </c>
      <c r="C31" t="s">
        <v>304</v>
      </c>
      <c r="D31" s="11">
        <f>0</f>
        <v>0</v>
      </c>
      <c r="E31" s="11">
        <f>0</f>
        <v>0</v>
      </c>
      <c r="F31" s="11">
        <f>0</f>
        <v>0</v>
      </c>
      <c r="G31" s="11">
        <f>0</f>
        <v>0</v>
      </c>
      <c r="H31" s="11">
        <f>0</f>
        <v>0</v>
      </c>
      <c r="I31" s="11">
        <f>0</f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>
        <f t="shared" si="2"/>
        <v>0</v>
      </c>
      <c r="R31" s="116"/>
    </row>
    <row r="32" spans="1:18">
      <c r="A32" s="56">
        <f t="shared" si="1"/>
        <v>21</v>
      </c>
      <c r="B32" s="95">
        <v>8780</v>
      </c>
      <c r="C32" t="s">
        <v>305</v>
      </c>
      <c r="D32" s="11">
        <v>11616.41</v>
      </c>
      <c r="E32" s="11">
        <v>6453.11</v>
      </c>
      <c r="F32" s="11">
        <v>6742.4799999999987</v>
      </c>
      <c r="G32" s="11">
        <v>8200</v>
      </c>
      <c r="H32" s="11">
        <v>10987.470000000001</v>
      </c>
      <c r="I32" s="11">
        <v>11138.109999999999</v>
      </c>
      <c r="J32" s="6">
        <v>5427.1051797188047</v>
      </c>
      <c r="K32" s="6">
        <v>5162.745351571114</v>
      </c>
      <c r="L32" s="6">
        <v>4903.9583494393828</v>
      </c>
      <c r="M32" s="6">
        <v>9224.2567405651644</v>
      </c>
      <c r="N32" s="6">
        <v>8388.050343463814</v>
      </c>
      <c r="O32" s="6">
        <v>8914.1753157165949</v>
      </c>
      <c r="P32">
        <f t="shared" ref="P32" si="3">SUM(D32:O32)</f>
        <v>97157.871280474879</v>
      </c>
      <c r="R32" s="116"/>
    </row>
    <row r="33" spans="1:18">
      <c r="A33" s="56">
        <f t="shared" si="1"/>
        <v>22</v>
      </c>
      <c r="B33" s="95">
        <v>8800</v>
      </c>
      <c r="C33" t="s">
        <v>307</v>
      </c>
      <c r="D33" s="11">
        <v>36028.21</v>
      </c>
      <c r="E33" s="11">
        <v>36794.639999999999</v>
      </c>
      <c r="F33" s="11">
        <v>42386.2</v>
      </c>
      <c r="G33" s="11">
        <v>40149.43</v>
      </c>
      <c r="H33" s="11">
        <v>61569.120000000003</v>
      </c>
      <c r="I33" s="11">
        <v>15458.35</v>
      </c>
      <c r="J33" s="6">
        <v>131140.51205261846</v>
      </c>
      <c r="K33" s="6">
        <v>130452.12942251448</v>
      </c>
      <c r="L33" s="6">
        <v>137770.78098296572</v>
      </c>
      <c r="M33" s="6">
        <v>135490.54174455453</v>
      </c>
      <c r="N33" s="6">
        <v>138515.80091220574</v>
      </c>
      <c r="O33" s="6">
        <v>165073.76176079561</v>
      </c>
      <c r="P33">
        <f t="shared" si="2"/>
        <v>1070829.4768756544</v>
      </c>
      <c r="R33" s="116"/>
    </row>
    <row r="34" spans="1:18">
      <c r="A34" s="56">
        <f t="shared" si="1"/>
        <v>23</v>
      </c>
      <c r="B34" s="95">
        <v>8810</v>
      </c>
      <c r="C34" t="s">
        <v>308</v>
      </c>
      <c r="D34" s="11">
        <v>19885.530000000021</v>
      </c>
      <c r="E34" s="11">
        <v>16643.790000000037</v>
      </c>
      <c r="F34" s="11">
        <v>16151.230000000016</v>
      </c>
      <c r="G34" s="11">
        <v>18128.080000000016</v>
      </c>
      <c r="H34" s="11">
        <v>17182.71</v>
      </c>
      <c r="I34" s="11">
        <v>14391.140000000014</v>
      </c>
      <c r="J34" s="6">
        <v>34593.882777810461</v>
      </c>
      <c r="K34" s="6">
        <v>36511.373517352127</v>
      </c>
      <c r="L34" s="6">
        <v>37844.381668954287</v>
      </c>
      <c r="M34" s="6">
        <v>39861.423284678858</v>
      </c>
      <c r="N34" s="6">
        <v>41200.499429368792</v>
      </c>
      <c r="O34" s="6">
        <v>42331.022607954379</v>
      </c>
      <c r="P34">
        <f t="shared" si="2"/>
        <v>334725.06328611902</v>
      </c>
      <c r="R34" s="116"/>
    </row>
    <row r="35" spans="1:18">
      <c r="A35" s="56">
        <f t="shared" si="1"/>
        <v>24</v>
      </c>
      <c r="B35" s="95">
        <v>8870</v>
      </c>
      <c r="C35" t="s">
        <v>311</v>
      </c>
      <c r="D35" s="11">
        <v>0</v>
      </c>
      <c r="E35" s="11">
        <v>0</v>
      </c>
      <c r="F35" s="11">
        <v>0</v>
      </c>
      <c r="G35" s="11">
        <v>560.64</v>
      </c>
      <c r="H35" s="11">
        <v>-210.24</v>
      </c>
      <c r="I35" s="11">
        <v>0</v>
      </c>
      <c r="J35" s="6">
        <v>34.48932025985669</v>
      </c>
      <c r="K35" s="6">
        <v>32.8093102959999</v>
      </c>
      <c r="L35" s="6">
        <v>31.164715710112045</v>
      </c>
      <c r="M35" s="6">
        <v>58.620265196514495</v>
      </c>
      <c r="N35" s="6">
        <v>53.306163243829715</v>
      </c>
      <c r="O35" s="6">
        <v>56.649693922495238</v>
      </c>
      <c r="P35">
        <f t="shared" si="2"/>
        <v>617.43946862880807</v>
      </c>
      <c r="R35" s="116"/>
    </row>
    <row r="36" spans="1:18">
      <c r="A36" s="56">
        <f t="shared" si="1"/>
        <v>25</v>
      </c>
      <c r="B36" s="95">
        <v>8890</v>
      </c>
      <c r="C36" t="s">
        <v>312</v>
      </c>
      <c r="D36" s="11">
        <f>0</f>
        <v>0</v>
      </c>
      <c r="E36" s="11">
        <f>0</f>
        <v>0</v>
      </c>
      <c r="F36" s="11">
        <f>0</f>
        <v>0</v>
      </c>
      <c r="G36" s="11">
        <f>0</f>
        <v>0</v>
      </c>
      <c r="H36" s="11">
        <f>0</f>
        <v>0</v>
      </c>
      <c r="I36" s="11">
        <f>0</f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>
        <f t="shared" si="2"/>
        <v>0</v>
      </c>
      <c r="R36" s="116"/>
    </row>
    <row r="37" spans="1:18">
      <c r="A37" s="56">
        <f t="shared" si="1"/>
        <v>26</v>
      </c>
      <c r="B37" s="95">
        <v>8900</v>
      </c>
      <c r="C37" t="s">
        <v>313</v>
      </c>
      <c r="D37" s="11">
        <f>0</f>
        <v>0</v>
      </c>
      <c r="E37" s="11">
        <f>0</f>
        <v>0</v>
      </c>
      <c r="F37" s="11">
        <f>0</f>
        <v>0</v>
      </c>
      <c r="G37" s="11">
        <f>0</f>
        <v>0</v>
      </c>
      <c r="H37" s="11">
        <f>0</f>
        <v>0</v>
      </c>
      <c r="I37" s="11">
        <f>0</f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>
        <f t="shared" si="2"/>
        <v>0</v>
      </c>
      <c r="R37" s="116"/>
    </row>
    <row r="38" spans="1:18">
      <c r="A38" s="56">
        <f t="shared" si="1"/>
        <v>27</v>
      </c>
      <c r="B38" s="95">
        <v>8910</v>
      </c>
      <c r="C38" t="s">
        <v>314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98.75</v>
      </c>
      <c r="J38" s="6">
        <v>9.7198070081645209</v>
      </c>
      <c r="K38" s="6">
        <v>9.246345296033077</v>
      </c>
      <c r="L38" s="6">
        <v>8.7828643732122273</v>
      </c>
      <c r="M38" s="6">
        <v>16.520408641997161</v>
      </c>
      <c r="N38" s="6">
        <v>15.022784304589567</v>
      </c>
      <c r="O38" s="6">
        <v>15.965060715885857</v>
      </c>
      <c r="P38">
        <f t="shared" si="2"/>
        <v>174.00727033988244</v>
      </c>
      <c r="R38" s="116"/>
    </row>
    <row r="39" spans="1:18">
      <c r="A39" s="56">
        <f t="shared" si="1"/>
        <v>28</v>
      </c>
      <c r="B39" s="95">
        <v>9010</v>
      </c>
      <c r="C39" t="s">
        <v>318</v>
      </c>
      <c r="D39" s="11">
        <v>9992.64</v>
      </c>
      <c r="E39" s="11">
        <v>10094.57</v>
      </c>
      <c r="F39" s="11">
        <v>9123.6999999999989</v>
      </c>
      <c r="G39" s="11">
        <v>9626.57</v>
      </c>
      <c r="H39" s="11">
        <v>9992.6400000000012</v>
      </c>
      <c r="I39" s="11">
        <v>9704.85</v>
      </c>
      <c r="J39" s="6">
        <v>5798.3920403601705</v>
      </c>
      <c r="K39" s="6">
        <v>6024.7118978046501</v>
      </c>
      <c r="L39" s="6">
        <v>5459.273048237641</v>
      </c>
      <c r="M39" s="6">
        <v>9752.9319821877689</v>
      </c>
      <c r="N39" s="6">
        <v>8882.103569125773</v>
      </c>
      <c r="O39" s="6">
        <v>9411.795714186137</v>
      </c>
      <c r="P39">
        <f t="shared" si="2"/>
        <v>103864.17825190214</v>
      </c>
      <c r="R39" s="116"/>
    </row>
    <row r="40" spans="1:18">
      <c r="A40" s="56">
        <f t="shared" si="1"/>
        <v>29</v>
      </c>
      <c r="B40" s="95">
        <v>9020</v>
      </c>
      <c r="C40" t="s">
        <v>319</v>
      </c>
      <c r="D40" s="11">
        <v>3595.47</v>
      </c>
      <c r="E40" s="11">
        <v>3400.6099999999997</v>
      </c>
      <c r="F40" s="11">
        <v>3938.01</v>
      </c>
      <c r="G40" s="11">
        <v>2398.4499999999998</v>
      </c>
      <c r="H40" s="11">
        <v>4390.21</v>
      </c>
      <c r="I40" s="11">
        <v>5251.2199999999993</v>
      </c>
      <c r="J40" s="6">
        <v>2261.2916922669519</v>
      </c>
      <c r="K40" s="6">
        <v>2151.141867753975</v>
      </c>
      <c r="L40" s="6">
        <v>2043.3140518911041</v>
      </c>
      <c r="M40" s="6">
        <v>3843.4366838378082</v>
      </c>
      <c r="N40" s="6">
        <v>3495.0176803049271</v>
      </c>
      <c r="O40" s="6">
        <v>3714.2362119993945</v>
      </c>
      <c r="P40">
        <f t="shared" si="2"/>
        <v>40482.408188054163</v>
      </c>
      <c r="R40" s="116"/>
    </row>
    <row r="41" spans="1:18">
      <c r="A41" s="56">
        <f t="shared" si="1"/>
        <v>30</v>
      </c>
      <c r="B41" s="95">
        <v>9030</v>
      </c>
      <c r="C41" t="s">
        <v>320</v>
      </c>
      <c r="D41" s="11">
        <v>211062.51</v>
      </c>
      <c r="E41" s="11">
        <v>208119.40999999997</v>
      </c>
      <c r="F41" s="11">
        <v>214604.5</v>
      </c>
      <c r="G41" s="11">
        <v>223553.59000000003</v>
      </c>
      <c r="H41" s="11">
        <v>218399.94999999998</v>
      </c>
      <c r="I41" s="11">
        <v>182796.95</v>
      </c>
      <c r="J41" s="6">
        <v>500112.77119031054</v>
      </c>
      <c r="K41" s="6">
        <v>496496.35634190688</v>
      </c>
      <c r="L41" s="6">
        <v>519258.48307101155</v>
      </c>
      <c r="M41" s="6">
        <v>546170.81597032689</v>
      </c>
      <c r="N41" s="6">
        <v>549869.31984652043</v>
      </c>
      <c r="O41" s="6">
        <v>646399.31926998205</v>
      </c>
      <c r="P41">
        <f t="shared" si="2"/>
        <v>4516843.9756900584</v>
      </c>
      <c r="R41" s="116"/>
    </row>
    <row r="42" spans="1:18">
      <c r="A42" s="56">
        <f t="shared" si="1"/>
        <v>31</v>
      </c>
      <c r="B42" s="95">
        <v>9040</v>
      </c>
      <c r="C42" t="s">
        <v>321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1358.48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>
        <f t="shared" si="2"/>
        <v>1358.48</v>
      </c>
      <c r="R42" s="116"/>
    </row>
    <row r="43" spans="1:18">
      <c r="A43" s="56">
        <f t="shared" si="1"/>
        <v>32</v>
      </c>
      <c r="B43" s="95">
        <v>9090</v>
      </c>
      <c r="C43" t="s">
        <v>322</v>
      </c>
      <c r="D43" s="11">
        <v>16340.7</v>
      </c>
      <c r="E43" s="11">
        <v>14687.619999999999</v>
      </c>
      <c r="F43" s="11">
        <v>14949.97</v>
      </c>
      <c r="G43" s="11">
        <v>14852.66</v>
      </c>
      <c r="H43" s="11">
        <v>15742.59</v>
      </c>
      <c r="I43" s="11">
        <v>14368.910000000002</v>
      </c>
      <c r="J43" s="6">
        <v>9031.0280769471647</v>
      </c>
      <c r="K43" s="6">
        <v>9437.9861781331656</v>
      </c>
      <c r="L43" s="6">
        <v>8529.7563891089721</v>
      </c>
      <c r="M43" s="6">
        <v>15147.988754508797</v>
      </c>
      <c r="N43" s="6">
        <v>13800.689475416384</v>
      </c>
      <c r="O43" s="6">
        <v>14618.328996299055</v>
      </c>
      <c r="P43">
        <f t="shared" ref="P43" si="4">SUM(D43:O43)</f>
        <v>161508.22787041354</v>
      </c>
      <c r="R43" s="116"/>
    </row>
    <row r="44" spans="1:18">
      <c r="A44" s="56">
        <f t="shared" si="1"/>
        <v>33</v>
      </c>
      <c r="B44" s="95">
        <v>9100</v>
      </c>
      <c r="C44" t="s">
        <v>323</v>
      </c>
      <c r="D44" s="11">
        <v>1889.67</v>
      </c>
      <c r="E44" s="11">
        <v>32.65</v>
      </c>
      <c r="F44" s="11">
        <v>0</v>
      </c>
      <c r="G44" s="11">
        <v>27.6</v>
      </c>
      <c r="H44" s="11">
        <v>2.69</v>
      </c>
      <c r="I44" s="11">
        <v>0</v>
      </c>
      <c r="J44" s="6">
        <v>48.218878709945791</v>
      </c>
      <c r="K44" s="6">
        <v>43.588747714142407</v>
      </c>
      <c r="L44" s="6">
        <v>188.2812673591973</v>
      </c>
      <c r="M44" s="6">
        <v>361.3296199693188</v>
      </c>
      <c r="N44" s="6">
        <v>361.3296199693188</v>
      </c>
      <c r="O44" s="6">
        <v>375.22001295672897</v>
      </c>
      <c r="P44">
        <f t="shared" si="2"/>
        <v>3330.578146678652</v>
      </c>
      <c r="R44" s="116"/>
    </row>
    <row r="45" spans="1:18">
      <c r="A45" s="56">
        <f t="shared" si="1"/>
        <v>34</v>
      </c>
      <c r="B45" s="95">
        <v>9110</v>
      </c>
      <c r="C45" t="s">
        <v>324</v>
      </c>
      <c r="D45" s="11">
        <v>16069.41</v>
      </c>
      <c r="E45" s="11">
        <v>16525.45</v>
      </c>
      <c r="F45" s="11">
        <v>16630.419999999998</v>
      </c>
      <c r="G45" s="11">
        <v>20452.95</v>
      </c>
      <c r="H45" s="11">
        <v>17858.150000000001</v>
      </c>
      <c r="I45" s="11">
        <v>15352.52</v>
      </c>
      <c r="J45" s="6">
        <v>10331.952698512281</v>
      </c>
      <c r="K45" s="6">
        <v>13689.006996412734</v>
      </c>
      <c r="L45" s="6">
        <v>11023.279140706445</v>
      </c>
      <c r="M45" s="6">
        <v>16517.823268007101</v>
      </c>
      <c r="N45" s="6">
        <v>15143.548747395424</v>
      </c>
      <c r="O45" s="6">
        <v>15892.094005695817</v>
      </c>
      <c r="P45">
        <f t="shared" si="2"/>
        <v>185486.6048567298</v>
      </c>
      <c r="R45" s="116"/>
    </row>
    <row r="46" spans="1:18">
      <c r="A46" s="56">
        <f t="shared" si="1"/>
        <v>35</v>
      </c>
      <c r="B46" s="95">
        <v>9120</v>
      </c>
      <c r="C46" t="s">
        <v>325</v>
      </c>
      <c r="D46" s="11">
        <v>1797.92</v>
      </c>
      <c r="E46" s="11">
        <v>0</v>
      </c>
      <c r="F46" s="11">
        <v>569.82000000000005</v>
      </c>
      <c r="G46" s="11">
        <v>2600.62</v>
      </c>
      <c r="H46" s="11">
        <v>0</v>
      </c>
      <c r="I46" s="11">
        <v>0</v>
      </c>
      <c r="J46" s="6">
        <v>122.69155040041086</v>
      </c>
      <c r="K46" s="6">
        <v>110.91031521555075</v>
      </c>
      <c r="L46" s="6">
        <v>479.07627098946608</v>
      </c>
      <c r="M46" s="6">
        <v>919.39282840442536</v>
      </c>
      <c r="N46" s="6">
        <v>919.39282840442536</v>
      </c>
      <c r="O46" s="6">
        <v>954.73653395900567</v>
      </c>
      <c r="P46">
        <f t="shared" si="2"/>
        <v>8474.5603273732831</v>
      </c>
      <c r="R46" s="116"/>
    </row>
    <row r="47" spans="1:18">
      <c r="A47" s="56">
        <f t="shared" si="1"/>
        <v>36</v>
      </c>
      <c r="B47" s="95">
        <v>9130</v>
      </c>
      <c r="C47" t="s">
        <v>326</v>
      </c>
      <c r="D47" s="11">
        <v>0</v>
      </c>
      <c r="E47" s="11">
        <v>0</v>
      </c>
      <c r="F47" s="11">
        <v>0</v>
      </c>
      <c r="G47" s="11">
        <v>112.82</v>
      </c>
      <c r="H47" s="11">
        <v>0</v>
      </c>
      <c r="I47" s="11">
        <v>0</v>
      </c>
      <c r="J47" s="6">
        <v>2.7860422183928608</v>
      </c>
      <c r="K47" s="6">
        <v>2.5185175314627837</v>
      </c>
      <c r="L47" s="6">
        <v>10.878717502965076</v>
      </c>
      <c r="M47" s="6">
        <v>20.877291279333072</v>
      </c>
      <c r="N47" s="6">
        <v>20.877291279333072</v>
      </c>
      <c r="O47" s="6">
        <v>21.679865340123303</v>
      </c>
      <c r="P47">
        <f t="shared" si="2"/>
        <v>192.43772515161015</v>
      </c>
      <c r="R47" s="116"/>
    </row>
    <row r="48" spans="1:18">
      <c r="A48" s="56">
        <f t="shared" si="1"/>
        <v>37</v>
      </c>
      <c r="B48" s="95">
        <v>9200</v>
      </c>
      <c r="C48" t="s">
        <v>328</v>
      </c>
      <c r="D48" s="11">
        <v>-8201.84</v>
      </c>
      <c r="E48" s="11">
        <v>-28148.29</v>
      </c>
      <c r="F48" s="11">
        <v>-83718.84</v>
      </c>
      <c r="G48" s="11">
        <v>-5656.08</v>
      </c>
      <c r="H48" s="11">
        <v>-25190.09</v>
      </c>
      <c r="I48" s="11">
        <v>-6051.93</v>
      </c>
      <c r="J48" s="6">
        <v>11770.012283441529</v>
      </c>
      <c r="K48" s="6">
        <v>11670.003682171739</v>
      </c>
      <c r="L48" s="6">
        <v>11674.00402622253</v>
      </c>
      <c r="M48" s="6">
        <v>5375.1323099907277</v>
      </c>
      <c r="N48" s="6">
        <v>1374.7882591991465</v>
      </c>
      <c r="O48" s="6">
        <v>1474.7968604689361</v>
      </c>
      <c r="P48">
        <f t="shared" si="2"/>
        <v>-113628.33257850537</v>
      </c>
      <c r="R48" s="116"/>
    </row>
    <row r="49" spans="1:17">
      <c r="A49" s="56">
        <f t="shared" si="1"/>
        <v>38</v>
      </c>
      <c r="B49" s="95">
        <v>9210</v>
      </c>
      <c r="C49" t="s">
        <v>329</v>
      </c>
      <c r="D49" s="11">
        <v>57.1</v>
      </c>
      <c r="E49" s="11">
        <v>-515.30999999999995</v>
      </c>
      <c r="F49" s="11">
        <v>-172150.3</v>
      </c>
      <c r="G49" s="11">
        <v>44.86</v>
      </c>
      <c r="H49" s="11">
        <v>3492</v>
      </c>
      <c r="I49" s="11">
        <v>0</v>
      </c>
      <c r="J49" s="6">
        <v>-95866.560030906854</v>
      </c>
      <c r="K49" s="6">
        <v>-95297.69158185189</v>
      </c>
      <c r="L49" s="6">
        <v>-100654.15349592248</v>
      </c>
      <c r="M49" s="6">
        <v>-98947.16070208342</v>
      </c>
      <c r="N49" s="6">
        <v>-101156.24275074415</v>
      </c>
      <c r="O49" s="6">
        <v>-120769.11716800163</v>
      </c>
      <c r="P49">
        <f t="shared" si="2"/>
        <v>-781762.57572951028</v>
      </c>
    </row>
    <row r="50" spans="1:17">
      <c r="A50" s="56">
        <f t="shared" si="1"/>
        <v>39</v>
      </c>
      <c r="B50" s="95">
        <v>9220</v>
      </c>
      <c r="C50" t="s">
        <v>330</v>
      </c>
      <c r="D50" s="11">
        <v>-647845.76</v>
      </c>
      <c r="E50" s="11">
        <v>-867131.62999999989</v>
      </c>
      <c r="F50" s="11">
        <v>-441297.27</v>
      </c>
      <c r="G50" s="11">
        <v>-726777.90000000026</v>
      </c>
      <c r="H50" s="11">
        <v>-826783.04999999958</v>
      </c>
      <c r="I50" s="11">
        <v>-545382.24000000022</v>
      </c>
      <c r="J50" s="6">
        <f t="shared" ref="J50:O50" si="5">-(SUM(J12:J49,J51:J57))</f>
        <v>-1087333.3200000003</v>
      </c>
      <c r="K50" s="6">
        <f t="shared" si="5"/>
        <v>-1017589.5599999999</v>
      </c>
      <c r="L50" s="6">
        <f t="shared" si="5"/>
        <v>-1053381.19</v>
      </c>
      <c r="M50" s="6">
        <f t="shared" si="5"/>
        <v>-1272268.9091313623</v>
      </c>
      <c r="N50" s="6">
        <f t="shared" si="5"/>
        <v>-1223136.8056544894</v>
      </c>
      <c r="O50" s="6">
        <f t="shared" si="5"/>
        <v>-1368326.8822555086</v>
      </c>
      <c r="P50">
        <f t="shared" si="2"/>
        <v>-11077254.517041363</v>
      </c>
    </row>
    <row r="51" spans="1:17">
      <c r="A51" s="56">
        <f t="shared" si="1"/>
        <v>40</v>
      </c>
      <c r="B51" s="95">
        <v>9230</v>
      </c>
      <c r="C51" t="s">
        <v>331</v>
      </c>
      <c r="D51" s="11">
        <v>1891.26</v>
      </c>
      <c r="E51" s="11">
        <v>22862.97</v>
      </c>
      <c r="F51" s="11">
        <v>2195</v>
      </c>
      <c r="G51" s="11">
        <v>-3954.8500000000004</v>
      </c>
      <c r="H51" s="11">
        <v>-90018.920000000013</v>
      </c>
      <c r="I51" s="11">
        <v>5386.73</v>
      </c>
      <c r="J51" s="6">
        <v>-34790.085299152866</v>
      </c>
      <c r="K51" s="6">
        <v>-34607.449438752119</v>
      </c>
      <c r="L51" s="6">
        <v>-36547.574005310264</v>
      </c>
      <c r="M51" s="6">
        <v>-35945.192100993016</v>
      </c>
      <c r="N51" s="6">
        <v>-36747.828290310827</v>
      </c>
      <c r="O51" s="6">
        <v>-43793.961963583381</v>
      </c>
      <c r="P51">
        <f t="shared" si="2"/>
        <v>-284069.90109810251</v>
      </c>
    </row>
    <row r="52" spans="1:17">
      <c r="A52" s="56">
        <f t="shared" si="1"/>
        <v>41</v>
      </c>
      <c r="B52" s="95">
        <v>9240</v>
      </c>
      <c r="C52" t="s">
        <v>332</v>
      </c>
      <c r="D52" s="11">
        <v>-294.71999999999997</v>
      </c>
      <c r="E52" s="11">
        <v>-294.71999999999997</v>
      </c>
      <c r="F52" s="11">
        <v>-291.78000000000003</v>
      </c>
      <c r="G52" s="11">
        <v>-346.72999999999996</v>
      </c>
      <c r="H52" s="11">
        <v>-346.61999999999995</v>
      </c>
      <c r="I52" s="11">
        <v>-346.61999999999995</v>
      </c>
      <c r="J52" s="6">
        <v>-8761.2290594530259</v>
      </c>
      <c r="K52" s="6">
        <v>-8761.2290594530259</v>
      </c>
      <c r="L52" s="6">
        <v>-8761.2290594530259</v>
      </c>
      <c r="M52" s="6">
        <v>-8384.0735525362215</v>
      </c>
      <c r="N52" s="6">
        <v>-8384.0735525362215</v>
      </c>
      <c r="O52" s="6">
        <v>-8384.0735525362215</v>
      </c>
      <c r="P52">
        <f t="shared" si="2"/>
        <v>-53357.097835967754</v>
      </c>
    </row>
    <row r="53" spans="1:17">
      <c r="A53" s="56">
        <f t="shared" si="1"/>
        <v>42</v>
      </c>
      <c r="B53" s="95">
        <v>9250</v>
      </c>
      <c r="C53" t="s">
        <v>333</v>
      </c>
      <c r="D53" s="11">
        <v>7373.61</v>
      </c>
      <c r="E53" s="11">
        <v>7295.0300000000007</v>
      </c>
      <c r="F53" s="11">
        <v>9250.58</v>
      </c>
      <c r="G53" s="11">
        <v>7830.91</v>
      </c>
      <c r="H53" s="11">
        <v>8031.3399999999992</v>
      </c>
      <c r="I53" s="11">
        <v>8431.5199999999986</v>
      </c>
      <c r="J53" s="6">
        <v>73077.950829430178</v>
      </c>
      <c r="K53" s="6">
        <v>71327.047794004029</v>
      </c>
      <c r="L53" s="6">
        <v>68470.697378565077</v>
      </c>
      <c r="M53" s="6">
        <v>86175.034724074721</v>
      </c>
      <c r="N53" s="6">
        <v>81268.011512097728</v>
      </c>
      <c r="O53" s="6">
        <v>84618.456224513124</v>
      </c>
      <c r="P53">
        <f t="shared" si="2"/>
        <v>513150.18846268486</v>
      </c>
    </row>
    <row r="54" spans="1:17">
      <c r="A54" s="56">
        <f t="shared" si="1"/>
        <v>43</v>
      </c>
      <c r="B54" s="98">
        <v>9260</v>
      </c>
      <c r="C54" t="s">
        <v>334</v>
      </c>
      <c r="D54" s="11">
        <v>145768.73999999996</v>
      </c>
      <c r="E54" s="11">
        <v>55830.159999999989</v>
      </c>
      <c r="F54" s="11">
        <v>81521.680000000008</v>
      </c>
      <c r="G54" s="11">
        <v>65037.939999999973</v>
      </c>
      <c r="H54" s="11">
        <v>283223.49</v>
      </c>
      <c r="I54" s="11">
        <v>47510.120000000017</v>
      </c>
      <c r="J54" s="6">
        <v>283340.64107930905</v>
      </c>
      <c r="K54" s="6">
        <v>164582.94971624602</v>
      </c>
      <c r="L54" s="6">
        <v>168153.91997027889</v>
      </c>
      <c r="M54" s="6">
        <v>243289.53399671239</v>
      </c>
      <c r="N54" s="6">
        <v>237548.35004961857</v>
      </c>
      <c r="O54" s="6">
        <v>251202.71294226678</v>
      </c>
      <c r="P54">
        <f t="shared" si="2"/>
        <v>2027010.2377544318</v>
      </c>
    </row>
    <row r="55" spans="1:17">
      <c r="A55" s="56">
        <f t="shared" si="1"/>
        <v>44</v>
      </c>
      <c r="B55" s="98">
        <v>9280</v>
      </c>
      <c r="C55" t="s">
        <v>336</v>
      </c>
      <c r="D55" s="11">
        <f>0</f>
        <v>0</v>
      </c>
      <c r="E55" s="11">
        <f>0</f>
        <v>0</v>
      </c>
      <c r="F55" s="11">
        <f>0</f>
        <v>0</v>
      </c>
      <c r="G55" s="11">
        <f>0</f>
        <v>0</v>
      </c>
      <c r="H55" s="11">
        <f>0</f>
        <v>0</v>
      </c>
      <c r="I55" s="11">
        <f>0</f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>
        <f t="shared" si="2"/>
        <v>0</v>
      </c>
    </row>
    <row r="56" spans="1:17">
      <c r="A56" s="56">
        <f t="shared" si="1"/>
        <v>45</v>
      </c>
      <c r="B56" s="95">
        <v>9302</v>
      </c>
      <c r="C56" t="s">
        <v>337</v>
      </c>
      <c r="D56" s="11">
        <v>241.45</v>
      </c>
      <c r="E56" s="11">
        <v>480</v>
      </c>
      <c r="F56" s="11">
        <v>0</v>
      </c>
      <c r="G56" s="11">
        <v>0</v>
      </c>
      <c r="H56" s="11">
        <v>7500</v>
      </c>
      <c r="I56" s="11">
        <v>230.48</v>
      </c>
      <c r="J56" s="6">
        <v>20244.210958904874</v>
      </c>
      <c r="K56" s="6">
        <v>10217.552660281788</v>
      </c>
      <c r="L56" s="6">
        <v>19534.610493774202</v>
      </c>
      <c r="M56" s="6">
        <v>29015.707226359667</v>
      </c>
      <c r="N56" s="6">
        <v>10073.060743791717</v>
      </c>
      <c r="O56" s="6">
        <v>10265.638990408639</v>
      </c>
      <c r="P56">
        <f t="shared" si="2"/>
        <v>107802.71107352088</v>
      </c>
    </row>
    <row r="57" spans="1:17">
      <c r="A57" s="56">
        <f t="shared" si="1"/>
        <v>46</v>
      </c>
      <c r="B57" s="95">
        <v>9310</v>
      </c>
      <c r="C57" t="s">
        <v>212</v>
      </c>
      <c r="D57" s="11">
        <v>0</v>
      </c>
      <c r="E57" s="11">
        <v>0</v>
      </c>
      <c r="F57" s="11">
        <v>0</v>
      </c>
      <c r="G57" s="11">
        <v>-9.9999999999999985E-3</v>
      </c>
      <c r="H57" s="11">
        <v>0</v>
      </c>
      <c r="I57" s="11">
        <v>0</v>
      </c>
      <c r="J57" s="6">
        <v>-3.3788869714633284E-3</v>
      </c>
      <c r="K57" s="6">
        <v>-3.5661739701316232E-3</v>
      </c>
      <c r="L57" s="6">
        <v>-3.6963728236466152E-3</v>
      </c>
      <c r="M57" s="6">
        <v>-3.8933832511850539E-3</v>
      </c>
      <c r="N57" s="6">
        <v>-4.0241747835536735E-3</v>
      </c>
      <c r="O57" s="6">
        <v>-4.1345963301489055E-3</v>
      </c>
      <c r="P57">
        <f t="shared" si="2"/>
        <v>-3.2693588130129195E-2</v>
      </c>
    </row>
    <row r="58" spans="1:17">
      <c r="A58" s="56">
        <f t="shared" si="1"/>
        <v>47</v>
      </c>
      <c r="C58" s="99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7" ht="15.75" thickBot="1">
      <c r="A59" s="56">
        <f t="shared" si="1"/>
        <v>48</v>
      </c>
      <c r="B59" t="s">
        <v>339</v>
      </c>
      <c r="C59" s="99"/>
      <c r="D59" s="100">
        <f>SUM(D12:D58)</f>
        <v>-1.0000000079173788E-2</v>
      </c>
      <c r="E59" s="100">
        <f t="shared" ref="E59:P59" si="6">SUM(E12:E58)</f>
        <v>-1.8917489796876907E-10</v>
      </c>
      <c r="F59" s="100">
        <f t="shared" si="6"/>
        <v>-2.9103830456733704E-11</v>
      </c>
      <c r="G59" s="100">
        <f t="shared" si="6"/>
        <v>9.9999996257247419E-3</v>
      </c>
      <c r="H59" s="100">
        <f t="shared" si="6"/>
        <v>4.0745362639427185E-10</v>
      </c>
      <c r="I59" s="100">
        <f t="shared" si="6"/>
        <v>9.9999998023747594E-3</v>
      </c>
      <c r="J59" s="100">
        <f t="shared" si="6"/>
        <v>-1.279182749308605E-11</v>
      </c>
      <c r="K59" s="100">
        <f t="shared" si="6"/>
        <v>8.8373943579744818E-11</v>
      </c>
      <c r="L59" s="100">
        <f t="shared" si="6"/>
        <v>-3.6556829612066633E-11</v>
      </c>
      <c r="M59" s="100">
        <f t="shared" si="6"/>
        <v>-1.0919965799660591E-10</v>
      </c>
      <c r="N59" s="100">
        <f t="shared" si="6"/>
        <v>-1.6982106172680478E-10</v>
      </c>
      <c r="O59" s="100">
        <f t="shared" si="6"/>
        <v>-4.8347555126060371E-11</v>
      </c>
      <c r="P59" s="100">
        <f t="shared" si="6"/>
        <v>9.9999998794405992E-3</v>
      </c>
    </row>
    <row r="60" spans="1:17" ht="15.75" thickTop="1">
      <c r="A60" s="56">
        <f t="shared" si="1"/>
        <v>49</v>
      </c>
      <c r="C60" s="99"/>
    </row>
    <row r="61" spans="1:17">
      <c r="A61" s="56">
        <f t="shared" si="1"/>
        <v>50</v>
      </c>
      <c r="B61" s="95">
        <f>B50</f>
        <v>9220</v>
      </c>
      <c r="C61" s="79" t="str">
        <f>C50</f>
        <v>A&amp;G-Administrative expense transferred-Credit</v>
      </c>
      <c r="D61" s="117">
        <f t="shared" ref="D61:H61" si="7">-(D59-D50)</f>
        <v>-647845.74999999988</v>
      </c>
      <c r="E61" s="117">
        <f t="shared" si="7"/>
        <v>-867131.62999999966</v>
      </c>
      <c r="F61" s="117">
        <f t="shared" si="7"/>
        <v>-441297.27</v>
      </c>
      <c r="G61" s="117">
        <f t="shared" si="7"/>
        <v>-726777.90999999992</v>
      </c>
      <c r="H61" s="117">
        <f t="shared" si="7"/>
        <v>-826783.05</v>
      </c>
      <c r="I61" s="117">
        <f>I50</f>
        <v>-545382.24000000022</v>
      </c>
      <c r="J61" s="117">
        <f t="shared" ref="J61:O61" si="8">J50</f>
        <v>-1087333.3200000003</v>
      </c>
      <c r="K61" s="117">
        <f t="shared" si="8"/>
        <v>-1017589.5599999999</v>
      </c>
      <c r="L61" s="117">
        <f t="shared" si="8"/>
        <v>-1053381.19</v>
      </c>
      <c r="M61" s="117">
        <f t="shared" si="8"/>
        <v>-1272268.9091313623</v>
      </c>
      <c r="N61" s="117">
        <f t="shared" si="8"/>
        <v>-1223136.8056544894</v>
      </c>
      <c r="O61" s="117">
        <f t="shared" si="8"/>
        <v>-1368326.8822555086</v>
      </c>
      <c r="P61">
        <f t="shared" ref="P61" si="9">SUM(D61:O61)</f>
        <v>-11077254.517041363</v>
      </c>
      <c r="Q61" s="117"/>
    </row>
    <row r="62" spans="1:17">
      <c r="A62" s="56">
        <f t="shared" si="1"/>
        <v>51</v>
      </c>
      <c r="C62" s="59" t="s">
        <v>348</v>
      </c>
      <c r="D62" s="101">
        <f>D63/D61</f>
        <v>0.49970001346771215</v>
      </c>
      <c r="E62" s="101">
        <f t="shared" ref="E62:I62" si="10">E63/E61</f>
        <v>0.49969999364456369</v>
      </c>
      <c r="F62" s="101">
        <f t="shared" si="10"/>
        <v>0.49970000947433912</v>
      </c>
      <c r="G62" s="101">
        <f t="shared" si="10"/>
        <v>0.49969999776135193</v>
      </c>
      <c r="H62" s="101">
        <f t="shared" si="10"/>
        <v>0.49969999989719183</v>
      </c>
      <c r="I62" s="101">
        <f t="shared" si="10"/>
        <v>0.49969999023070477</v>
      </c>
      <c r="J62" s="101">
        <v>0.49969999999999998</v>
      </c>
      <c r="K62" s="101">
        <v>0.49969999999999998</v>
      </c>
      <c r="L62" s="101">
        <v>0.49969999999999998</v>
      </c>
      <c r="M62" s="101">
        <v>0.49969999999999998</v>
      </c>
      <c r="N62" s="101">
        <v>0.49969999999999998</v>
      </c>
      <c r="O62" s="101">
        <v>0.49969999999999998</v>
      </c>
      <c r="P62" s="101">
        <f t="shared" ref="P62" si="11">P63/P61</f>
        <v>0.49970000003204756</v>
      </c>
    </row>
    <row r="63" spans="1:17">
      <c r="A63" s="56">
        <f t="shared" si="1"/>
        <v>52</v>
      </c>
      <c r="C63" t="s">
        <v>349</v>
      </c>
      <c r="D63">
        <v>-323728.53000000003</v>
      </c>
      <c r="E63">
        <v>-433305.67</v>
      </c>
      <c r="F63">
        <v>-220516.25</v>
      </c>
      <c r="G63">
        <v>-363170.92</v>
      </c>
      <c r="H63">
        <v>-413143.49</v>
      </c>
      <c r="I63">
        <v>-272527.5</v>
      </c>
      <c r="J63">
        <f t="shared" ref="J63:O63" si="12">J61*J62</f>
        <v>-543340.46000400011</v>
      </c>
      <c r="K63">
        <f t="shared" si="12"/>
        <v>-508489.50313199993</v>
      </c>
      <c r="L63">
        <f t="shared" si="12"/>
        <v>-526374.58064299996</v>
      </c>
      <c r="M63">
        <f t="shared" si="12"/>
        <v>-635752.77389294177</v>
      </c>
      <c r="N63">
        <f t="shared" si="12"/>
        <v>-611201.46178554837</v>
      </c>
      <c r="O63">
        <f t="shared" si="12"/>
        <v>-683752.94306307763</v>
      </c>
      <c r="P63">
        <f>SUM(D63:O63)</f>
        <v>-5535304.0825205678</v>
      </c>
    </row>
    <row r="64" spans="1:17">
      <c r="C64" s="99"/>
      <c r="D64" s="49"/>
      <c r="E64" s="49"/>
      <c r="F64" s="49"/>
      <c r="G64" s="49"/>
      <c r="H64" s="49"/>
      <c r="I64" s="49"/>
    </row>
    <row r="65" spans="2:15">
      <c r="C65" s="99"/>
    </row>
    <row r="66" spans="2:15">
      <c r="B66" t="s">
        <v>350</v>
      </c>
      <c r="C66" s="99"/>
    </row>
    <row r="67" spans="2:15">
      <c r="C67" s="99"/>
    </row>
    <row r="68" spans="2:15">
      <c r="C68" s="99"/>
    </row>
    <row r="69" spans="2:15">
      <c r="B69" t="s">
        <v>342</v>
      </c>
      <c r="O69" s="62"/>
    </row>
    <row r="70" spans="2:15">
      <c r="B70" t="s">
        <v>411</v>
      </c>
      <c r="O70" s="62"/>
    </row>
    <row r="71" spans="2:15">
      <c r="B71" t="s">
        <v>416</v>
      </c>
      <c r="O71" s="62"/>
    </row>
    <row r="72" spans="2:15">
      <c r="B72" t="s">
        <v>413</v>
      </c>
      <c r="O72" s="62"/>
    </row>
    <row r="73" spans="2:15">
      <c r="O73" s="62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65" header="0.25" footer="0.25"/>
  <pageSetup scale="47" fitToHeight="2" orientation="landscape" r:id="rId1"/>
  <headerFooter alignWithMargins="0">
    <oddHeader xml:space="preserve">&amp;RCASE NO. 2024-00276 
FR 16(8)(c)
ATTACHMENT 1
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28</vt:i4>
      </vt:variant>
    </vt:vector>
  </HeadingPairs>
  <TitlesOfParts>
    <vt:vector size="44" baseType="lpstr">
      <vt:lpstr>Cover C</vt:lpstr>
      <vt:lpstr>C.1</vt:lpstr>
      <vt:lpstr>C.2</vt:lpstr>
      <vt:lpstr>C.2.1 B</vt:lpstr>
      <vt:lpstr>C.2.1 F</vt:lpstr>
      <vt:lpstr>C.2.2 B 09</vt:lpstr>
      <vt:lpstr>C.2.2 B 02</vt:lpstr>
      <vt:lpstr>C.2.2 B 12</vt:lpstr>
      <vt:lpstr>C.2.2 B 91</vt:lpstr>
      <vt:lpstr>C.2.2-F 09</vt:lpstr>
      <vt:lpstr>C.2.2-F 02</vt:lpstr>
      <vt:lpstr>C.2.2-F 12</vt:lpstr>
      <vt:lpstr>C.2.2-F 91</vt:lpstr>
      <vt:lpstr>C.2.3 B</vt:lpstr>
      <vt:lpstr>C.2.3 F</vt:lpstr>
      <vt:lpstr>WP C.2.3 F</vt:lpstr>
      <vt:lpstr>C.1!Print_Area</vt:lpstr>
      <vt:lpstr>C.2!Print_Area</vt:lpstr>
      <vt:lpstr>'C.2.1 B'!Print_Area</vt:lpstr>
      <vt:lpstr>'C.2.1 F'!Print_Area</vt:lpstr>
      <vt:lpstr>'C.2.2 B 02'!Print_Area</vt:lpstr>
      <vt:lpstr>'C.2.2 B 09'!Print_Area</vt:lpstr>
      <vt:lpstr>'C.2.2 B 12'!Print_Area</vt:lpstr>
      <vt:lpstr>'C.2.2 B 91'!Print_Area</vt:lpstr>
      <vt:lpstr>'C.2.2-F 02'!Print_Area</vt:lpstr>
      <vt:lpstr>'C.2.2-F 09'!Print_Area</vt:lpstr>
      <vt:lpstr>'C.2.2-F 12'!Print_Area</vt:lpstr>
      <vt:lpstr>'C.2.2-F 91'!Print_Area</vt:lpstr>
      <vt:lpstr>'C.2.3 B'!Print_Area</vt:lpstr>
      <vt:lpstr>'C.2.3 F'!Print_Area</vt:lpstr>
      <vt:lpstr>'Cover C'!Print_Area</vt:lpstr>
      <vt:lpstr>'WP C.2.3 F'!Print_Area</vt:lpstr>
      <vt:lpstr>'C.2.1 B'!Print_Titles</vt:lpstr>
      <vt:lpstr>'C.2.1 F'!Print_Titles</vt:lpstr>
      <vt:lpstr>'C.2.2 B 02'!Print_Titles</vt:lpstr>
      <vt:lpstr>'C.2.2 B 09'!Print_Titles</vt:lpstr>
      <vt:lpstr>'C.2.2 B 12'!Print_Titles</vt:lpstr>
      <vt:lpstr>'C.2.2 B 91'!Print_Titles</vt:lpstr>
      <vt:lpstr>'C.2.2-F 02'!Print_Titles</vt:lpstr>
      <vt:lpstr>'C.2.2-F 09'!Print_Titles</vt:lpstr>
      <vt:lpstr>'C.2.2-F 12'!Print_Titles</vt:lpstr>
      <vt:lpstr>'C.2.2-F 91'!Print_Titles</vt:lpstr>
      <vt:lpstr>'C.2.3 B'!Print_Titles</vt:lpstr>
      <vt:lpstr>'C.2.3 F'!Print_Titles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Wilen, Eric</dc:creator>
  <cp:lastModifiedBy>Wilen, Eric</cp:lastModifiedBy>
  <cp:lastPrinted>2024-09-26T03:42:11Z</cp:lastPrinted>
  <dcterms:created xsi:type="dcterms:W3CDTF">2024-09-25T01:09:40Z</dcterms:created>
  <dcterms:modified xsi:type="dcterms:W3CDTF">2024-09-26T03:43:37Z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