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Christian\"/>
    </mc:Choice>
  </mc:AlternateContent>
  <xr:revisionPtr revIDLastSave="0" documentId="13_ncr:1_{98021BC7-34EA-460F-AB3E-50B4159A02F7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DATA INPUT" sheetId="28" r:id="rId1"/>
    <sheet name="ATO-CWC1A" sheetId="63" r:id="rId2"/>
    <sheet name="ATO-CWC1B" sheetId="62" r:id="rId3"/>
    <sheet name="ATO-CWC2" sheetId="9" r:id="rId4"/>
    <sheet name="WP 2-1" sheetId="10" r:id="rId5"/>
    <sheet name="WP 2-2" sheetId="47" r:id="rId6"/>
    <sheet name="ATO-CWC3" sheetId="16" r:id="rId7"/>
    <sheet name="ATO-CWC4" sheetId="4" r:id="rId8"/>
    <sheet name="ATO-CWC5" sheetId="15" r:id="rId9"/>
    <sheet name="WP 5-1" sheetId="65" r:id="rId10"/>
    <sheet name="ATO-CWC6" sheetId="6" r:id="rId11"/>
    <sheet name="ATO-CWC7" sheetId="5" r:id="rId12"/>
    <sheet name="ATO-CWC8" sheetId="60" r:id="rId13"/>
    <sheet name="ATO-CWC9" sheetId="61" r:id="rId14"/>
  </sheets>
  <definedNames>
    <definedName name="_Dist_Bin" hidden="1">#REF!</definedName>
    <definedName name="_Dist_Values" hidden="1">#REF!</definedName>
    <definedName name="_Fill" hidden="1">#REF!</definedName>
    <definedName name="_xlnm._FilterDatabase" localSheetId="3" hidden="1">'ATO-CWC2'!$A$7:$I$2695</definedName>
    <definedName name="_xlnm._FilterDatabase" localSheetId="6" hidden="1">'ATO-CWC3'!$A$7:$P$7</definedName>
    <definedName name="_xlnm._FilterDatabase" localSheetId="8" hidden="1">'ATO-CWC5'!$A$9:$F$5997</definedName>
    <definedName name="_xlnm._FilterDatabase" localSheetId="9" hidden="1">'WP 5-1'!$A$7:$P$424</definedName>
    <definedName name="_Key1" localSheetId="13" hidden="1">#REF!</definedName>
    <definedName name="_Key1" hidden="1">#REF!</definedName>
    <definedName name="_Order1" hidden="1">255</definedName>
    <definedName name="_Order2" hidden="1">255</definedName>
    <definedName name="_Sort" localSheetId="13" hidden="1">#REF!</definedName>
    <definedName name="_Sort" hidden="1">#REF!</definedName>
    <definedName name="ATTR_YEAR">'DATA INPUT'!$C$10</definedName>
    <definedName name="COMPANY" localSheetId="5">#REF!</definedName>
    <definedName name="COMPANY">'DATA INPUT'!$C$7</definedName>
    <definedName name="COMPOSITE">'DATA INPUT'!$C$15</definedName>
    <definedName name="csDesignMode">1</definedName>
    <definedName name="FEDERAL">'DATA INPUT'!$C$13</definedName>
    <definedName name="HISTORIC_YEAR">'DATA INPUT'!$C$12</definedName>
    <definedName name="JURISDICTION">'DATA INPUT'!$C$8</definedName>
    <definedName name="_xlnm.Print_Area" localSheetId="1">'ATO-CWC1A'!$A$1:$O$55</definedName>
    <definedName name="_xlnm.Print_Area" localSheetId="6">'ATO-CWC3'!$A$1:$L$124</definedName>
    <definedName name="_xlnm.Print_Area" localSheetId="7">'ATO-CWC4'!$A$1:$J$61</definedName>
    <definedName name="_xlnm.Print_Area" localSheetId="8">'ATO-CWC5'!$A$1:$F$18</definedName>
    <definedName name="_xlnm.Print_Area" localSheetId="10">'ATO-CWC6'!$A$1:$F$39</definedName>
    <definedName name="_xlnm.Print_Area" localSheetId="12">'ATO-CWC8'!$A$1:$I$16</definedName>
    <definedName name="_xlnm.Print_Area" localSheetId="13">'ATO-CWC9'!$A$1:$V$31</definedName>
    <definedName name="_xlnm.Print_Area" localSheetId="0">'DATA INPUT'!$A$1:$C$17</definedName>
    <definedName name="_xlnm.Print_Area" localSheetId="4">'WP 2-1'!$A$1:$G$380</definedName>
    <definedName name="_xlnm.Print_Area" localSheetId="9">'WP 5-1'!$A$9:$R$422</definedName>
    <definedName name="_xlnm.Print_Area">'WP 2-1'!$C$8:$G$305</definedName>
    <definedName name="_xlnm.Print_Titles" localSheetId="6">'ATO-CWC3'!$1:$7</definedName>
    <definedName name="_xlnm.Print_Titles" localSheetId="7">'ATO-CWC4'!$1:$5</definedName>
    <definedName name="_xlnm.Print_Titles" localSheetId="8">'ATO-CWC5'!$2:$9</definedName>
    <definedName name="_xlnm.Print_Titles" localSheetId="4">'WP 2-1'!$1:$6</definedName>
    <definedName name="_xlnm.Print_Titles" localSheetId="9">'WP 5-1'!$1:$8</definedName>
    <definedName name="testyear">'DATA INPUT'!$C$9</definedName>
    <definedName name="WP_2_1">'WP 2-1'!$C$8:$G$305</definedName>
    <definedName name="WP_9_1" localSheetId="13">'ATO-CWC9'!$A$4:$G$19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65" l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2" i="65" s="1"/>
  <c r="A63" i="65" s="1"/>
  <c r="A64" i="65" s="1"/>
  <c r="A65" i="65" s="1"/>
  <c r="A66" i="65" s="1"/>
  <c r="A67" i="65" s="1"/>
  <c r="A68" i="65" s="1"/>
  <c r="A69" i="65" s="1"/>
  <c r="A70" i="65" s="1"/>
  <c r="A71" i="65" s="1"/>
  <c r="A72" i="65" s="1"/>
  <c r="A73" i="65" s="1"/>
  <c r="A74" i="65" s="1"/>
  <c r="A75" i="65" s="1"/>
  <c r="A76" i="65" s="1"/>
  <c r="A77" i="65" s="1"/>
  <c r="A78" i="65" s="1"/>
  <c r="A79" i="65" s="1"/>
  <c r="A80" i="65" s="1"/>
  <c r="A81" i="65" s="1"/>
  <c r="A82" i="65" s="1"/>
  <c r="A83" i="65" s="1"/>
  <c r="A84" i="65" s="1"/>
  <c r="A85" i="65" s="1"/>
  <c r="A86" i="65" s="1"/>
  <c r="A87" i="65" s="1"/>
  <c r="A88" i="65" s="1"/>
  <c r="A89" i="65" s="1"/>
  <c r="A90" i="65" s="1"/>
  <c r="A91" i="65" s="1"/>
  <c r="A92" i="65" s="1"/>
  <c r="A93" i="65" s="1"/>
  <c r="A94" i="65" s="1"/>
  <c r="A95" i="65" s="1"/>
  <c r="A96" i="65" s="1"/>
  <c r="A97" i="65" s="1"/>
  <c r="A98" i="65" s="1"/>
  <c r="A99" i="65" s="1"/>
  <c r="A100" i="65" s="1"/>
  <c r="A101" i="65" s="1"/>
  <c r="A102" i="65" s="1"/>
  <c r="A103" i="65" s="1"/>
  <c r="A104" i="65" s="1"/>
  <c r="A105" i="65" s="1"/>
  <c r="A106" i="65" s="1"/>
  <c r="A107" i="65" s="1"/>
  <c r="A108" i="65" s="1"/>
  <c r="A109" i="65" s="1"/>
  <c r="A110" i="65" s="1"/>
  <c r="A111" i="65" s="1"/>
  <c r="A112" i="65" s="1"/>
  <c r="A113" i="65" s="1"/>
  <c r="A114" i="65" s="1"/>
  <c r="A115" i="65" s="1"/>
  <c r="A116" i="65" s="1"/>
  <c r="A117" i="65" s="1"/>
  <c r="A118" i="65" s="1"/>
  <c r="A119" i="65" s="1"/>
  <c r="A120" i="65" s="1"/>
  <c r="A121" i="65" s="1"/>
  <c r="A122" i="65" s="1"/>
  <c r="A123" i="65" s="1"/>
  <c r="A124" i="65" s="1"/>
  <c r="A125" i="65" s="1"/>
  <c r="A126" i="65" s="1"/>
  <c r="A127" i="65" s="1"/>
  <c r="A128" i="65" s="1"/>
  <c r="A129" i="65" s="1"/>
  <c r="A130" i="65" s="1"/>
  <c r="A131" i="65" s="1"/>
  <c r="A132" i="65" s="1"/>
  <c r="A133" i="65" s="1"/>
  <c r="A134" i="65" s="1"/>
  <c r="A135" i="65" s="1"/>
  <c r="A136" i="65" s="1"/>
  <c r="A137" i="65" s="1"/>
  <c r="A138" i="65" s="1"/>
  <c r="A139" i="65" s="1"/>
  <c r="A140" i="65" s="1"/>
  <c r="A141" i="65" s="1"/>
  <c r="A142" i="65" s="1"/>
  <c r="A143" i="65" s="1"/>
  <c r="A144" i="65" s="1"/>
  <c r="A145" i="65" s="1"/>
  <c r="A146" i="65" s="1"/>
  <c r="A147" i="65" s="1"/>
  <c r="A148" i="65" s="1"/>
  <c r="A149" i="65" s="1"/>
  <c r="A150" i="65" s="1"/>
  <c r="A151" i="65" s="1"/>
  <c r="A152" i="65" s="1"/>
  <c r="A153" i="65" s="1"/>
  <c r="A154" i="65" s="1"/>
  <c r="A155" i="65" s="1"/>
  <c r="A156" i="65" s="1"/>
  <c r="A157" i="65" s="1"/>
  <c r="A158" i="65" s="1"/>
  <c r="A159" i="65" s="1"/>
  <c r="A160" i="65" s="1"/>
  <c r="A161" i="65" s="1"/>
  <c r="A162" i="65" s="1"/>
  <c r="A163" i="65" s="1"/>
  <c r="A164" i="65" s="1"/>
  <c r="A165" i="65" s="1"/>
  <c r="A166" i="65" s="1"/>
  <c r="A167" i="65" s="1"/>
  <c r="A168" i="65" s="1"/>
  <c r="A169" i="65" s="1"/>
  <c r="A170" i="65" s="1"/>
  <c r="A171" i="65" s="1"/>
  <c r="A172" i="65" s="1"/>
  <c r="A173" i="65" s="1"/>
  <c r="A174" i="65" s="1"/>
  <c r="A175" i="65" s="1"/>
  <c r="A176" i="65" s="1"/>
  <c r="A177" i="65" s="1"/>
  <c r="A178" i="65" s="1"/>
  <c r="A179" i="65" s="1"/>
  <c r="A180" i="65" s="1"/>
  <c r="A181" i="65" s="1"/>
  <c r="A182" i="65" s="1"/>
  <c r="A183" i="65" s="1"/>
  <c r="A184" i="65" s="1"/>
  <c r="A185" i="65" s="1"/>
  <c r="A186" i="65" s="1"/>
  <c r="A187" i="65" s="1"/>
  <c r="A188" i="65" s="1"/>
  <c r="A189" i="65" s="1"/>
  <c r="A190" i="65" s="1"/>
  <c r="A191" i="65" s="1"/>
  <c r="A192" i="65" s="1"/>
  <c r="A193" i="65" s="1"/>
  <c r="A194" i="65" s="1"/>
  <c r="A195" i="65" s="1"/>
  <c r="A196" i="65" s="1"/>
  <c r="A197" i="65" s="1"/>
  <c r="A198" i="65" s="1"/>
  <c r="A199" i="65" s="1"/>
  <c r="A200" i="65" s="1"/>
  <c r="A201" i="65" s="1"/>
  <c r="A202" i="65" s="1"/>
  <c r="A203" i="65" s="1"/>
  <c r="A204" i="65" s="1"/>
  <c r="A205" i="65" s="1"/>
  <c r="A206" i="65" s="1"/>
  <c r="A207" i="65" s="1"/>
  <c r="A208" i="65" s="1"/>
  <c r="A209" i="65" s="1"/>
  <c r="A210" i="65" s="1"/>
  <c r="A211" i="65" s="1"/>
  <c r="A212" i="65" s="1"/>
  <c r="A213" i="65" s="1"/>
  <c r="A214" i="65" s="1"/>
  <c r="A215" i="65" s="1"/>
  <c r="A216" i="65" s="1"/>
  <c r="A217" i="65" s="1"/>
  <c r="A218" i="65" s="1"/>
  <c r="A219" i="65" s="1"/>
  <c r="A220" i="65" s="1"/>
  <c r="A221" i="65" s="1"/>
  <c r="A222" i="65" s="1"/>
  <c r="A223" i="65" s="1"/>
  <c r="A224" i="65" s="1"/>
  <c r="A225" i="65" s="1"/>
  <c r="A226" i="65" s="1"/>
  <c r="A227" i="65" s="1"/>
  <c r="A228" i="65" s="1"/>
  <c r="A229" i="65" s="1"/>
  <c r="A230" i="65" s="1"/>
  <c r="A231" i="65" s="1"/>
  <c r="A232" i="65" s="1"/>
  <c r="A233" i="65" s="1"/>
  <c r="A234" i="65" s="1"/>
  <c r="A235" i="65" s="1"/>
  <c r="A236" i="65" s="1"/>
  <c r="A237" i="65" s="1"/>
  <c r="A238" i="65" s="1"/>
  <c r="A239" i="65" s="1"/>
  <c r="A240" i="65" s="1"/>
  <c r="A241" i="65" s="1"/>
  <c r="A242" i="65" s="1"/>
  <c r="A243" i="65" s="1"/>
  <c r="A244" i="65" s="1"/>
  <c r="A245" i="65" s="1"/>
  <c r="A246" i="65" s="1"/>
  <c r="A247" i="65" s="1"/>
  <c r="A248" i="65" s="1"/>
  <c r="A249" i="65" s="1"/>
  <c r="A250" i="65" s="1"/>
  <c r="A251" i="65" s="1"/>
  <c r="A252" i="65" s="1"/>
  <c r="A253" i="65" s="1"/>
  <c r="A254" i="65" s="1"/>
  <c r="A255" i="65" s="1"/>
  <c r="A256" i="65" s="1"/>
  <c r="A257" i="65" s="1"/>
  <c r="A258" i="65" s="1"/>
  <c r="A259" i="65" s="1"/>
  <c r="A260" i="65" s="1"/>
  <c r="A261" i="65" s="1"/>
  <c r="A262" i="65" s="1"/>
  <c r="A263" i="65" s="1"/>
  <c r="A264" i="65" s="1"/>
  <c r="A265" i="65" s="1"/>
  <c r="A266" i="65" s="1"/>
  <c r="A267" i="65" s="1"/>
  <c r="A268" i="65" s="1"/>
  <c r="A269" i="65" s="1"/>
  <c r="A270" i="65" s="1"/>
  <c r="A271" i="65" s="1"/>
  <c r="A272" i="65" s="1"/>
  <c r="A273" i="65" s="1"/>
  <c r="A274" i="65" s="1"/>
  <c r="A275" i="65" s="1"/>
  <c r="A276" i="65" s="1"/>
  <c r="A277" i="65" s="1"/>
  <c r="A278" i="65" s="1"/>
  <c r="A279" i="65" s="1"/>
  <c r="A280" i="65" s="1"/>
  <c r="A281" i="65" s="1"/>
  <c r="A282" i="65" s="1"/>
  <c r="A283" i="65" s="1"/>
  <c r="A284" i="65" s="1"/>
  <c r="A285" i="65" s="1"/>
  <c r="A286" i="65" s="1"/>
  <c r="A287" i="65" s="1"/>
  <c r="A288" i="65" s="1"/>
  <c r="A289" i="65" s="1"/>
  <c r="A290" i="65" s="1"/>
  <c r="A291" i="65" s="1"/>
  <c r="A292" i="65" s="1"/>
  <c r="A293" i="65" s="1"/>
  <c r="A294" i="65" s="1"/>
  <c r="A295" i="65" s="1"/>
  <c r="A296" i="65" s="1"/>
  <c r="A297" i="65" s="1"/>
  <c r="A298" i="65" s="1"/>
  <c r="A299" i="65" s="1"/>
  <c r="A300" i="65" s="1"/>
  <c r="A301" i="65" s="1"/>
  <c r="A302" i="65" s="1"/>
  <c r="A303" i="65" s="1"/>
  <c r="A304" i="65" s="1"/>
  <c r="A305" i="65" s="1"/>
  <c r="A306" i="65" s="1"/>
  <c r="A307" i="65" s="1"/>
  <c r="A308" i="65" s="1"/>
  <c r="A309" i="65" s="1"/>
  <c r="A310" i="65" s="1"/>
  <c r="A311" i="65" s="1"/>
  <c r="A312" i="65" s="1"/>
  <c r="A313" i="65" s="1"/>
  <c r="A314" i="65" s="1"/>
  <c r="A315" i="65" s="1"/>
  <c r="A316" i="65" s="1"/>
  <c r="A317" i="65" s="1"/>
  <c r="A318" i="65" s="1"/>
  <c r="A319" i="65" s="1"/>
  <c r="A320" i="65" s="1"/>
  <c r="A321" i="65" s="1"/>
  <c r="A322" i="65" s="1"/>
  <c r="A323" i="65" s="1"/>
  <c r="A324" i="65" s="1"/>
  <c r="A325" i="65" s="1"/>
  <c r="A326" i="65" s="1"/>
  <c r="A327" i="65" s="1"/>
  <c r="A328" i="65" s="1"/>
  <c r="A329" i="65" s="1"/>
  <c r="A330" i="65" s="1"/>
  <c r="A331" i="65" s="1"/>
  <c r="A332" i="65" s="1"/>
  <c r="A333" i="65" s="1"/>
  <c r="A334" i="65" s="1"/>
  <c r="A335" i="65" s="1"/>
  <c r="A336" i="65" s="1"/>
  <c r="A337" i="65" s="1"/>
  <c r="A338" i="65" s="1"/>
  <c r="A339" i="65" s="1"/>
  <c r="A340" i="65" s="1"/>
  <c r="A341" i="65" s="1"/>
  <c r="A342" i="65" s="1"/>
  <c r="A343" i="65" s="1"/>
  <c r="A344" i="65" s="1"/>
  <c r="A345" i="65" s="1"/>
  <c r="A346" i="65" s="1"/>
  <c r="A347" i="65" s="1"/>
  <c r="A348" i="65" s="1"/>
  <c r="A349" i="65" s="1"/>
  <c r="A350" i="65" s="1"/>
  <c r="A351" i="65" s="1"/>
  <c r="A352" i="65" s="1"/>
  <c r="A353" i="65" s="1"/>
  <c r="A354" i="65" s="1"/>
  <c r="A355" i="65" s="1"/>
  <c r="A356" i="65" s="1"/>
  <c r="A357" i="65" s="1"/>
  <c r="A358" i="65" s="1"/>
  <c r="A359" i="65" s="1"/>
  <c r="A360" i="65" s="1"/>
  <c r="A361" i="65" s="1"/>
  <c r="A362" i="65" s="1"/>
  <c r="A363" i="65" s="1"/>
  <c r="A364" i="65" s="1"/>
  <c r="A365" i="65" s="1"/>
  <c r="A366" i="65" s="1"/>
  <c r="A367" i="65" s="1"/>
  <c r="A368" i="65" s="1"/>
  <c r="A369" i="65" s="1"/>
  <c r="A370" i="65" s="1"/>
  <c r="A371" i="65" s="1"/>
  <c r="A372" i="65" s="1"/>
  <c r="A373" i="65" s="1"/>
  <c r="A374" i="65" s="1"/>
  <c r="A375" i="65" s="1"/>
  <c r="A376" i="65" s="1"/>
  <c r="A377" i="65" s="1"/>
  <c r="A378" i="65" s="1"/>
  <c r="A379" i="65" s="1"/>
  <c r="A380" i="65" s="1"/>
  <c r="A381" i="65" s="1"/>
  <c r="A382" i="65" s="1"/>
  <c r="A383" i="65" s="1"/>
  <c r="A384" i="65" s="1"/>
  <c r="A385" i="65" s="1"/>
  <c r="A386" i="65" s="1"/>
  <c r="A387" i="65" s="1"/>
  <c r="A388" i="65" s="1"/>
  <c r="A389" i="65" s="1"/>
  <c r="A390" i="65" s="1"/>
  <c r="A391" i="65" s="1"/>
  <c r="A392" i="65" s="1"/>
  <c r="A393" i="65" s="1"/>
  <c r="A394" i="65" s="1"/>
  <c r="A395" i="65" s="1"/>
  <c r="A396" i="65" s="1"/>
  <c r="A397" i="65" s="1"/>
  <c r="A398" i="65" s="1"/>
  <c r="A399" i="65" s="1"/>
  <c r="A400" i="65" s="1"/>
  <c r="A401" i="65" s="1"/>
  <c r="A402" i="65" s="1"/>
  <c r="A403" i="65" s="1"/>
  <c r="A404" i="65" s="1"/>
  <c r="A405" i="65" s="1"/>
  <c r="A406" i="65" s="1"/>
  <c r="A407" i="65" s="1"/>
  <c r="A408" i="65" s="1"/>
  <c r="A409" i="65" s="1"/>
  <c r="A410" i="65" s="1"/>
  <c r="A411" i="65" s="1"/>
  <c r="A412" i="65" s="1"/>
  <c r="A413" i="65" s="1"/>
  <c r="A414" i="65" s="1"/>
  <c r="A415" i="65" s="1"/>
  <c r="A416" i="65" s="1"/>
  <c r="A417" i="65" s="1"/>
  <c r="A418" i="65" s="1"/>
  <c r="A419" i="65" s="1"/>
  <c r="A420" i="65" s="1"/>
  <c r="A421" i="65" s="1"/>
  <c r="A422" i="65" s="1"/>
  <c r="A423" i="65" s="1"/>
  <c r="A424" i="65" s="1"/>
  <c r="F33" i="62" l="1"/>
  <c r="F33" i="63"/>
  <c r="E35" i="6" l="1"/>
  <c r="G11" i="5" l="1"/>
  <c r="A10" i="65"/>
  <c r="F34" i="62" l="1"/>
  <c r="F30" i="62" l="1"/>
  <c r="F29" i="62"/>
  <c r="F30" i="63"/>
  <c r="F29" i="63"/>
  <c r="F34" i="63"/>
  <c r="F22" i="63"/>
  <c r="F26" i="63"/>
  <c r="F21" i="63" l="1"/>
  <c r="F16" i="62" l="1"/>
  <c r="F16" i="63" l="1"/>
  <c r="C12" i="9" l="1"/>
  <c r="K378" i="65" l="1"/>
  <c r="M359" i="65"/>
  <c r="K165" i="65"/>
  <c r="K97" i="65"/>
  <c r="J291" i="65"/>
  <c r="M288" i="65" l="1"/>
  <c r="L367" i="65"/>
  <c r="M180" i="65"/>
  <c r="M149" i="65"/>
  <c r="L150" i="65"/>
  <c r="M190" i="65"/>
  <c r="K411" i="65"/>
  <c r="J315" i="65"/>
  <c r="K370" i="65"/>
  <c r="J378" i="65"/>
  <c r="M300" i="65"/>
  <c r="M383" i="65"/>
  <c r="M393" i="65"/>
  <c r="M402" i="65"/>
  <c r="M150" i="65"/>
  <c r="L151" i="65"/>
  <c r="L370" i="65"/>
  <c r="L363" i="65"/>
  <c r="K211" i="65"/>
  <c r="J290" i="65"/>
  <c r="K303" i="65"/>
  <c r="K25" i="65"/>
  <c r="K91" i="65"/>
  <c r="J188" i="65"/>
  <c r="K286" i="65"/>
  <c r="L196" i="65"/>
  <c r="K364" i="65"/>
  <c r="J29" i="65"/>
  <c r="M91" i="65"/>
  <c r="K227" i="65"/>
  <c r="M225" i="65"/>
  <c r="M224" i="65"/>
  <c r="L214" i="65"/>
  <c r="M217" i="65"/>
  <c r="M218" i="65"/>
  <c r="M261" i="65"/>
  <c r="M262" i="65"/>
  <c r="L242" i="65"/>
  <c r="K250" i="65"/>
  <c r="L327" i="65"/>
  <c r="L263" i="65"/>
  <c r="K18" i="65"/>
  <c r="M219" i="65"/>
  <c r="L15" i="65"/>
  <c r="J343" i="65"/>
  <c r="M90" i="65"/>
  <c r="L88" i="65"/>
  <c r="M89" i="65"/>
  <c r="M94" i="65"/>
  <c r="L116" i="65"/>
  <c r="M82" i="65"/>
  <c r="L186" i="65"/>
  <c r="L219" i="65"/>
  <c r="L220" i="65"/>
  <c r="K46" i="65"/>
  <c r="J61" i="65"/>
  <c r="J57" i="65"/>
  <c r="J147" i="65"/>
  <c r="J183" i="65"/>
  <c r="L206" i="65"/>
  <c r="K142" i="65"/>
  <c r="J195" i="65"/>
  <c r="K231" i="65"/>
  <c r="J48" i="65"/>
  <c r="J50" i="65"/>
  <c r="K216" i="65"/>
  <c r="J211" i="65"/>
  <c r="J304" i="65"/>
  <c r="L394" i="65"/>
  <c r="J149" i="65"/>
  <c r="J418" i="65"/>
  <c r="M193" i="65"/>
  <c r="J187" i="65"/>
  <c r="J201" i="65"/>
  <c r="K233" i="65"/>
  <c r="L194" i="65"/>
  <c r="M266" i="65"/>
  <c r="M114" i="65"/>
  <c r="J253" i="65"/>
  <c r="K236" i="65"/>
  <c r="K274" i="65"/>
  <c r="M19" i="65"/>
  <c r="J180" i="65"/>
  <c r="K269" i="65"/>
  <c r="M277" i="65"/>
  <c r="L283" i="65"/>
  <c r="K288" i="65"/>
  <c r="M289" i="65"/>
  <c r="M295" i="65"/>
  <c r="L296" i="65"/>
  <c r="M355" i="65"/>
  <c r="L354" i="65"/>
  <c r="K421" i="65"/>
  <c r="M33" i="65"/>
  <c r="L26" i="65"/>
  <c r="L30" i="65"/>
  <c r="K43" i="65"/>
  <c r="M47" i="65"/>
  <c r="L98" i="65"/>
  <c r="L253" i="65"/>
  <c r="K336" i="65"/>
  <c r="L115" i="65"/>
  <c r="K160" i="65"/>
  <c r="K115" i="65"/>
  <c r="K103" i="65"/>
  <c r="K322" i="65"/>
  <c r="M323" i="65"/>
  <c r="L324" i="65"/>
  <c r="K19" i="65"/>
  <c r="K230" i="65"/>
  <c r="L266" i="65"/>
  <c r="K299" i="65"/>
  <c r="J349" i="65"/>
  <c r="K28" i="65"/>
  <c r="J38" i="65"/>
  <c r="K78" i="65"/>
  <c r="J117" i="65"/>
  <c r="K66" i="65"/>
  <c r="J98" i="65"/>
  <c r="J300" i="65"/>
  <c r="K387" i="65"/>
  <c r="K264" i="65"/>
  <c r="M407" i="65"/>
  <c r="M415" i="65"/>
  <c r="L312" i="65"/>
  <c r="J267" i="65"/>
  <c r="K369" i="65"/>
  <c r="M64" i="65"/>
  <c r="J95" i="65"/>
  <c r="M80" i="65"/>
  <c r="M77" i="65"/>
  <c r="L45" i="65"/>
  <c r="M76" i="65"/>
  <c r="L56" i="65"/>
  <c r="M68" i="65"/>
  <c r="L59" i="65"/>
  <c r="K60" i="65"/>
  <c r="M103" i="65"/>
  <c r="J73" i="65"/>
  <c r="K109" i="65"/>
  <c r="M58" i="65"/>
  <c r="L172" i="65"/>
  <c r="M178" i="65"/>
  <c r="M204" i="65"/>
  <c r="K212" i="65"/>
  <c r="M221" i="65"/>
  <c r="K281" i="65"/>
  <c r="M153" i="65"/>
  <c r="M372" i="65"/>
  <c r="K267" i="65"/>
  <c r="M268" i="65"/>
  <c r="L298" i="65"/>
  <c r="M330" i="65"/>
  <c r="L332" i="65"/>
  <c r="L344" i="65"/>
  <c r="L346" i="65"/>
  <c r="L27" i="65"/>
  <c r="J223" i="65"/>
  <c r="M214" i="65"/>
  <c r="M215" i="65"/>
  <c r="M260" i="65"/>
  <c r="L248" i="65"/>
  <c r="L244" i="65"/>
  <c r="M385" i="65"/>
  <c r="J388" i="65"/>
  <c r="M285" i="65"/>
  <c r="K158" i="65"/>
  <c r="L293" i="65"/>
  <c r="K399" i="65"/>
  <c r="M400" i="65"/>
  <c r="J403" i="65"/>
  <c r="M394" i="65"/>
  <c r="L412" i="65"/>
  <c r="M133" i="65"/>
  <c r="L159" i="65"/>
  <c r="M311" i="65"/>
  <c r="P422" i="65"/>
  <c r="J139" i="65"/>
  <c r="K80" i="65"/>
  <c r="K48" i="65"/>
  <c r="K107" i="65"/>
  <c r="M104" i="65"/>
  <c r="L82" i="65"/>
  <c r="K121" i="65"/>
  <c r="J148" i="65"/>
  <c r="M411" i="65"/>
  <c r="M181" i="65"/>
  <c r="M315" i="65"/>
  <c r="L362" i="65"/>
  <c r="K180" i="65"/>
  <c r="K206" i="65"/>
  <c r="K266" i="65"/>
  <c r="M361" i="65"/>
  <c r="L364" i="65"/>
  <c r="M65" i="65"/>
  <c r="K238" i="65"/>
  <c r="J249" i="65"/>
  <c r="L329" i="65"/>
  <c r="J385" i="65"/>
  <c r="K292" i="65"/>
  <c r="J400" i="65"/>
  <c r="M406" i="65"/>
  <c r="K408" i="65"/>
  <c r="J416" i="65"/>
  <c r="K145" i="65"/>
  <c r="K185" i="65"/>
  <c r="L315" i="65"/>
  <c r="L372" i="65"/>
  <c r="M71" i="65"/>
  <c r="M271" i="65"/>
  <c r="O422" i="65"/>
  <c r="J12" i="65"/>
  <c r="M124" i="65"/>
  <c r="K140" i="65"/>
  <c r="M84" i="65"/>
  <c r="L112" i="65"/>
  <c r="K45" i="65"/>
  <c r="J47" i="65"/>
  <c r="M49" i="65"/>
  <c r="K59" i="65"/>
  <c r="K40" i="65"/>
  <c r="L101" i="65"/>
  <c r="K104" i="65"/>
  <c r="M276" i="65"/>
  <c r="L178" i="65"/>
  <c r="M212" i="65"/>
  <c r="L302" i="65"/>
  <c r="L306" i="65"/>
  <c r="M255" i="65"/>
  <c r="L258" i="65"/>
  <c r="K184" i="65"/>
  <c r="K346" i="65"/>
  <c r="K361" i="65"/>
  <c r="K397" i="65"/>
  <c r="K95" i="65"/>
  <c r="J49" i="65"/>
  <c r="K53" i="65"/>
  <c r="K67" i="65"/>
  <c r="J121" i="65"/>
  <c r="K224" i="65"/>
  <c r="J262" i="65"/>
  <c r="J252" i="65"/>
  <c r="J233" i="65"/>
  <c r="K237" i="65"/>
  <c r="K241" i="65"/>
  <c r="K301" i="65"/>
  <c r="K401" i="65"/>
  <c r="J316" i="65"/>
  <c r="K373" i="65"/>
  <c r="M13" i="65"/>
  <c r="K126" i="65"/>
  <c r="J125" i="65"/>
  <c r="K152" i="65"/>
  <c r="L160" i="65"/>
  <c r="K167" i="65"/>
  <c r="M170" i="65"/>
  <c r="L169" i="65"/>
  <c r="K195" i="65"/>
  <c r="L230" i="65"/>
  <c r="M283" i="65"/>
  <c r="L284" i="65"/>
  <c r="J289" i="65"/>
  <c r="K391" i="65"/>
  <c r="J421" i="65"/>
  <c r="K17" i="65"/>
  <c r="M32" i="65"/>
  <c r="L95" i="65"/>
  <c r="M79" i="65"/>
  <c r="J53" i="65"/>
  <c r="M85" i="65"/>
  <c r="L87" i="65"/>
  <c r="L381" i="65"/>
  <c r="L165" i="65"/>
  <c r="M173" i="65"/>
  <c r="J178" i="65"/>
  <c r="K221" i="65"/>
  <c r="K223" i="65"/>
  <c r="J215" i="65"/>
  <c r="J251" i="65"/>
  <c r="K271" i="65"/>
  <c r="K307" i="65"/>
  <c r="M337" i="65"/>
  <c r="L358" i="65"/>
  <c r="J360" i="65"/>
  <c r="M363" i="65"/>
  <c r="L366" i="65"/>
  <c r="J367" i="65"/>
  <c r="M377" i="65"/>
  <c r="L380" i="65"/>
  <c r="M410" i="65"/>
  <c r="M128" i="65"/>
  <c r="M147" i="65"/>
  <c r="J373" i="65"/>
  <c r="L21" i="65"/>
  <c r="J34" i="65"/>
  <c r="L11" i="65"/>
  <c r="L12" i="65"/>
  <c r="L34" i="65"/>
  <c r="M120" i="65"/>
  <c r="K123" i="65"/>
  <c r="M140" i="65"/>
  <c r="J196" i="65"/>
  <c r="K289" i="65"/>
  <c r="M290" i="65"/>
  <c r="J295" i="65"/>
  <c r="M297" i="65"/>
  <c r="M303" i="65"/>
  <c r="M339" i="65"/>
  <c r="L341" i="65"/>
  <c r="J340" i="65"/>
  <c r="L342" i="65"/>
  <c r="K351" i="65"/>
  <c r="J27" i="65"/>
  <c r="L84" i="65"/>
  <c r="L63" i="65"/>
  <c r="M45" i="65"/>
  <c r="L49" i="65"/>
  <c r="L89" i="65"/>
  <c r="L117" i="65"/>
  <c r="M110" i="65"/>
  <c r="M99" i="65"/>
  <c r="M73" i="65"/>
  <c r="J172" i="65"/>
  <c r="K222" i="65"/>
  <c r="M210" i="65"/>
  <c r="L217" i="65"/>
  <c r="M245" i="65"/>
  <c r="M248" i="65"/>
  <c r="M253" i="65"/>
  <c r="L236" i="65"/>
  <c r="M250" i="65"/>
  <c r="K278" i="65"/>
  <c r="L305" i="65"/>
  <c r="M309" i="65"/>
  <c r="L310" i="65"/>
  <c r="M319" i="65"/>
  <c r="L335" i="65"/>
  <c r="M384" i="65"/>
  <c r="M333" i="65"/>
  <c r="L350" i="65"/>
  <c r="J374" i="65"/>
  <c r="J140" i="65"/>
  <c r="K352" i="65"/>
  <c r="K102" i="65"/>
  <c r="K210" i="65"/>
  <c r="J11" i="65"/>
  <c r="J13" i="65"/>
  <c r="M127" i="65"/>
  <c r="M125" i="65"/>
  <c r="K132" i="65"/>
  <c r="L137" i="65"/>
  <c r="M144" i="65"/>
  <c r="M152" i="65"/>
  <c r="M156" i="65"/>
  <c r="L161" i="65"/>
  <c r="L180" i="65"/>
  <c r="J268" i="65"/>
  <c r="K357" i="65"/>
  <c r="J18" i="65"/>
  <c r="M17" i="65"/>
  <c r="L32" i="65"/>
  <c r="J33" i="65"/>
  <c r="M23" i="65"/>
  <c r="M25" i="65"/>
  <c r="K29" i="65"/>
  <c r="M36" i="65"/>
  <c r="K62" i="65"/>
  <c r="K58" i="65"/>
  <c r="J165" i="65"/>
  <c r="L228" i="65"/>
  <c r="L211" i="65"/>
  <c r="J250" i="65"/>
  <c r="M270" i="65"/>
  <c r="L271" i="65"/>
  <c r="J273" i="65"/>
  <c r="K279" i="65"/>
  <c r="M280" i="65"/>
  <c r="L281" i="65"/>
  <c r="L286" i="65"/>
  <c r="J305" i="65"/>
  <c r="K320" i="65"/>
  <c r="K403" i="65"/>
  <c r="M404" i="65"/>
  <c r="L405" i="65"/>
  <c r="K415" i="65"/>
  <c r="J419" i="65"/>
  <c r="M420" i="65"/>
  <c r="M31" i="65"/>
  <c r="L147" i="65"/>
  <c r="M159" i="65"/>
  <c r="J181" i="65"/>
  <c r="M185" i="65"/>
  <c r="L191" i="65"/>
  <c r="M312" i="65"/>
  <c r="K315" i="65"/>
  <c r="M148" i="65"/>
  <c r="M34" i="65"/>
  <c r="M122" i="65"/>
  <c r="L126" i="65"/>
  <c r="M139" i="65"/>
  <c r="L140" i="65"/>
  <c r="J177" i="65"/>
  <c r="M265" i="65"/>
  <c r="M267" i="65"/>
  <c r="M298" i="65"/>
  <c r="K342" i="65"/>
  <c r="J369" i="65"/>
  <c r="M397" i="65"/>
  <c r="M48" i="65"/>
  <c r="J97" i="65"/>
  <c r="M93" i="65"/>
  <c r="M111" i="65"/>
  <c r="L52" i="65"/>
  <c r="L40" i="65"/>
  <c r="L41" i="65"/>
  <c r="M101" i="65"/>
  <c r="L99" i="65"/>
  <c r="J66" i="65"/>
  <c r="M98" i="65"/>
  <c r="L276" i="65"/>
  <c r="L200" i="65"/>
  <c r="J226" i="65"/>
  <c r="L259" i="65"/>
  <c r="L257" i="65"/>
  <c r="M233" i="65"/>
  <c r="L234" i="65"/>
  <c r="L235" i="65"/>
  <c r="M237" i="65"/>
  <c r="M322" i="65"/>
  <c r="L264" i="65"/>
  <c r="L399" i="65"/>
  <c r="M401" i="65"/>
  <c r="M316" i="65"/>
  <c r="M331" i="65"/>
  <c r="L333" i="65"/>
  <c r="M368" i="65"/>
  <c r="M373" i="65"/>
  <c r="J94" i="65"/>
  <c r="K94" i="65"/>
  <c r="K112" i="65"/>
  <c r="J112" i="65"/>
  <c r="M216" i="65"/>
  <c r="L216" i="65"/>
  <c r="J208" i="65"/>
  <c r="J54" i="65"/>
  <c r="K54" i="65"/>
  <c r="M9" i="65"/>
  <c r="K10" i="65"/>
  <c r="J334" i="65"/>
  <c r="K334" i="65"/>
  <c r="M70" i="65"/>
  <c r="L70" i="65"/>
  <c r="K350" i="65"/>
  <c r="J350" i="65"/>
  <c r="L277" i="65"/>
  <c r="K298" i="65"/>
  <c r="K330" i="65"/>
  <c r="M332" i="65"/>
  <c r="L338" i="65"/>
  <c r="J341" i="65"/>
  <c r="M344" i="65"/>
  <c r="J355" i="65"/>
  <c r="M391" i="65"/>
  <c r="L421" i="65"/>
  <c r="M14" i="65"/>
  <c r="K33" i="65"/>
  <c r="K27" i="65"/>
  <c r="K30" i="65"/>
  <c r="M44" i="65"/>
  <c r="L46" i="65"/>
  <c r="J80" i="65"/>
  <c r="J115" i="65"/>
  <c r="J83" i="65"/>
  <c r="M40" i="65"/>
  <c r="K108" i="65"/>
  <c r="J39" i="65"/>
  <c r="M42" i="65"/>
  <c r="L75" i="65"/>
  <c r="K82" i="65"/>
  <c r="J58" i="65"/>
  <c r="L67" i="65"/>
  <c r="M102" i="65"/>
  <c r="L390" i="65"/>
  <c r="J276" i="65"/>
  <c r="J129" i="65"/>
  <c r="M172" i="65"/>
  <c r="K178" i="65"/>
  <c r="M197" i="65"/>
  <c r="L199" i="65"/>
  <c r="K203" i="65"/>
  <c r="J221" i="65"/>
  <c r="J210" i="65"/>
  <c r="K248" i="65"/>
  <c r="M259" i="65"/>
  <c r="J234" i="65"/>
  <c r="M235" i="65"/>
  <c r="L250" i="65"/>
  <c r="M275" i="65"/>
  <c r="L278" i="65"/>
  <c r="M281" i="65"/>
  <c r="J301" i="65"/>
  <c r="J255" i="65"/>
  <c r="M282" i="65"/>
  <c r="J320" i="65"/>
  <c r="K323" i="65"/>
  <c r="M324" i="65"/>
  <c r="L325" i="65"/>
  <c r="M335" i="65"/>
  <c r="M358" i="65"/>
  <c r="K363" i="65"/>
  <c r="M380" i="65"/>
  <c r="J387" i="65"/>
  <c r="K393" i="65"/>
  <c r="L164" i="65"/>
  <c r="M157" i="65"/>
  <c r="J411" i="65"/>
  <c r="L420" i="65"/>
  <c r="L181" i="65"/>
  <c r="L314" i="65"/>
  <c r="K148" i="65"/>
  <c r="L141" i="65"/>
  <c r="L154" i="65"/>
  <c r="L176" i="65"/>
  <c r="L356" i="65"/>
  <c r="M364" i="65"/>
  <c r="L72" i="65"/>
  <c r="L130" i="65"/>
  <c r="M188" i="65"/>
  <c r="M239" i="65"/>
  <c r="M328" i="65"/>
  <c r="L389" i="65"/>
  <c r="M412" i="65"/>
  <c r="M362" i="65"/>
  <c r="M375" i="65"/>
  <c r="L376" i="65"/>
  <c r="M378" i="65"/>
  <c r="L123" i="65"/>
  <c r="M354" i="65"/>
  <c r="L29" i="65"/>
  <c r="L69" i="65"/>
  <c r="M131" i="65"/>
  <c r="M264" i="65"/>
  <c r="M12" i="65"/>
  <c r="M118" i="65"/>
  <c r="K138" i="65"/>
  <c r="M161" i="65"/>
  <c r="M162" i="65"/>
  <c r="K168" i="65"/>
  <c r="L170" i="65"/>
  <c r="K182" i="65"/>
  <c r="M183" i="65"/>
  <c r="M207" i="65"/>
  <c r="L208" i="65"/>
  <c r="K290" i="65"/>
  <c r="L330" i="65"/>
  <c r="J352" i="65"/>
  <c r="K14" i="65"/>
  <c r="L79" i="65"/>
  <c r="J45" i="65"/>
  <c r="L93" i="65"/>
  <c r="K56" i="65"/>
  <c r="M113" i="65"/>
  <c r="L111" i="65"/>
  <c r="J52" i="65"/>
  <c r="K110" i="65"/>
  <c r="J107" i="65"/>
  <c r="J42" i="65"/>
  <c r="K37" i="65"/>
  <c r="K81" i="65"/>
  <c r="M74" i="65"/>
  <c r="L109" i="65"/>
  <c r="M67" i="65"/>
  <c r="K172" i="65"/>
  <c r="K197" i="65"/>
  <c r="M199" i="65"/>
  <c r="M202" i="65"/>
  <c r="J198" i="65"/>
  <c r="M201" i="65"/>
  <c r="M223" i="65"/>
  <c r="K217" i="65"/>
  <c r="L245" i="65"/>
  <c r="M252" i="65"/>
  <c r="M232" i="65"/>
  <c r="L233" i="65"/>
  <c r="J275" i="65"/>
  <c r="M304" i="65"/>
  <c r="M307" i="65"/>
  <c r="L308" i="65"/>
  <c r="K282" i="65"/>
  <c r="M318" i="65"/>
  <c r="L319" i="65"/>
  <c r="K328" i="65"/>
  <c r="K358" i="65"/>
  <c r="J365" i="65"/>
  <c r="M366" i="65"/>
  <c r="L387" i="65"/>
  <c r="J157" i="65"/>
  <c r="K419" i="65"/>
  <c r="K147" i="65"/>
  <c r="J179" i="65"/>
  <c r="M314" i="65"/>
  <c r="K316" i="65"/>
  <c r="M21" i="65"/>
  <c r="L22" i="65"/>
  <c r="K136" i="65"/>
  <c r="L78" i="65"/>
  <c r="M57" i="65"/>
  <c r="L121" i="65"/>
  <c r="L240" i="65"/>
  <c r="M123" i="65"/>
  <c r="M141" i="65"/>
  <c r="M154" i="65"/>
  <c r="L155" i="65"/>
  <c r="K177" i="65"/>
  <c r="M176" i="65"/>
  <c r="M195" i="65"/>
  <c r="L268" i="65"/>
  <c r="M291" i="65"/>
  <c r="J299" i="65"/>
  <c r="J338" i="65"/>
  <c r="M349" i="65"/>
  <c r="L348" i="65"/>
  <c r="M356" i="65"/>
  <c r="L361" i="65"/>
  <c r="M395" i="65"/>
  <c r="L398" i="65"/>
  <c r="J28" i="65"/>
  <c r="L55" i="65"/>
  <c r="K71" i="65"/>
  <c r="M51" i="65"/>
  <c r="M63" i="65"/>
  <c r="M72" i="65"/>
  <c r="L94" i="65"/>
  <c r="L92" i="65"/>
  <c r="L106" i="65"/>
  <c r="J381" i="65"/>
  <c r="M121" i="65"/>
  <c r="M130" i="65"/>
  <c r="L171" i="65"/>
  <c r="J199" i="65"/>
  <c r="M227" i="65"/>
  <c r="M222" i="65"/>
  <c r="L213" i="65"/>
  <c r="L225" i="65"/>
  <c r="L260" i="65"/>
  <c r="L237" i="65"/>
  <c r="M240" i="65"/>
  <c r="L241" i="65"/>
  <c r="L247" i="65"/>
  <c r="K272" i="65"/>
  <c r="M273" i="65"/>
  <c r="M389" i="65"/>
  <c r="M392" i="65"/>
  <c r="L407" i="65"/>
  <c r="K314" i="65"/>
  <c r="J331" i="65"/>
  <c r="M376" i="65"/>
  <c r="K156" i="65"/>
  <c r="M346" i="65"/>
  <c r="L51" i="65"/>
  <c r="M59" i="65"/>
  <c r="M96" i="65"/>
  <c r="M381" i="65"/>
  <c r="M388" i="65"/>
  <c r="L391" i="65"/>
  <c r="M30" i="65"/>
  <c r="L65" i="65"/>
  <c r="L36" i="65"/>
  <c r="J90" i="65"/>
  <c r="L76" i="65"/>
  <c r="L47" i="65"/>
  <c r="L61" i="65"/>
  <c r="M41" i="65"/>
  <c r="L108" i="65"/>
  <c r="L85" i="65"/>
  <c r="L35" i="65"/>
  <c r="M203" i="65"/>
  <c r="M226" i="65"/>
  <c r="J224" i="65"/>
  <c r="L275" i="65"/>
  <c r="J307" i="65"/>
  <c r="L320" i="65"/>
  <c r="M326" i="65"/>
  <c r="L157" i="65"/>
  <c r="M137" i="65"/>
  <c r="K144" i="65"/>
  <c r="L349" i="65"/>
  <c r="M24" i="65"/>
  <c r="L175" i="65"/>
  <c r="L227" i="65"/>
  <c r="L222" i="65"/>
  <c r="L20" i="65"/>
  <c r="K11" i="65"/>
  <c r="J19" i="65"/>
  <c r="K118" i="65"/>
  <c r="L10" i="65"/>
  <c r="L127" i="65"/>
  <c r="M136" i="65"/>
  <c r="K176" i="65"/>
  <c r="L193" i="65"/>
  <c r="K207" i="65"/>
  <c r="M230" i="65"/>
  <c r="L231" i="65"/>
  <c r="J266" i="65"/>
  <c r="M294" i="65"/>
  <c r="L295" i="65"/>
  <c r="K340" i="65"/>
  <c r="M348" i="65"/>
  <c r="M351" i="65"/>
  <c r="L17" i="65"/>
  <c r="L33" i="65"/>
  <c r="L80" i="65"/>
  <c r="K84" i="65"/>
  <c r="K51" i="65"/>
  <c r="J93" i="65"/>
  <c r="M88" i="65"/>
  <c r="M107" i="65"/>
  <c r="J67" i="65"/>
  <c r="L131" i="65"/>
  <c r="J130" i="65"/>
  <c r="M171" i="65"/>
  <c r="K173" i="65"/>
  <c r="L188" i="65"/>
  <c r="M220" i="65"/>
  <c r="K242" i="65"/>
  <c r="M243" i="65"/>
  <c r="K246" i="65"/>
  <c r="M301" i="65"/>
  <c r="K304" i="65"/>
  <c r="L321" i="65"/>
  <c r="M334" i="65"/>
  <c r="K360" i="65"/>
  <c r="K383" i="65"/>
  <c r="L384" i="65"/>
  <c r="J158" i="65"/>
  <c r="K410" i="65"/>
  <c r="L415" i="65"/>
  <c r="K181" i="65"/>
  <c r="M371" i="65"/>
  <c r="L375" i="65"/>
  <c r="J376" i="65"/>
  <c r="K22" i="65"/>
  <c r="K287" i="65"/>
  <c r="L229" i="65"/>
  <c r="L291" i="65"/>
  <c r="M345" i="65"/>
  <c r="L357" i="65"/>
  <c r="L395" i="65"/>
  <c r="M205" i="65"/>
  <c r="M254" i="65"/>
  <c r="K13" i="65"/>
  <c r="K12" i="65"/>
  <c r="L118" i="65"/>
  <c r="K119" i="65"/>
  <c r="K124" i="65"/>
  <c r="L138" i="65"/>
  <c r="J162" i="65"/>
  <c r="M169" i="65"/>
  <c r="M196" i="65"/>
  <c r="M206" i="65"/>
  <c r="M208" i="65"/>
  <c r="J351" i="65"/>
  <c r="M112" i="65"/>
  <c r="K86" i="65"/>
  <c r="K100" i="65"/>
  <c r="K106" i="65"/>
  <c r="K171" i="65"/>
  <c r="K213" i="65"/>
  <c r="M251" i="65"/>
  <c r="M257" i="65"/>
  <c r="J274" i="65"/>
  <c r="J407" i="65"/>
  <c r="K414" i="65"/>
  <c r="L133" i="65"/>
  <c r="M151" i="65"/>
  <c r="L189" i="65"/>
  <c r="M370" i="65"/>
  <c r="L132" i="65"/>
  <c r="L139" i="65"/>
  <c r="L184" i="65"/>
  <c r="M209" i="65"/>
  <c r="L18" i="65"/>
  <c r="L43" i="65"/>
  <c r="K99" i="65"/>
  <c r="J99" i="65"/>
  <c r="M382" i="65"/>
  <c r="L382" i="65"/>
  <c r="K146" i="65"/>
  <c r="J146" i="65"/>
  <c r="K151" i="65"/>
  <c r="J151" i="65"/>
  <c r="L168" i="65"/>
  <c r="K15" i="65"/>
  <c r="J118" i="65"/>
  <c r="K120" i="65"/>
  <c r="K125" i="65"/>
  <c r="K162" i="65"/>
  <c r="J206" i="65"/>
  <c r="K208" i="65"/>
  <c r="J288" i="65"/>
  <c r="L299" i="65"/>
  <c r="J330" i="65"/>
  <c r="K341" i="65"/>
  <c r="L340" i="65"/>
  <c r="J345" i="65"/>
  <c r="J346" i="65"/>
  <c r="M379" i="65"/>
  <c r="J391" i="65"/>
  <c r="K32" i="65"/>
  <c r="K23" i="65"/>
  <c r="L28" i="65"/>
  <c r="J30" i="65"/>
  <c r="K70" i="65"/>
  <c r="J91" i="65"/>
  <c r="M97" i="65"/>
  <c r="J63" i="65"/>
  <c r="K90" i="65"/>
  <c r="K113" i="65"/>
  <c r="K47" i="65"/>
  <c r="M38" i="65"/>
  <c r="K88" i="65"/>
  <c r="J40" i="65"/>
  <c r="K116" i="65"/>
  <c r="J102" i="65"/>
  <c r="K259" i="65"/>
  <c r="K244" i="65"/>
  <c r="J244" i="65"/>
  <c r="M126" i="65"/>
  <c r="L177" i="65"/>
  <c r="J176" i="65"/>
  <c r="J182" i="65"/>
  <c r="K111" i="65"/>
  <c r="K321" i="65"/>
  <c r="J321" i="65"/>
  <c r="K133" i="65"/>
  <c r="J133" i="65"/>
  <c r="K191" i="65"/>
  <c r="J191" i="65"/>
  <c r="M413" i="65"/>
  <c r="L413" i="65"/>
  <c r="K20" i="65"/>
  <c r="M155" i="65"/>
  <c r="J14" i="65"/>
  <c r="J16" i="65"/>
  <c r="J20" i="65"/>
  <c r="K127" i="65"/>
  <c r="M132" i="65"/>
  <c r="K141" i="65"/>
  <c r="K161" i="65"/>
  <c r="M168" i="65"/>
  <c r="M167" i="65"/>
  <c r="L182" i="65"/>
  <c r="M184" i="65"/>
  <c r="M194" i="65"/>
  <c r="K196" i="65"/>
  <c r="M229" i="65"/>
  <c r="J265" i="65"/>
  <c r="M296" i="65"/>
  <c r="L297" i="65"/>
  <c r="J303" i="65"/>
  <c r="M338" i="65"/>
  <c r="L339" i="65"/>
  <c r="J344" i="65"/>
  <c r="K343" i="65"/>
  <c r="M342" i="65"/>
  <c r="L352" i="65"/>
  <c r="K356" i="65"/>
  <c r="M398" i="65"/>
  <c r="L397" i="65"/>
  <c r="M18" i="65"/>
  <c r="J25" i="65"/>
  <c r="M29" i="65"/>
  <c r="M46" i="65"/>
  <c r="M115" i="65"/>
  <c r="M43" i="65"/>
  <c r="L90" i="65"/>
  <c r="J89" i="65"/>
  <c r="M61" i="65"/>
  <c r="M100" i="65"/>
  <c r="M129" i="65"/>
  <c r="L129" i="65"/>
  <c r="L204" i="65"/>
  <c r="M213" i="65"/>
  <c r="M163" i="65"/>
  <c r="L163" i="65"/>
  <c r="K404" i="65"/>
  <c r="J404" i="65"/>
  <c r="M119" i="65"/>
  <c r="J138" i="65"/>
  <c r="M15" i="65"/>
  <c r="J127" i="65"/>
  <c r="M142" i="65"/>
  <c r="J144" i="65"/>
  <c r="J161" i="65"/>
  <c r="M177" i="65"/>
  <c r="L195" i="65"/>
  <c r="K265" i="65"/>
  <c r="M269" i="65"/>
  <c r="K284" i="65"/>
  <c r="L288" i="65"/>
  <c r="K291" i="65"/>
  <c r="M299" i="65"/>
  <c r="K344" i="65"/>
  <c r="M340" i="65"/>
  <c r="M353" i="65"/>
  <c r="L355" i="65"/>
  <c r="J364" i="65"/>
  <c r="M369" i="65"/>
  <c r="K379" i="65"/>
  <c r="M26" i="65"/>
  <c r="L23" i="65"/>
  <c r="M28" i="65"/>
  <c r="L64" i="65"/>
  <c r="L77" i="65"/>
  <c r="L71" i="65"/>
  <c r="J51" i="65"/>
  <c r="M56" i="65"/>
  <c r="L113" i="65"/>
  <c r="M78" i="65"/>
  <c r="L96" i="65"/>
  <c r="M116" i="65"/>
  <c r="M198" i="65"/>
  <c r="L198" i="65"/>
  <c r="K329" i="65"/>
  <c r="J329" i="65"/>
  <c r="K409" i="65"/>
  <c r="J409" i="65"/>
  <c r="L269" i="65"/>
  <c r="J298" i="65"/>
  <c r="L16" i="65"/>
  <c r="J119" i="65"/>
  <c r="J142" i="65"/>
  <c r="M138" i="65"/>
  <c r="L144" i="65"/>
  <c r="M182" i="65"/>
  <c r="J207" i="65"/>
  <c r="L265" i="65"/>
  <c r="K338" i="65"/>
  <c r="J379" i="65"/>
  <c r="L24" i="65"/>
  <c r="M95" i="65"/>
  <c r="L114" i="65"/>
  <c r="K38" i="65"/>
  <c r="K52" i="65"/>
  <c r="J106" i="65"/>
  <c r="J174" i="65"/>
  <c r="K174" i="65"/>
  <c r="K309" i="65"/>
  <c r="J309" i="65"/>
  <c r="J285" i="65"/>
  <c r="K285" i="65"/>
  <c r="J131" i="65"/>
  <c r="K131" i="65"/>
  <c r="J10" i="65"/>
  <c r="L142" i="65"/>
  <c r="K268" i="65"/>
  <c r="M20" i="65"/>
  <c r="L119" i="65"/>
  <c r="L122" i="65"/>
  <c r="J124" i="65"/>
  <c r="J156" i="65"/>
  <c r="M160" i="65"/>
  <c r="J184" i="65"/>
  <c r="L207" i="65"/>
  <c r="J269" i="65"/>
  <c r="M284" i="65"/>
  <c r="L289" i="65"/>
  <c r="L351" i="65"/>
  <c r="J353" i="65"/>
  <c r="J361" i="65"/>
  <c r="L379" i="65"/>
  <c r="L44" i="65"/>
  <c r="M55" i="65"/>
  <c r="K36" i="65"/>
  <c r="L97" i="65"/>
  <c r="M86" i="65"/>
  <c r="K83" i="65"/>
  <c r="L68" i="65"/>
  <c r="K245" i="65"/>
  <c r="J245" i="65"/>
  <c r="J69" i="65"/>
  <c r="M50" i="65"/>
  <c r="M60" i="65"/>
  <c r="M37" i="65"/>
  <c r="L173" i="65"/>
  <c r="M187" i="65"/>
  <c r="L202" i="65"/>
  <c r="K198" i="65"/>
  <c r="J216" i="65"/>
  <c r="J217" i="65"/>
  <c r="M242" i="65"/>
  <c r="K251" i="65"/>
  <c r="K234" i="65"/>
  <c r="J236" i="65"/>
  <c r="J243" i="65"/>
  <c r="J246" i="65"/>
  <c r="L270" i="65"/>
  <c r="M272" i="65"/>
  <c r="J286" i="65"/>
  <c r="K255" i="65"/>
  <c r="J258" i="65"/>
  <c r="M158" i="65"/>
  <c r="L418" i="65"/>
  <c r="M166" i="65"/>
  <c r="L192" i="65"/>
  <c r="M313" i="65"/>
  <c r="M374" i="65"/>
  <c r="K69" i="65"/>
  <c r="M92" i="65"/>
  <c r="K42" i="65"/>
  <c r="K74" i="65"/>
  <c r="K276" i="65"/>
  <c r="J171" i="65"/>
  <c r="K188" i="65"/>
  <c r="J203" i="65"/>
  <c r="L212" i="65"/>
  <c r="K220" i="65"/>
  <c r="L210" i="65"/>
  <c r="L261" i="65"/>
  <c r="K254" i="65"/>
  <c r="J239" i="65"/>
  <c r="K243" i="65"/>
  <c r="M247" i="65"/>
  <c r="J279" i="65"/>
  <c r="M302" i="65"/>
  <c r="M305" i="65"/>
  <c r="M308" i="65"/>
  <c r="K318" i="65"/>
  <c r="L322" i="65"/>
  <c r="J323" i="65"/>
  <c r="M327" i="65"/>
  <c r="L336" i="65"/>
  <c r="K365" i="65"/>
  <c r="J383" i="65"/>
  <c r="K385" i="65"/>
  <c r="K388" i="65"/>
  <c r="L392" i="65"/>
  <c r="J399" i="65"/>
  <c r="J401" i="65"/>
  <c r="J414" i="65"/>
  <c r="K416" i="65"/>
  <c r="K376" i="65"/>
  <c r="K21" i="65"/>
  <c r="J150" i="65"/>
  <c r="K190" i="65"/>
  <c r="M287" i="65"/>
  <c r="K92" i="65"/>
  <c r="K101" i="65"/>
  <c r="M75" i="65"/>
  <c r="L104" i="65"/>
  <c r="M109" i="65"/>
  <c r="K205" i="65"/>
  <c r="K218" i="65"/>
  <c r="J235" i="65"/>
  <c r="M236" i="65"/>
  <c r="M246" i="65"/>
  <c r="L301" i="65"/>
  <c r="K305" i="65"/>
  <c r="J308" i="65"/>
  <c r="K327" i="65"/>
  <c r="K366" i="65"/>
  <c r="M405" i="65"/>
  <c r="K407" i="65"/>
  <c r="K417" i="65"/>
  <c r="K331" i="65"/>
  <c r="J372" i="65"/>
  <c r="M22" i="65"/>
  <c r="J92" i="65"/>
  <c r="M108" i="65"/>
  <c r="L110" i="65"/>
  <c r="M62" i="65"/>
  <c r="M87" i="65"/>
  <c r="L66" i="65"/>
  <c r="K50" i="65"/>
  <c r="L39" i="65"/>
  <c r="J60" i="65"/>
  <c r="M35" i="65"/>
  <c r="L81" i="65"/>
  <c r="M390" i="65"/>
  <c r="M134" i="65"/>
  <c r="K130" i="65"/>
  <c r="L135" i="65"/>
  <c r="M175" i="65"/>
  <c r="K199" i="65"/>
  <c r="J222" i="65"/>
  <c r="L218" i="65"/>
  <c r="J259" i="65"/>
  <c r="L256" i="65"/>
  <c r="M234" i="65"/>
  <c r="K235" i="65"/>
  <c r="M241" i="65"/>
  <c r="M249" i="65"/>
  <c r="L274" i="65"/>
  <c r="M278" i="65"/>
  <c r="L279" i="65"/>
  <c r="M306" i="65"/>
  <c r="L307" i="65"/>
  <c r="K308" i="65"/>
  <c r="J282" i="65"/>
  <c r="M310" i="65"/>
  <c r="L317" i="65"/>
  <c r="K319" i="65"/>
  <c r="J363" i="65"/>
  <c r="L365" i="65"/>
  <c r="J366" i="65"/>
  <c r="K384" i="65"/>
  <c r="K386" i="65"/>
  <c r="M164" i="65"/>
  <c r="L292" i="65"/>
  <c r="L401" i="65"/>
  <c r="M403" i="65"/>
  <c r="L406" i="65"/>
  <c r="L411" i="65"/>
  <c r="K412" i="65"/>
  <c r="J415" i="65"/>
  <c r="J417" i="65"/>
  <c r="M418" i="65"/>
  <c r="L419" i="65"/>
  <c r="K420" i="65"/>
  <c r="L128" i="65"/>
  <c r="L153" i="65"/>
  <c r="M192" i="65"/>
  <c r="L311" i="65"/>
  <c r="L371" i="65"/>
  <c r="K372" i="65"/>
  <c r="K374" i="65"/>
  <c r="M396" i="65"/>
  <c r="M189" i="65"/>
  <c r="M117" i="65"/>
  <c r="L57" i="65"/>
  <c r="L53" i="65"/>
  <c r="J37" i="65"/>
  <c r="M186" i="65"/>
  <c r="K201" i="65"/>
  <c r="J237" i="65"/>
  <c r="K273" i="65"/>
  <c r="J281" i="65"/>
  <c r="K300" i="65"/>
  <c r="J302" i="65"/>
  <c r="K324" i="65"/>
  <c r="M325" i="65"/>
  <c r="L326" i="65"/>
  <c r="M336" i="65"/>
  <c r="J358" i="65"/>
  <c r="L360" i="65"/>
  <c r="L383" i="65"/>
  <c r="J384" i="65"/>
  <c r="J386" i="65"/>
  <c r="M387" i="65"/>
  <c r="K389" i="65"/>
  <c r="J264" i="65"/>
  <c r="K400" i="65"/>
  <c r="J410" i="65"/>
  <c r="L414" i="65"/>
  <c r="K179" i="65"/>
  <c r="L331" i="65"/>
  <c r="J22" i="65"/>
  <c r="K149" i="65"/>
  <c r="J370" i="65"/>
  <c r="J100" i="65"/>
  <c r="J62" i="65"/>
  <c r="L50" i="65"/>
  <c r="M39" i="65"/>
  <c r="L42" i="65"/>
  <c r="L60" i="65"/>
  <c r="M81" i="65"/>
  <c r="L74" i="65"/>
  <c r="M54" i="65"/>
  <c r="K381" i="65"/>
  <c r="K129" i="65"/>
  <c r="M135" i="65"/>
  <c r="M143" i="65"/>
  <c r="L197" i="65"/>
  <c r="K226" i="65"/>
  <c r="M211" i="65"/>
  <c r="L254" i="65"/>
  <c r="M256" i="65"/>
  <c r="L232" i="65"/>
  <c r="M238" i="65"/>
  <c r="L239" i="65"/>
  <c r="K249" i="65"/>
  <c r="L272" i="65"/>
  <c r="M279" i="65"/>
  <c r="M286" i="65"/>
  <c r="K302" i="65"/>
  <c r="M258" i="65"/>
  <c r="K310" i="65"/>
  <c r="M317" i="65"/>
  <c r="L318" i="65"/>
  <c r="M321" i="65"/>
  <c r="L323" i="65"/>
  <c r="J328" i="65"/>
  <c r="M329" i="65"/>
  <c r="L337" i="65"/>
  <c r="M367" i="65"/>
  <c r="L377" i="65"/>
  <c r="J389" i="65"/>
  <c r="K164" i="65"/>
  <c r="K163" i="65"/>
  <c r="M292" i="65"/>
  <c r="M293" i="65"/>
  <c r="M399" i="65"/>
  <c r="L402" i="65"/>
  <c r="L404" i="65"/>
  <c r="M419" i="65"/>
  <c r="M146" i="65"/>
  <c r="J185" i="65"/>
  <c r="M191" i="65"/>
  <c r="L374" i="65"/>
  <c r="M53" i="65"/>
  <c r="M106" i="65"/>
  <c r="J103" i="65"/>
  <c r="L37" i="65"/>
  <c r="L73" i="65"/>
  <c r="L102" i="65"/>
  <c r="K202" i="65"/>
  <c r="M200" i="65"/>
  <c r="L205" i="65"/>
  <c r="M228" i="65"/>
  <c r="K215" i="65"/>
  <c r="J261" i="65"/>
  <c r="L280" i="65"/>
  <c r="L282" i="65"/>
  <c r="J322" i="65"/>
  <c r="M360" i="65"/>
  <c r="L393" i="65"/>
  <c r="J164" i="65"/>
  <c r="J163" i="65"/>
  <c r="K406" i="65"/>
  <c r="J408" i="65"/>
  <c r="L410" i="65"/>
  <c r="J145" i="65"/>
  <c r="K153" i="65"/>
  <c r="K311" i="65"/>
  <c r="M350" i="65"/>
  <c r="K371" i="65"/>
  <c r="L149" i="65"/>
  <c r="L287" i="65"/>
  <c r="M11" i="65"/>
  <c r="K34" i="65"/>
  <c r="J132" i="65"/>
  <c r="K139" i="65"/>
  <c r="J168" i="65"/>
  <c r="K348" i="65"/>
  <c r="J348" i="65"/>
  <c r="L13" i="65"/>
  <c r="K77" i="65"/>
  <c r="J77" i="65"/>
  <c r="K204" i="65"/>
  <c r="J204" i="65"/>
  <c r="J120" i="65"/>
  <c r="J123" i="65"/>
  <c r="J152" i="65"/>
  <c r="J160" i="65"/>
  <c r="M231" i="65"/>
  <c r="J284" i="65"/>
  <c r="K154" i="65"/>
  <c r="J154" i="65"/>
  <c r="L347" i="65"/>
  <c r="M347" i="65"/>
  <c r="M10" i="65"/>
  <c r="M16" i="65"/>
  <c r="J126" i="65"/>
  <c r="L124" i="65"/>
  <c r="K137" i="65"/>
  <c r="J137" i="65"/>
  <c r="K155" i="65"/>
  <c r="L156" i="65"/>
  <c r="K170" i="65"/>
  <c r="J170" i="65"/>
  <c r="K193" i="65"/>
  <c r="J193" i="65"/>
  <c r="K209" i="65"/>
  <c r="J209" i="65"/>
  <c r="K345" i="65"/>
  <c r="J356" i="65"/>
  <c r="K395" i="65"/>
  <c r="J395" i="65"/>
  <c r="J114" i="65"/>
  <c r="K114" i="65"/>
  <c r="K122" i="65"/>
  <c r="J122" i="65"/>
  <c r="L105" i="65"/>
  <c r="M105" i="65"/>
  <c r="K277" i="65"/>
  <c r="J277" i="65"/>
  <c r="L125" i="65"/>
  <c r="L162" i="65"/>
  <c r="K55" i="65"/>
  <c r="J55" i="65"/>
  <c r="L83" i="65"/>
  <c r="M83" i="65"/>
  <c r="J15" i="65"/>
  <c r="K16" i="65"/>
  <c r="L19" i="65"/>
  <c r="J136" i="65"/>
  <c r="J167" i="65"/>
  <c r="K169" i="65"/>
  <c r="K183" i="65"/>
  <c r="K194" i="65"/>
  <c r="K229" i="65"/>
  <c r="L343" i="65"/>
  <c r="M343" i="65"/>
  <c r="M421" i="65"/>
  <c r="M27" i="65"/>
  <c r="K263" i="65"/>
  <c r="J263" i="65"/>
  <c r="L303" i="65"/>
  <c r="J332" i="65"/>
  <c r="K339" i="65"/>
  <c r="J339" i="65"/>
  <c r="L353" i="65"/>
  <c r="K355" i="65"/>
  <c r="J357" i="65"/>
  <c r="J200" i="65"/>
  <c r="K200" i="65"/>
  <c r="J229" i="65"/>
  <c r="L290" i="65"/>
  <c r="J294" i="65"/>
  <c r="K296" i="65"/>
  <c r="J296" i="65"/>
  <c r="K332" i="65"/>
  <c r="J342" i="65"/>
  <c r="M357" i="65"/>
  <c r="L25" i="65"/>
  <c r="J24" i="65"/>
  <c r="K64" i="65"/>
  <c r="J64" i="65"/>
  <c r="K65" i="65"/>
  <c r="K63" i="65"/>
  <c r="L120" i="65"/>
  <c r="L136" i="65"/>
  <c r="J141" i="65"/>
  <c r="L152" i="65"/>
  <c r="J155" i="65"/>
  <c r="L167" i="65"/>
  <c r="J169" i="65"/>
  <c r="L183" i="65"/>
  <c r="J194" i="65"/>
  <c r="L209" i="65"/>
  <c r="J230" i="65"/>
  <c r="J231" i="65"/>
  <c r="M263" i="65"/>
  <c r="K294" i="65"/>
  <c r="L345" i="65"/>
  <c r="K349" i="65"/>
  <c r="K347" i="65"/>
  <c r="L14" i="65"/>
  <c r="J32" i="65"/>
  <c r="K26" i="65"/>
  <c r="J26" i="65"/>
  <c r="K24" i="65"/>
  <c r="J70" i="65"/>
  <c r="J71" i="65"/>
  <c r="L267" i="65"/>
  <c r="K283" i="65"/>
  <c r="J283" i="65"/>
  <c r="M352" i="65"/>
  <c r="L369" i="65"/>
  <c r="K398" i="65"/>
  <c r="J398" i="65"/>
  <c r="K105" i="65"/>
  <c r="L91" i="65"/>
  <c r="N91" i="65" s="1"/>
  <c r="K354" i="65"/>
  <c r="J354" i="65"/>
  <c r="J225" i="65"/>
  <c r="K225" i="65"/>
  <c r="L294" i="65"/>
  <c r="K295" i="65"/>
  <c r="K297" i="65"/>
  <c r="M341" i="65"/>
  <c r="K353" i="65"/>
  <c r="J17" i="65"/>
  <c r="K44" i="65"/>
  <c r="L48" i="65"/>
  <c r="J43" i="65"/>
  <c r="K79" i="65"/>
  <c r="J79" i="65"/>
  <c r="J86" i="65"/>
  <c r="K49" i="65"/>
  <c r="K85" i="65"/>
  <c r="J85" i="65"/>
  <c r="M66" i="65"/>
  <c r="K390" i="65"/>
  <c r="J390" i="65"/>
  <c r="K135" i="65"/>
  <c r="J135" i="65"/>
  <c r="K317" i="65"/>
  <c r="J317" i="65"/>
  <c r="K93" i="65"/>
  <c r="K96" i="65"/>
  <c r="J96" i="65"/>
  <c r="K41" i="65"/>
  <c r="J41" i="65"/>
  <c r="K75" i="65"/>
  <c r="J75" i="65"/>
  <c r="K35" i="65"/>
  <c r="J35" i="65"/>
  <c r="M174" i="65"/>
  <c r="L174" i="65"/>
  <c r="K228" i="65"/>
  <c r="J228" i="65"/>
  <c r="J297" i="65"/>
  <c r="J347" i="65"/>
  <c r="J397" i="65"/>
  <c r="J23" i="65"/>
  <c r="J44" i="65"/>
  <c r="J105" i="65"/>
  <c r="J65" i="65"/>
  <c r="L86" i="65"/>
  <c r="M52" i="65"/>
  <c r="K89" i="65"/>
  <c r="M69" i="65"/>
  <c r="K117" i="65"/>
  <c r="L100" i="65"/>
  <c r="K87" i="65"/>
  <c r="K39" i="65"/>
  <c r="K98" i="65"/>
  <c r="L58" i="65"/>
  <c r="K134" i="65"/>
  <c r="K143" i="65"/>
  <c r="J46" i="65"/>
  <c r="J84" i="65"/>
  <c r="J36" i="65"/>
  <c r="K68" i="65"/>
  <c r="J68" i="65"/>
  <c r="K72" i="65"/>
  <c r="J72" i="65"/>
  <c r="L62" i="65"/>
  <c r="L107" i="65"/>
  <c r="L103" i="65"/>
  <c r="L54" i="65"/>
  <c r="M165" i="65"/>
  <c r="K186" i="65"/>
  <c r="J186" i="65"/>
  <c r="J219" i="65"/>
  <c r="K219" i="65"/>
  <c r="L416" i="65"/>
  <c r="M416" i="65"/>
  <c r="K214" i="65"/>
  <c r="J214" i="65"/>
  <c r="K76" i="65"/>
  <c r="J76" i="65"/>
  <c r="K61" i="65"/>
  <c r="K57" i="65"/>
  <c r="K73" i="65"/>
  <c r="K380" i="65"/>
  <c r="J380" i="65"/>
  <c r="L38" i="65"/>
  <c r="K175" i="65"/>
  <c r="J175" i="65"/>
  <c r="K260" i="65"/>
  <c r="J260" i="65"/>
  <c r="K257" i="65"/>
  <c r="J257" i="65"/>
  <c r="K325" i="65"/>
  <c r="J325" i="65"/>
  <c r="J56" i="65"/>
  <c r="J59" i="65"/>
  <c r="J108" i="65"/>
  <c r="J87" i="65"/>
  <c r="J104" i="65"/>
  <c r="J81" i="65"/>
  <c r="J134" i="65"/>
  <c r="J143" i="65"/>
  <c r="L203" i="65"/>
  <c r="L221" i="65"/>
  <c r="L223" i="65"/>
  <c r="K261" i="65"/>
  <c r="K253" i="65"/>
  <c r="K247" i="65"/>
  <c r="J247" i="65"/>
  <c r="K312" i="65"/>
  <c r="J312" i="65"/>
  <c r="J113" i="65"/>
  <c r="J78" i="65"/>
  <c r="J110" i="65"/>
  <c r="J82" i="65"/>
  <c r="J74" i="65"/>
  <c r="K187" i="65"/>
  <c r="L215" i="65"/>
  <c r="L251" i="65"/>
  <c r="M244" i="65"/>
  <c r="K337" i="65"/>
  <c r="J337" i="65"/>
  <c r="J111" i="65"/>
  <c r="J88" i="65"/>
  <c r="J116" i="65"/>
  <c r="J101" i="65"/>
  <c r="J109" i="65"/>
  <c r="L134" i="65"/>
  <c r="L143" i="65"/>
  <c r="M274" i="65"/>
  <c r="L386" i="65"/>
  <c r="M386" i="65"/>
  <c r="K262" i="65"/>
  <c r="J248" i="65"/>
  <c r="K252" i="65"/>
  <c r="K256" i="65"/>
  <c r="L243" i="65"/>
  <c r="J192" i="65"/>
  <c r="K192" i="65"/>
  <c r="K239" i="65"/>
  <c r="M409" i="65"/>
  <c r="L409" i="65"/>
  <c r="J375" i="65"/>
  <c r="K375" i="65"/>
  <c r="J278" i="65"/>
  <c r="K306" i="65"/>
  <c r="J306" i="65"/>
  <c r="L255" i="65"/>
  <c r="L187" i="65"/>
  <c r="J197" i="65"/>
  <c r="L201" i="65"/>
  <c r="J205" i="65"/>
  <c r="L226" i="65"/>
  <c r="L224" i="65"/>
  <c r="L262" i="65"/>
  <c r="L252" i="65"/>
  <c r="J256" i="65"/>
  <c r="K232" i="65"/>
  <c r="J232" i="65"/>
  <c r="J238" i="65"/>
  <c r="K270" i="65"/>
  <c r="J270" i="65"/>
  <c r="K280" i="65"/>
  <c r="J280" i="65"/>
  <c r="L300" i="65"/>
  <c r="K258" i="65"/>
  <c r="L309" i="65"/>
  <c r="J324" i="65"/>
  <c r="K326" i="65"/>
  <c r="K335" i="65"/>
  <c r="J335" i="65"/>
  <c r="J402" i="65"/>
  <c r="K402" i="65"/>
  <c r="K362" i="65"/>
  <c r="J362" i="65"/>
  <c r="J227" i="65"/>
  <c r="J213" i="65"/>
  <c r="J254" i="65"/>
  <c r="L249" i="65"/>
  <c r="L273" i="65"/>
  <c r="L408" i="65"/>
  <c r="M408" i="65"/>
  <c r="M414" i="65"/>
  <c r="L179" i="65"/>
  <c r="M179" i="65"/>
  <c r="J173" i="65"/>
  <c r="J202" i="65"/>
  <c r="J212" i="65"/>
  <c r="J220" i="65"/>
  <c r="J218" i="65"/>
  <c r="J242" i="65"/>
  <c r="K240" i="65"/>
  <c r="J240" i="65"/>
  <c r="L246" i="65"/>
  <c r="K275" i="65"/>
  <c r="J310" i="65"/>
  <c r="J318" i="65"/>
  <c r="K377" i="65"/>
  <c r="J377" i="65"/>
  <c r="M417" i="65"/>
  <c r="L417" i="65"/>
  <c r="L145" i="65"/>
  <c r="M145" i="65"/>
  <c r="J333" i="65"/>
  <c r="K333" i="65"/>
  <c r="L238" i="65"/>
  <c r="M320" i="65"/>
  <c r="L328" i="65"/>
  <c r="K293" i="65"/>
  <c r="J293" i="65"/>
  <c r="K405" i="65"/>
  <c r="J405" i="65"/>
  <c r="K418" i="65"/>
  <c r="K394" i="65"/>
  <c r="J394" i="65"/>
  <c r="J393" i="65"/>
  <c r="K413" i="65"/>
  <c r="J413" i="65"/>
  <c r="K31" i="65"/>
  <c r="J31" i="65"/>
  <c r="K159" i="65"/>
  <c r="J159" i="65"/>
  <c r="L304" i="65"/>
  <c r="L334" i="65"/>
  <c r="K392" i="65"/>
  <c r="J392" i="65"/>
  <c r="L400" i="65"/>
  <c r="L403" i="65"/>
  <c r="K128" i="65"/>
  <c r="J128" i="65"/>
  <c r="K166" i="65"/>
  <c r="L185" i="65"/>
  <c r="K189" i="65"/>
  <c r="J189" i="65"/>
  <c r="J241" i="65"/>
  <c r="J271" i="65"/>
  <c r="J326" i="65"/>
  <c r="M365" i="65"/>
  <c r="K382" i="65"/>
  <c r="J382" i="65"/>
  <c r="L285" i="65"/>
  <c r="K157" i="65"/>
  <c r="J412" i="65"/>
  <c r="J420" i="65"/>
  <c r="L146" i="65"/>
  <c r="K313" i="65"/>
  <c r="L316" i="65"/>
  <c r="L373" i="65"/>
  <c r="K150" i="65"/>
  <c r="N150" i="65" s="1"/>
  <c r="J272" i="65"/>
  <c r="J319" i="65"/>
  <c r="J327" i="65"/>
  <c r="K359" i="65"/>
  <c r="J359" i="65"/>
  <c r="L385" i="65"/>
  <c r="L388" i="65"/>
  <c r="J153" i="65"/>
  <c r="K368" i="65"/>
  <c r="L148" i="65"/>
  <c r="J336" i="65"/>
  <c r="K367" i="65"/>
  <c r="J292" i="65"/>
  <c r="J406" i="65"/>
  <c r="J311" i="65"/>
  <c r="K396" i="65"/>
  <c r="L378" i="65"/>
  <c r="L158" i="65"/>
  <c r="J166" i="65"/>
  <c r="J313" i="65"/>
  <c r="J368" i="65"/>
  <c r="J396" i="65"/>
  <c r="J190" i="65"/>
  <c r="J314" i="65"/>
  <c r="J371" i="65"/>
  <c r="J21" i="65"/>
  <c r="J287" i="65"/>
  <c r="L359" i="65"/>
  <c r="L31" i="65"/>
  <c r="L166" i="65"/>
  <c r="L313" i="65"/>
  <c r="L368" i="65"/>
  <c r="L396" i="65"/>
  <c r="L190" i="65"/>
  <c r="N25" i="65" l="1"/>
  <c r="N125" i="65"/>
  <c r="N378" i="65"/>
  <c r="N19" i="65"/>
  <c r="N389" i="65"/>
  <c r="N82" i="65"/>
  <c r="N117" i="65"/>
  <c r="N146" i="65"/>
  <c r="N29" i="65"/>
  <c r="N219" i="65"/>
  <c r="N370" i="65"/>
  <c r="N255" i="65"/>
  <c r="N259" i="65"/>
  <c r="N375" i="65"/>
  <c r="N348" i="65"/>
  <c r="N172" i="65"/>
  <c r="N104" i="65"/>
  <c r="N355" i="65"/>
  <c r="N265" i="65"/>
  <c r="N46" i="65"/>
  <c r="N269" i="65"/>
  <c r="N323" i="65"/>
  <c r="N246" i="65"/>
  <c r="N335" i="65"/>
  <c r="N178" i="65"/>
  <c r="N413" i="65"/>
  <c r="N180" i="65"/>
  <c r="N72" i="65"/>
  <c r="N399" i="65"/>
  <c r="N148" i="65"/>
  <c r="N421" i="65"/>
  <c r="N195" i="65"/>
  <c r="N13" i="65"/>
  <c r="N233" i="65"/>
  <c r="N52" i="65"/>
  <c r="N194" i="65"/>
  <c r="N404" i="65"/>
  <c r="N397" i="65"/>
  <c r="N184" i="65"/>
  <c r="N88" i="65"/>
  <c r="N364" i="65"/>
  <c r="N271" i="65"/>
  <c r="N132" i="65"/>
  <c r="N312" i="65"/>
  <c r="N71" i="65"/>
  <c r="N188" i="65"/>
  <c r="N186" i="65"/>
  <c r="N325" i="65"/>
  <c r="N61" i="65"/>
  <c r="N224" i="65"/>
  <c r="N96" i="65"/>
  <c r="N145" i="65"/>
  <c r="N139" i="65"/>
  <c r="N90" i="65"/>
  <c r="N266" i="65"/>
  <c r="N114" i="65"/>
  <c r="N124" i="65"/>
  <c r="N220" i="65"/>
  <c r="N115" i="65"/>
  <c r="N193" i="65"/>
  <c r="N30" i="65"/>
  <c r="N260" i="65"/>
  <c r="N283" i="65"/>
  <c r="N289" i="65"/>
  <c r="N216" i="65"/>
  <c r="N362" i="65"/>
  <c r="N58" i="65"/>
  <c r="N419" i="65"/>
  <c r="N372" i="65"/>
  <c r="N159" i="65"/>
  <c r="N215" i="65"/>
  <c r="N89" i="65"/>
  <c r="N357" i="65"/>
  <c r="N137" i="65"/>
  <c r="N402" i="65"/>
  <c r="N245" i="65"/>
  <c r="N288" i="65"/>
  <c r="N11" i="65"/>
  <c r="N130" i="65"/>
  <c r="N160" i="65"/>
  <c r="N217" i="65"/>
  <c r="N383" i="65"/>
  <c r="N214" i="65"/>
  <c r="N277" i="65"/>
  <c r="N292" i="65"/>
  <c r="N101" i="65"/>
  <c r="N351" i="65"/>
  <c r="N116" i="65"/>
  <c r="N342" i="65"/>
  <c r="N326" i="65"/>
  <c r="N170" i="65"/>
  <c r="N282" i="65"/>
  <c r="N279" i="65"/>
  <c r="N62" i="65"/>
  <c r="N206" i="65"/>
  <c r="N12" i="65"/>
  <c r="N391" i="65"/>
  <c r="N40" i="65"/>
  <c r="N315" i="65"/>
  <c r="N420" i="65"/>
  <c r="N250" i="65"/>
  <c r="N303" i="65"/>
  <c r="N358" i="65"/>
  <c r="N401" i="65"/>
  <c r="N319" i="65"/>
  <c r="N110" i="65"/>
  <c r="N36" i="65"/>
  <c r="N196" i="65"/>
  <c r="N376" i="65"/>
  <c r="N94" i="65"/>
  <c r="N314" i="65"/>
  <c r="N410" i="65"/>
  <c r="N32" i="65"/>
  <c r="N407" i="65"/>
  <c r="N76" i="65"/>
  <c r="N356" i="65"/>
  <c r="N185" i="65"/>
  <c r="N382" i="65"/>
  <c r="N44" i="65"/>
  <c r="N318" i="65"/>
  <c r="N366" i="65"/>
  <c r="N151" i="65"/>
  <c r="N18" i="65"/>
  <c r="N17" i="65"/>
  <c r="N361" i="65"/>
  <c r="N112" i="65"/>
  <c r="N380" i="65"/>
  <c r="N212" i="65"/>
  <c r="N411" i="65"/>
  <c r="N80" i="65"/>
  <c r="N163" i="65"/>
  <c r="N354" i="65"/>
  <c r="N236" i="65"/>
  <c r="N226" i="65"/>
  <c r="N253" i="65"/>
  <c r="N120" i="65"/>
  <c r="N149" i="65"/>
  <c r="N197" i="65"/>
  <c r="N37" i="65"/>
  <c r="N131" i="65"/>
  <c r="N394" i="65"/>
  <c r="N256" i="65"/>
  <c r="N165" i="65"/>
  <c r="N68" i="65"/>
  <c r="N98" i="65"/>
  <c r="N349" i="65"/>
  <c r="N122" i="65"/>
  <c r="N331" i="65"/>
  <c r="N310" i="65"/>
  <c r="N249" i="65"/>
  <c r="N218" i="65"/>
  <c r="N264" i="65"/>
  <c r="N418" i="65"/>
  <c r="N244" i="65"/>
  <c r="N241" i="65"/>
  <c r="N199" i="65"/>
  <c r="N78" i="65"/>
  <c r="N23" i="65"/>
  <c r="N344" i="65"/>
  <c r="N59" i="65"/>
  <c r="N248" i="65"/>
  <c r="N334" i="65"/>
  <c r="N306" i="65"/>
  <c r="N353" i="65"/>
  <c r="N126" i="65"/>
  <c r="N403" i="65"/>
  <c r="N73" i="65"/>
  <c r="N54" i="65"/>
  <c r="N400" i="65"/>
  <c r="N103" i="65"/>
  <c r="N87" i="65"/>
  <c r="N50" i="65"/>
  <c r="N235" i="65"/>
  <c r="N144" i="65"/>
  <c r="N99" i="65"/>
  <c r="N181" i="65"/>
  <c r="N51" i="65"/>
  <c r="N225" i="65"/>
  <c r="N387" i="65"/>
  <c r="N281" i="65"/>
  <c r="N322" i="65"/>
  <c r="N298" i="65"/>
  <c r="N34" i="65"/>
  <c r="N147" i="65"/>
  <c r="N49" i="65"/>
  <c r="N140" i="65"/>
  <c r="N363" i="65"/>
  <c r="N284" i="65"/>
  <c r="N14" i="65"/>
  <c r="N173" i="65"/>
  <c r="N297" i="65"/>
  <c r="N333" i="65"/>
  <c r="N66" i="65"/>
  <c r="N48" i="65"/>
  <c r="N369" i="65"/>
  <c r="N64" i="65"/>
  <c r="N77" i="65"/>
  <c r="N329" i="65"/>
  <c r="N381" i="65"/>
  <c r="N153" i="65"/>
  <c r="N207" i="65"/>
  <c r="N56" i="65"/>
  <c r="N379" i="65"/>
  <c r="N118" i="65"/>
  <c r="N415" i="65"/>
  <c r="N171" i="65"/>
  <c r="N84" i="65"/>
  <c r="N346" i="65"/>
  <c r="N330" i="65"/>
  <c r="N176" i="65"/>
  <c r="N278" i="65"/>
  <c r="N338" i="65"/>
  <c r="N237" i="65"/>
  <c r="N276" i="65"/>
  <c r="N350" i="65"/>
  <c r="N45" i="65"/>
  <c r="N412" i="65"/>
  <c r="N257" i="65"/>
  <c r="N79" i="65"/>
  <c r="N295" i="65"/>
  <c r="N63" i="65"/>
  <c r="N307" i="65"/>
  <c r="N33" i="65"/>
  <c r="N227" i="65"/>
  <c r="N395" i="65"/>
  <c r="N208" i="65"/>
  <c r="N239" i="65"/>
  <c r="N393" i="65"/>
  <c r="N200" i="65"/>
  <c r="N38" i="65"/>
  <c r="N267" i="65"/>
  <c r="N123" i="65"/>
  <c r="N275" i="65"/>
  <c r="N273" i="65"/>
  <c r="N309" i="65"/>
  <c r="N294" i="65"/>
  <c r="N65" i="65"/>
  <c r="N339" i="65"/>
  <c r="N55" i="65"/>
  <c r="N286" i="65"/>
  <c r="N406" i="65"/>
  <c r="N301" i="65"/>
  <c r="N109" i="65"/>
  <c r="N21" i="65"/>
  <c r="N111" i="65"/>
  <c r="N133" i="65"/>
  <c r="N230" i="65"/>
  <c r="N136" i="65"/>
  <c r="N70" i="65"/>
  <c r="N161" i="65"/>
  <c r="N324" i="65"/>
  <c r="N190" i="65"/>
  <c r="N373" i="65"/>
  <c r="N223" i="65"/>
  <c r="N93" i="65"/>
  <c r="N24" i="65"/>
  <c r="N343" i="65"/>
  <c r="N211" i="65"/>
  <c r="N336" i="65"/>
  <c r="N127" i="65"/>
  <c r="N377" i="65"/>
  <c r="N168" i="65"/>
  <c r="N327" i="65"/>
  <c r="N222" i="65"/>
  <c r="N113" i="65"/>
  <c r="N157" i="65"/>
  <c r="N320" i="65"/>
  <c r="N187" i="65"/>
  <c r="N251" i="65"/>
  <c r="N221" i="65"/>
  <c r="N69" i="65"/>
  <c r="N155" i="65"/>
  <c r="N10" i="65"/>
  <c r="N321" i="65"/>
  <c r="N308" i="65"/>
  <c r="N261" i="65"/>
  <c r="N20" i="65"/>
  <c r="N135" i="65"/>
  <c r="N311" i="65"/>
  <c r="N270" i="65"/>
  <c r="N316" i="65"/>
  <c r="N317" i="65"/>
  <c r="N85" i="65"/>
  <c r="N152" i="65"/>
  <c r="N229" i="65"/>
  <c r="N228" i="65"/>
  <c r="N305" i="65"/>
  <c r="N210" i="65"/>
  <c r="N42" i="65"/>
  <c r="N95" i="65"/>
  <c r="N43" i="65"/>
  <c r="N204" i="65"/>
  <c r="N35" i="65"/>
  <c r="N258" i="65"/>
  <c r="N201" i="65"/>
  <c r="N352" i="65"/>
  <c r="N290" i="65"/>
  <c r="N231" i="65"/>
  <c r="N371" i="65"/>
  <c r="N280" i="65"/>
  <c r="N102" i="65"/>
  <c r="N384" i="65"/>
  <c r="N92" i="65"/>
  <c r="N202" i="65"/>
  <c r="N291" i="65"/>
  <c r="N179" i="65"/>
  <c r="N203" i="65"/>
  <c r="N166" i="65"/>
  <c r="N405" i="65"/>
  <c r="N238" i="65"/>
  <c r="N240" i="65"/>
  <c r="N232" i="65"/>
  <c r="N75" i="65"/>
  <c r="N167" i="65"/>
  <c r="N27" i="65"/>
  <c r="N254" i="65"/>
  <c r="N22" i="65"/>
  <c r="N141" i="65"/>
  <c r="N47" i="65"/>
  <c r="N28" i="65"/>
  <c r="N414" i="65"/>
  <c r="N300" i="65"/>
  <c r="N274" i="65"/>
  <c r="N26" i="65"/>
  <c r="N169" i="65"/>
  <c r="N74" i="65"/>
  <c r="N374" i="65"/>
  <c r="N242" i="65"/>
  <c r="N198" i="65"/>
  <c r="N304" i="65"/>
  <c r="N345" i="65"/>
  <c r="N108" i="65"/>
  <c r="N243" i="65"/>
  <c r="N408" i="65"/>
  <c r="N252" i="65"/>
  <c r="N107" i="65"/>
  <c r="N41" i="65"/>
  <c r="N15" i="65"/>
  <c r="N121" i="65"/>
  <c r="N143" i="65"/>
  <c r="N332" i="65"/>
  <c r="N154" i="65"/>
  <c r="N106" i="65"/>
  <c r="N268" i="65"/>
  <c r="N67" i="65"/>
  <c r="N156" i="65"/>
  <c r="N388" i="65"/>
  <c r="N262" i="65"/>
  <c r="N337" i="65"/>
  <c r="N367" i="65"/>
  <c r="N385" i="65"/>
  <c r="N328" i="65"/>
  <c r="N100" i="65"/>
  <c r="N174" i="65"/>
  <c r="N390" i="65"/>
  <c r="N205" i="65"/>
  <c r="N53" i="65"/>
  <c r="N138" i="65"/>
  <c r="N177" i="65"/>
  <c r="N213" i="65"/>
  <c r="N182" i="65"/>
  <c r="N285" i="65"/>
  <c r="N128" i="65"/>
  <c r="N299" i="65"/>
  <c r="N119" i="65"/>
  <c r="N340" i="65"/>
  <c r="N359" i="65"/>
  <c r="N189" i="65"/>
  <c r="N39" i="65"/>
  <c r="N263" i="65"/>
  <c r="N234" i="65"/>
  <c r="N142" i="65"/>
  <c r="N129" i="65"/>
  <c r="N293" i="65"/>
  <c r="N247" i="65"/>
  <c r="N86" i="65"/>
  <c r="N183" i="65"/>
  <c r="N162" i="65"/>
  <c r="N365" i="65"/>
  <c r="N57" i="65"/>
  <c r="N341" i="65"/>
  <c r="N83" i="65"/>
  <c r="N360" i="65"/>
  <c r="N272" i="65"/>
  <c r="N313" i="65"/>
  <c r="N158" i="65"/>
  <c r="N396" i="65"/>
  <c r="N392" i="65"/>
  <c r="N192" i="65"/>
  <c r="N134" i="65"/>
  <c r="N175" i="65"/>
  <c r="N398" i="65"/>
  <c r="N209" i="65"/>
  <c r="N164" i="65"/>
  <c r="N287" i="65"/>
  <c r="N302" i="65"/>
  <c r="N60" i="65"/>
  <c r="N97" i="65"/>
  <c r="N368" i="65"/>
  <c r="N386" i="65"/>
  <c r="N416" i="65"/>
  <c r="N296" i="65"/>
  <c r="N191" i="65"/>
  <c r="N81" i="65"/>
  <c r="N105" i="65"/>
  <c r="N16" i="65"/>
  <c r="N347" i="65"/>
  <c r="N31" i="65"/>
  <c r="N417" i="65"/>
  <c r="N409" i="65"/>
  <c r="F13" i="62" l="1"/>
  <c r="F26" i="62"/>
  <c r="F25" i="62"/>
  <c r="F23" i="62"/>
  <c r="F22" i="62"/>
  <c r="F21" i="62"/>
  <c r="F45" i="62"/>
  <c r="F45" i="63"/>
  <c r="F13" i="63"/>
  <c r="O9" i="16" l="1"/>
  <c r="L9" i="65"/>
  <c r="K9" i="65" l="1"/>
  <c r="N9" i="65" s="1"/>
  <c r="R21" i="61" l="1"/>
  <c r="R13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R18" i="61" l="1"/>
  <c r="R26" i="61"/>
  <c r="R28" i="61"/>
  <c r="R14" i="61"/>
  <c r="R22" i="61"/>
  <c r="R20" i="61"/>
  <c r="R15" i="61"/>
  <c r="R27" i="61"/>
  <c r="R12" i="61"/>
  <c r="R17" i="61"/>
  <c r="R25" i="61"/>
  <c r="R19" i="61"/>
  <c r="R23" i="61"/>
  <c r="R16" i="61"/>
  <c r="R24" i="61"/>
  <c r="E14" i="5"/>
  <c r="E13" i="5"/>
  <c r="E12" i="5"/>
  <c r="E11" i="5"/>
  <c r="E374" i="10" l="1"/>
  <c r="D12" i="4"/>
  <c r="C13" i="4" s="1"/>
  <c r="D13" i="4" s="1"/>
  <c r="C14" i="4" l="1"/>
  <c r="D14" i="4" s="1"/>
  <c r="G13" i="4"/>
  <c r="G12" i="4"/>
  <c r="A4" i="9"/>
  <c r="S30" i="61"/>
  <c r="C15" i="4" l="1"/>
  <c r="D15" i="4" s="1"/>
  <c r="G14" i="4"/>
  <c r="T21" i="61"/>
  <c r="U21" i="61" s="1"/>
  <c r="T14" i="61"/>
  <c r="U14" i="61" s="1"/>
  <c r="T23" i="61"/>
  <c r="U23" i="61" s="1"/>
  <c r="T16" i="61"/>
  <c r="U16" i="61" s="1"/>
  <c r="T17" i="61"/>
  <c r="U17" i="61" s="1"/>
  <c r="T24" i="61"/>
  <c r="U24" i="61" s="1"/>
  <c r="T25" i="61"/>
  <c r="U25" i="61" s="1"/>
  <c r="T20" i="61"/>
  <c r="U20" i="61" s="1"/>
  <c r="T26" i="61"/>
  <c r="U26" i="61" s="1"/>
  <c r="T22" i="61"/>
  <c r="U22" i="61" s="1"/>
  <c r="T19" i="61"/>
  <c r="U19" i="61" s="1"/>
  <c r="T15" i="61"/>
  <c r="U15" i="61" s="1"/>
  <c r="T18" i="61"/>
  <c r="U18" i="61" s="1"/>
  <c r="T13" i="61"/>
  <c r="U13" i="61" s="1"/>
  <c r="T27" i="61"/>
  <c r="U27" i="61" s="1"/>
  <c r="T28" i="61"/>
  <c r="U28" i="61" s="1"/>
  <c r="F24" i="62"/>
  <c r="F24" i="63"/>
  <c r="C16" i="4" l="1"/>
  <c r="D16" i="4" s="1"/>
  <c r="G15" i="4"/>
  <c r="C17" i="4" l="1"/>
  <c r="D17" i="4" s="1"/>
  <c r="G16" i="4"/>
  <c r="C18" i="4" l="1"/>
  <c r="D18" i="4" s="1"/>
  <c r="G17" i="4"/>
  <c r="A3" i="47"/>
  <c r="C19" i="4" l="1"/>
  <c r="D19" i="4" s="1"/>
  <c r="G18" i="4"/>
  <c r="I23" i="47"/>
  <c r="M23" i="47"/>
  <c r="C23" i="47"/>
  <c r="E23" i="47"/>
  <c r="H23" i="47"/>
  <c r="J23" i="47"/>
  <c r="L23" i="47"/>
  <c r="D23" i="47"/>
  <c r="G23" i="47"/>
  <c r="N23" i="47"/>
  <c r="F23" i="47"/>
  <c r="K23" i="47"/>
  <c r="G14" i="47"/>
  <c r="G16" i="47" s="1"/>
  <c r="J14" i="47"/>
  <c r="J16" i="47" s="1"/>
  <c r="H14" i="47"/>
  <c r="H16" i="47" s="1"/>
  <c r="K14" i="47"/>
  <c r="K16" i="47" s="1"/>
  <c r="E14" i="47"/>
  <c r="E16" i="47" s="1"/>
  <c r="M14" i="47"/>
  <c r="M16" i="47" s="1"/>
  <c r="N14" i="47"/>
  <c r="N16" i="47" s="1"/>
  <c r="F14" i="47"/>
  <c r="F16" i="47" s="1"/>
  <c r="I14" i="47"/>
  <c r="I16" i="47" s="1"/>
  <c r="L14" i="47"/>
  <c r="L16" i="47" s="1"/>
  <c r="D14" i="47"/>
  <c r="D16" i="47" s="1"/>
  <c r="C14" i="47"/>
  <c r="C16" i="47" s="1"/>
  <c r="M25" i="47" l="1"/>
  <c r="C20" i="4"/>
  <c r="D20" i="4" s="1"/>
  <c r="G19" i="4"/>
  <c r="J25" i="47"/>
  <c r="I25" i="47"/>
  <c r="N25" i="47"/>
  <c r="H25" i="47"/>
  <c r="D25" i="47"/>
  <c r="E25" i="47"/>
  <c r="C25" i="47"/>
  <c r="G25" i="47"/>
  <c r="F25" i="47"/>
  <c r="K25" i="47"/>
  <c r="L25" i="47"/>
  <c r="C21" i="4" l="1"/>
  <c r="D21" i="4" s="1"/>
  <c r="G20" i="4"/>
  <c r="C22" i="4" l="1"/>
  <c r="D22" i="4" s="1"/>
  <c r="G21" i="4"/>
  <c r="C23" i="4" l="1"/>
  <c r="D23" i="4" s="1"/>
  <c r="G22" i="4"/>
  <c r="C24" i="4" l="1"/>
  <c r="D24" i="4" s="1"/>
  <c r="G23" i="4"/>
  <c r="O15" i="47"/>
  <c r="A4" i="61"/>
  <c r="A3" i="60"/>
  <c r="A3" i="5"/>
  <c r="A4" i="6"/>
  <c r="A3" i="65"/>
  <c r="A4" i="15"/>
  <c r="A3" i="4"/>
  <c r="A3" i="16"/>
  <c r="B3" i="10"/>
  <c r="C25" i="4" l="1"/>
  <c r="D25" i="4" s="1"/>
  <c r="G24" i="4"/>
  <c r="O22" i="47"/>
  <c r="J22" i="62"/>
  <c r="J22" i="63"/>
  <c r="C26" i="4" l="1"/>
  <c r="D26" i="4" s="1"/>
  <c r="G25" i="4"/>
  <c r="D18" i="6"/>
  <c r="D15" i="6"/>
  <c r="E27" i="6"/>
  <c r="J29" i="62" s="1"/>
  <c r="C27" i="4" l="1"/>
  <c r="D27" i="4" s="1"/>
  <c r="G26" i="4"/>
  <c r="J29" i="63"/>
  <c r="J47" i="62"/>
  <c r="C28" i="4" l="1"/>
  <c r="D28" i="4" s="1"/>
  <c r="G27" i="4"/>
  <c r="A4" i="62"/>
  <c r="A4" i="63"/>
  <c r="C29" i="4" l="1"/>
  <c r="D29" i="4" s="1"/>
  <c r="G28" i="4"/>
  <c r="E27" i="4"/>
  <c r="F27" i="4" s="1"/>
  <c r="E28" i="4"/>
  <c r="F28" i="4" s="1"/>
  <c r="E29" i="4"/>
  <c r="F29" i="4" s="1"/>
  <c r="E13" i="4"/>
  <c r="F13" i="4" s="1"/>
  <c r="E15" i="4"/>
  <c r="F15" i="4" s="1"/>
  <c r="C30" i="4" l="1"/>
  <c r="D30" i="4" s="1"/>
  <c r="G29" i="4"/>
  <c r="E14" i="4"/>
  <c r="F14" i="4" s="1"/>
  <c r="E25" i="4"/>
  <c r="F25" i="4" s="1"/>
  <c r="E21" i="4"/>
  <c r="F21" i="4" s="1"/>
  <c r="E18" i="4"/>
  <c r="F18" i="4" s="1"/>
  <c r="E30" i="4"/>
  <c r="F30" i="4" s="1"/>
  <c r="E20" i="4"/>
  <c r="F20" i="4" s="1"/>
  <c r="E22" i="4"/>
  <c r="F22" i="4" s="1"/>
  <c r="E17" i="4"/>
  <c r="F17" i="4" s="1"/>
  <c r="E16" i="4"/>
  <c r="F16" i="4" s="1"/>
  <c r="E24" i="4"/>
  <c r="F24" i="4" s="1"/>
  <c r="E19" i="4"/>
  <c r="F19" i="4" s="1"/>
  <c r="E23" i="4"/>
  <c r="F23" i="4" s="1"/>
  <c r="G69" i="16"/>
  <c r="E87" i="16"/>
  <c r="E101" i="16"/>
  <c r="C31" i="4" l="1"/>
  <c r="D31" i="4" s="1"/>
  <c r="G30" i="4"/>
  <c r="E77" i="16"/>
  <c r="I64" i="16"/>
  <c r="I62" i="16"/>
  <c r="G60" i="16"/>
  <c r="E116" i="16"/>
  <c r="E114" i="16"/>
  <c r="E112" i="16"/>
  <c r="E108" i="16"/>
  <c r="E106" i="16"/>
  <c r="E104" i="16"/>
  <c r="E60" i="16"/>
  <c r="E42" i="16"/>
  <c r="E22" i="16"/>
  <c r="E20" i="16"/>
  <c r="E14" i="16"/>
  <c r="E12" i="16"/>
  <c r="E10" i="16"/>
  <c r="G78" i="16"/>
  <c r="E66" i="16"/>
  <c r="E64" i="16"/>
  <c r="I63" i="16"/>
  <c r="E62" i="16"/>
  <c r="G58" i="16"/>
  <c r="E85" i="16"/>
  <c r="G51" i="16"/>
  <c r="G49" i="16"/>
  <c r="E117" i="16"/>
  <c r="E115" i="16"/>
  <c r="E111" i="16"/>
  <c r="G82" i="16"/>
  <c r="G80" i="16"/>
  <c r="I56" i="16"/>
  <c r="E55" i="16"/>
  <c r="E53" i="16"/>
  <c r="I52" i="16"/>
  <c r="I46" i="16"/>
  <c r="I38" i="16"/>
  <c r="E103" i="16"/>
  <c r="I102" i="16"/>
  <c r="G99" i="16"/>
  <c r="E75" i="16"/>
  <c r="E73" i="16"/>
  <c r="E71" i="16"/>
  <c r="I70" i="16"/>
  <c r="E69" i="16"/>
  <c r="I42" i="16"/>
  <c r="I40" i="16"/>
  <c r="E39" i="16"/>
  <c r="G37" i="16"/>
  <c r="G29" i="16"/>
  <c r="E28" i="16"/>
  <c r="G25" i="16"/>
  <c r="I100" i="16"/>
  <c r="E97" i="16"/>
  <c r="I96" i="16"/>
  <c r="E93" i="16"/>
  <c r="I92" i="16"/>
  <c r="E89" i="16"/>
  <c r="I88" i="16"/>
  <c r="G85" i="16"/>
  <c r="G70" i="16"/>
  <c r="I58" i="16"/>
  <c r="E50" i="16"/>
  <c r="I49" i="16"/>
  <c r="E46" i="16"/>
  <c r="E44" i="16"/>
  <c r="I36" i="16"/>
  <c r="I34" i="16"/>
  <c r="I28" i="16"/>
  <c r="I26" i="16"/>
  <c r="I24" i="16"/>
  <c r="I22" i="16"/>
  <c r="I20" i="16"/>
  <c r="I18" i="16"/>
  <c r="I16" i="16"/>
  <c r="E15" i="16"/>
  <c r="I12" i="16"/>
  <c r="I10" i="16"/>
  <c r="E18" i="16"/>
  <c r="G117" i="16"/>
  <c r="G115" i="16"/>
  <c r="E95" i="16"/>
  <c r="I86" i="16"/>
  <c r="G74" i="16"/>
  <c r="G72" i="16"/>
  <c r="G65" i="16"/>
  <c r="G63" i="16"/>
  <c r="G61" i="16"/>
  <c r="E58" i="16"/>
  <c r="I48" i="16"/>
  <c r="E47" i="16"/>
  <c r="G45" i="16"/>
  <c r="G43" i="16"/>
  <c r="E11" i="16"/>
  <c r="I118" i="16"/>
  <c r="E113" i="16"/>
  <c r="I112" i="16"/>
  <c r="E109" i="16"/>
  <c r="I108" i="16"/>
  <c r="E105" i="16"/>
  <c r="I104" i="16"/>
  <c r="G101" i="16"/>
  <c r="E100" i="16"/>
  <c r="E98" i="16"/>
  <c r="E96" i="16"/>
  <c r="E92" i="16"/>
  <c r="E90" i="16"/>
  <c r="E88" i="16"/>
  <c r="E83" i="16"/>
  <c r="E81" i="16"/>
  <c r="E79" i="16"/>
  <c r="I78" i="16"/>
  <c r="G77" i="16"/>
  <c r="E67" i="16"/>
  <c r="E54" i="16"/>
  <c r="E52" i="16"/>
  <c r="G50" i="16"/>
  <c r="I44" i="16"/>
  <c r="E43" i="16"/>
  <c r="E36" i="16"/>
  <c r="E34" i="16"/>
  <c r="E32" i="16"/>
  <c r="E30" i="16"/>
  <c r="E24" i="16"/>
  <c r="I14" i="16"/>
  <c r="E107" i="16"/>
  <c r="E91" i="16"/>
  <c r="E25" i="16"/>
  <c r="G23" i="16"/>
  <c r="E17" i="16"/>
  <c r="G15" i="16"/>
  <c r="I116" i="16"/>
  <c r="G109" i="16"/>
  <c r="G93" i="16"/>
  <c r="I82" i="16"/>
  <c r="G81" i="16"/>
  <c r="I74" i="16"/>
  <c r="G73" i="16"/>
  <c r="I54" i="16"/>
  <c r="E40" i="16"/>
  <c r="E35" i="16"/>
  <c r="G33" i="16"/>
  <c r="I110" i="16"/>
  <c r="G107" i="16"/>
  <c r="E99" i="16"/>
  <c r="I94" i="16"/>
  <c r="G91" i="16"/>
  <c r="G84" i="16"/>
  <c r="G76" i="16"/>
  <c r="G68" i="16"/>
  <c r="G66" i="16"/>
  <c r="G57" i="16"/>
  <c r="E56" i="16"/>
  <c r="I55" i="16"/>
  <c r="G47" i="16"/>
  <c r="G41" i="16"/>
  <c r="E38" i="16"/>
  <c r="I32" i="16"/>
  <c r="I30" i="16"/>
  <c r="E29" i="16"/>
  <c r="E26" i="16"/>
  <c r="E21" i="16"/>
  <c r="G19" i="16"/>
  <c r="G11" i="16"/>
  <c r="G113" i="16"/>
  <c r="G105" i="16"/>
  <c r="G97" i="16"/>
  <c r="G89" i="16"/>
  <c r="I84" i="16"/>
  <c r="G83" i="16"/>
  <c r="I80" i="16"/>
  <c r="G79" i="16"/>
  <c r="I76" i="16"/>
  <c r="G75" i="16"/>
  <c r="I72" i="16"/>
  <c r="G71" i="16"/>
  <c r="I68" i="16"/>
  <c r="G67" i="16"/>
  <c r="I65" i="16"/>
  <c r="I57" i="16"/>
  <c r="G52" i="16"/>
  <c r="E37" i="16"/>
  <c r="E33" i="16"/>
  <c r="G31" i="16"/>
  <c r="G27" i="16"/>
  <c r="E23" i="16"/>
  <c r="E19" i="16"/>
  <c r="G13" i="16"/>
  <c r="E118" i="16"/>
  <c r="I114" i="16"/>
  <c r="G111" i="16"/>
  <c r="E110" i="16"/>
  <c r="I106" i="16"/>
  <c r="G103" i="16"/>
  <c r="E102" i="16"/>
  <c r="I98" i="16"/>
  <c r="G95" i="16"/>
  <c r="E94" i="16"/>
  <c r="I90" i="16"/>
  <c r="G87" i="16"/>
  <c r="E86" i="16"/>
  <c r="E61" i="16"/>
  <c r="G59" i="16"/>
  <c r="E48" i="16"/>
  <c r="I47" i="16"/>
  <c r="E45" i="16"/>
  <c r="E41" i="16"/>
  <c r="G39" i="16"/>
  <c r="G35" i="16"/>
  <c r="E31" i="16"/>
  <c r="E27" i="16"/>
  <c r="G21" i="16"/>
  <c r="G17" i="16"/>
  <c r="E16" i="16"/>
  <c r="E13" i="16"/>
  <c r="G118" i="16"/>
  <c r="I117" i="16"/>
  <c r="G114" i="16"/>
  <c r="I113" i="16"/>
  <c r="I109" i="16"/>
  <c r="I107" i="16"/>
  <c r="G102" i="16"/>
  <c r="I101" i="16"/>
  <c r="I99" i="16"/>
  <c r="I97" i="16"/>
  <c r="G94" i="16"/>
  <c r="I93" i="16"/>
  <c r="I91" i="16"/>
  <c r="G88" i="16"/>
  <c r="I87" i="16"/>
  <c r="E84" i="16"/>
  <c r="E82" i="16"/>
  <c r="E80" i="16"/>
  <c r="E78" i="16"/>
  <c r="E76" i="16"/>
  <c r="E74" i="16"/>
  <c r="E72" i="16"/>
  <c r="E70" i="16"/>
  <c r="E68" i="16"/>
  <c r="E63" i="16"/>
  <c r="G116" i="16"/>
  <c r="I115" i="16"/>
  <c r="G112" i="16"/>
  <c r="I111" i="16"/>
  <c r="G110" i="16"/>
  <c r="G108" i="16"/>
  <c r="G106" i="16"/>
  <c r="I105" i="16"/>
  <c r="G104" i="16"/>
  <c r="I103" i="16"/>
  <c r="G100" i="16"/>
  <c r="G98" i="16"/>
  <c r="G96" i="16"/>
  <c r="I95" i="16"/>
  <c r="G92" i="16"/>
  <c r="G90" i="16"/>
  <c r="I89" i="16"/>
  <c r="G86" i="16"/>
  <c r="I85" i="16"/>
  <c r="I83" i="16"/>
  <c r="I81" i="16"/>
  <c r="I79" i="16"/>
  <c r="I77" i="16"/>
  <c r="I75" i="16"/>
  <c r="I73" i="16"/>
  <c r="I71" i="16"/>
  <c r="I69" i="16"/>
  <c r="I67" i="16"/>
  <c r="I66" i="16"/>
  <c r="I60" i="16"/>
  <c r="G55" i="16"/>
  <c r="G53" i="16"/>
  <c r="I50" i="16"/>
  <c r="G64" i="16"/>
  <c r="I61" i="16"/>
  <c r="E59" i="16"/>
  <c r="G56" i="16"/>
  <c r="I53" i="16"/>
  <c r="E51" i="16"/>
  <c r="G48" i="16"/>
  <c r="I45" i="16"/>
  <c r="I43" i="16"/>
  <c r="I41" i="16"/>
  <c r="I39" i="16"/>
  <c r="I37" i="16"/>
  <c r="I35" i="16"/>
  <c r="I33" i="16"/>
  <c r="I31" i="16"/>
  <c r="I29" i="16"/>
  <c r="I27" i="16"/>
  <c r="I25" i="16"/>
  <c r="I23" i="16"/>
  <c r="I21" i="16"/>
  <c r="I19" i="16"/>
  <c r="I17" i="16"/>
  <c r="I15" i="16"/>
  <c r="I13" i="16"/>
  <c r="I11" i="16"/>
  <c r="E65" i="16"/>
  <c r="G62" i="16"/>
  <c r="I59" i="16"/>
  <c r="E57" i="16"/>
  <c r="G54" i="16"/>
  <c r="I51" i="16"/>
  <c r="E49" i="16"/>
  <c r="G46" i="16"/>
  <c r="G44" i="16"/>
  <c r="G42" i="16"/>
  <c r="G40" i="16"/>
  <c r="G38" i="16"/>
  <c r="G36" i="16"/>
  <c r="G34" i="16"/>
  <c r="G32" i="16"/>
  <c r="G30" i="16"/>
  <c r="G28" i="16"/>
  <c r="G26" i="16"/>
  <c r="G24" i="16"/>
  <c r="G22" i="16"/>
  <c r="G20" i="16"/>
  <c r="G18" i="16"/>
  <c r="G16" i="16"/>
  <c r="G14" i="16"/>
  <c r="G12" i="16"/>
  <c r="G10" i="16"/>
  <c r="C32" i="4" l="1"/>
  <c r="D32" i="4" s="1"/>
  <c r="G31" i="4"/>
  <c r="E31" i="4"/>
  <c r="F31" i="4" s="1"/>
  <c r="J79" i="16"/>
  <c r="J69" i="16"/>
  <c r="J17" i="16"/>
  <c r="J105" i="16"/>
  <c r="J47" i="16"/>
  <c r="J22" i="16"/>
  <c r="J34" i="16"/>
  <c r="J93" i="16"/>
  <c r="J84" i="16"/>
  <c r="J32" i="16"/>
  <c r="J21" i="16"/>
  <c r="J81" i="16"/>
  <c r="J89" i="16"/>
  <c r="J96" i="16"/>
  <c r="J116" i="16"/>
  <c r="J39" i="16"/>
  <c r="J48" i="16"/>
  <c r="J98" i="16"/>
  <c r="J101" i="16"/>
  <c r="J55" i="16"/>
  <c r="J106" i="16"/>
  <c r="J87" i="16"/>
  <c r="J10" i="16"/>
  <c r="J18" i="16"/>
  <c r="J20" i="16"/>
  <c r="J82" i="16"/>
  <c r="J49" i="16"/>
  <c r="J62" i="16"/>
  <c r="J104" i="16"/>
  <c r="J28" i="16"/>
  <c r="J44" i="16"/>
  <c r="J71" i="16"/>
  <c r="J85" i="16"/>
  <c r="J40" i="16"/>
  <c r="J13" i="16"/>
  <c r="J56" i="16"/>
  <c r="J50" i="16"/>
  <c r="J115" i="16"/>
  <c r="J77" i="16"/>
  <c r="J12" i="16"/>
  <c r="J14" i="16"/>
  <c r="J64" i="16"/>
  <c r="J60" i="16"/>
  <c r="J112" i="16"/>
  <c r="J58" i="16"/>
  <c r="J70" i="16"/>
  <c r="J46" i="16"/>
  <c r="J100" i="16"/>
  <c r="J73" i="16"/>
  <c r="J92" i="16"/>
  <c r="J42" i="16"/>
  <c r="J15" i="16"/>
  <c r="J114" i="16"/>
  <c r="J74" i="16"/>
  <c r="J76" i="16"/>
  <c r="J36" i="16"/>
  <c r="J52" i="16"/>
  <c r="J30" i="16"/>
  <c r="J57" i="16"/>
  <c r="J11" i="16"/>
  <c r="J35" i="16"/>
  <c r="J43" i="16"/>
  <c r="J75" i="16"/>
  <c r="J86" i="16"/>
  <c r="J108" i="16"/>
  <c r="J72" i="16"/>
  <c r="J80" i="16"/>
  <c r="J88" i="16"/>
  <c r="J97" i="16"/>
  <c r="J107" i="16"/>
  <c r="J117" i="16"/>
  <c r="J61" i="16"/>
  <c r="J78" i="16"/>
  <c r="J16" i="16"/>
  <c r="J24" i="16"/>
  <c r="J29" i="16"/>
  <c r="J66" i="16"/>
  <c r="J110" i="16"/>
  <c r="J63" i="16"/>
  <c r="J91" i="16"/>
  <c r="J109" i="16"/>
  <c r="J90" i="16"/>
  <c r="J111" i="16"/>
  <c r="J99" i="16"/>
  <c r="J26" i="16"/>
  <c r="J54" i="16"/>
  <c r="J65" i="16"/>
  <c r="J25" i="16"/>
  <c r="J33" i="16"/>
  <c r="J41" i="16"/>
  <c r="J68" i="16"/>
  <c r="J38" i="16"/>
  <c r="J19" i="16"/>
  <c r="J27" i="16"/>
  <c r="J94" i="16"/>
  <c r="J102" i="16"/>
  <c r="J67" i="16"/>
  <c r="J37" i="16"/>
  <c r="J45" i="16"/>
  <c r="J95" i="16"/>
  <c r="J103" i="16"/>
  <c r="J118" i="16"/>
  <c r="J51" i="16"/>
  <c r="J23" i="16"/>
  <c r="J31" i="16"/>
  <c r="J83" i="16"/>
  <c r="J113" i="16"/>
  <c r="J53" i="16"/>
  <c r="J59" i="16"/>
  <c r="C33" i="4" l="1"/>
  <c r="D33" i="4" s="1"/>
  <c r="G32" i="4"/>
  <c r="E32" i="4"/>
  <c r="F32" i="4" s="1"/>
  <c r="C34" i="4" l="1"/>
  <c r="D34" i="4" s="1"/>
  <c r="G33" i="4"/>
  <c r="E33" i="4"/>
  <c r="F33" i="4" s="1"/>
  <c r="D14" i="60"/>
  <c r="D13" i="60"/>
  <c r="D12" i="60"/>
  <c r="D11" i="60"/>
  <c r="C14" i="60"/>
  <c r="C13" i="60"/>
  <c r="C12" i="60"/>
  <c r="C11" i="60"/>
  <c r="B14" i="60"/>
  <c r="B13" i="60"/>
  <c r="B12" i="60"/>
  <c r="B11" i="60"/>
  <c r="C35" i="4" l="1"/>
  <c r="D35" i="4" s="1"/>
  <c r="G34" i="4"/>
  <c r="E34" i="4"/>
  <c r="F34" i="4" s="1"/>
  <c r="I46" i="4"/>
  <c r="C36" i="4" l="1"/>
  <c r="D36" i="4" s="1"/>
  <c r="G35" i="4"/>
  <c r="E35" i="4"/>
  <c r="F35" i="4" s="1"/>
  <c r="C37" i="4" l="1"/>
  <c r="D37" i="4" s="1"/>
  <c r="G36" i="4"/>
  <c r="E36" i="4"/>
  <c r="F36" i="4" s="1"/>
  <c r="G37" i="4" l="1"/>
  <c r="H37" i="4" s="1"/>
  <c r="E37" i="4"/>
  <c r="F37" i="4" s="1"/>
  <c r="I37" i="4" s="1"/>
  <c r="O13" i="47"/>
  <c r="O12" i="47"/>
  <c r="O11" i="47"/>
  <c r="O10" i="47"/>
  <c r="O9" i="47"/>
  <c r="O8" i="47"/>
  <c r="O7" i="47"/>
  <c r="O14" i="47" l="1"/>
  <c r="O16" i="47" l="1"/>
  <c r="L36" i="16"/>
  <c r="L38" i="16"/>
  <c r="L40" i="16"/>
  <c r="L42" i="16"/>
  <c r="L44" i="16"/>
  <c r="L46" i="16"/>
  <c r="L37" i="16"/>
  <c r="L39" i="16"/>
  <c r="L41" i="16"/>
  <c r="L43" i="16"/>
  <c r="L45" i="16"/>
  <c r="L48" i="16"/>
  <c r="L50" i="16"/>
  <c r="L52" i="16"/>
  <c r="L54" i="16"/>
  <c r="L56" i="16"/>
  <c r="L58" i="16"/>
  <c r="L60" i="16"/>
  <c r="L62" i="16"/>
  <c r="L64" i="16"/>
  <c r="L66" i="16"/>
  <c r="L68" i="16"/>
  <c r="L70" i="16"/>
  <c r="L72" i="16"/>
  <c r="L74" i="16"/>
  <c r="L76" i="16"/>
  <c r="L78" i="16"/>
  <c r="L80" i="16"/>
  <c r="L82" i="16"/>
  <c r="L84" i="16"/>
  <c r="L86" i="16"/>
  <c r="L88" i="16"/>
  <c r="L90" i="16"/>
  <c r="L92" i="16"/>
  <c r="L94" i="16"/>
  <c r="L96" i="16"/>
  <c r="L98" i="16"/>
  <c r="L47" i="16"/>
  <c r="L49" i="16"/>
  <c r="L51" i="16"/>
  <c r="L53" i="16"/>
  <c r="L55" i="16"/>
  <c r="L57" i="16"/>
  <c r="L59" i="16"/>
  <c r="L61" i="16"/>
  <c r="L63" i="16"/>
  <c r="L65" i="16"/>
  <c r="L67" i="16"/>
  <c r="L69" i="16"/>
  <c r="L71" i="16"/>
  <c r="L73" i="16"/>
  <c r="L75" i="16"/>
  <c r="L77" i="16"/>
  <c r="L79" i="16"/>
  <c r="L81" i="16"/>
  <c r="L83" i="16"/>
  <c r="L85" i="16"/>
  <c r="L87" i="16"/>
  <c r="L89" i="16"/>
  <c r="L91" i="16"/>
  <c r="L93" i="16"/>
  <c r="L95" i="16"/>
  <c r="L97" i="16"/>
  <c r="L99" i="16"/>
  <c r="J9" i="65" l="1"/>
  <c r="A1" i="65" l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G14" i="5"/>
  <c r="H14" i="5" s="1"/>
  <c r="G13" i="5"/>
  <c r="H13" i="5" s="1"/>
  <c r="G12" i="5"/>
  <c r="H12" i="5" s="1"/>
  <c r="H11" i="5"/>
  <c r="E14" i="60"/>
  <c r="G14" i="60" s="1"/>
  <c r="H14" i="60" s="1"/>
  <c r="E13" i="60"/>
  <c r="G13" i="60" s="1"/>
  <c r="H13" i="60" s="1"/>
  <c r="E12" i="60"/>
  <c r="G12" i="60" s="1"/>
  <c r="H12" i="60" s="1"/>
  <c r="E11" i="60"/>
  <c r="G11" i="60" s="1"/>
  <c r="H11" i="60" s="1"/>
  <c r="I9" i="16"/>
  <c r="G9" i="16"/>
  <c r="E9" i="16"/>
  <c r="P9" i="16" s="1"/>
  <c r="O19" i="47"/>
  <c r="O21" i="47"/>
  <c r="O20" i="47"/>
  <c r="O18" i="47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I47" i="4"/>
  <c r="I48" i="4"/>
  <c r="I49" i="4"/>
  <c r="I50" i="4"/>
  <c r="I51" i="4"/>
  <c r="K120" i="16"/>
  <c r="A12" i="63"/>
  <c r="J21" i="63"/>
  <c r="E12" i="4"/>
  <c r="F12" i="4" s="1"/>
  <c r="H12" i="4"/>
  <c r="H13" i="4"/>
  <c r="H14" i="4"/>
  <c r="I14" i="4" s="1"/>
  <c r="H15" i="4"/>
  <c r="I15" i="4" s="1"/>
  <c r="H16" i="4"/>
  <c r="H17" i="4"/>
  <c r="H18" i="4"/>
  <c r="H19" i="4"/>
  <c r="H20" i="4"/>
  <c r="H21" i="4"/>
  <c r="H22" i="4"/>
  <c r="I22" i="4" s="1"/>
  <c r="H23" i="4"/>
  <c r="I23" i="4" s="1"/>
  <c r="H24" i="4"/>
  <c r="I24" i="4" s="1"/>
  <c r="H25" i="4"/>
  <c r="E26" i="4"/>
  <c r="F26" i="4" s="1"/>
  <c r="H26" i="4"/>
  <c r="H27" i="4"/>
  <c r="I27" i="4" s="1"/>
  <c r="H28" i="4"/>
  <c r="I28" i="4" s="1"/>
  <c r="H29" i="4"/>
  <c r="H30" i="4"/>
  <c r="H31" i="4"/>
  <c r="H32" i="4"/>
  <c r="H33" i="4"/>
  <c r="I33" i="4" s="1"/>
  <c r="H34" i="4"/>
  <c r="I34" i="4" s="1"/>
  <c r="H35" i="4"/>
  <c r="H36" i="4"/>
  <c r="A12" i="62"/>
  <c r="J25" i="63"/>
  <c r="J26" i="63"/>
  <c r="J21" i="62"/>
  <c r="J26" i="62"/>
  <c r="J43" i="62"/>
  <c r="A2" i="63"/>
  <c r="J43" i="63"/>
  <c r="A12" i="15"/>
  <c r="A13" i="15" s="1"/>
  <c r="A2" i="61"/>
  <c r="A1" i="60"/>
  <c r="F16" i="60"/>
  <c r="A1" i="5"/>
  <c r="F16" i="5"/>
  <c r="A2" i="6"/>
  <c r="A2" i="15"/>
  <c r="A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1" i="16"/>
  <c r="B1" i="10"/>
  <c r="A1" i="47" s="1"/>
  <c r="A2" i="9"/>
  <c r="A2" i="62"/>
  <c r="J25" i="62"/>
  <c r="O23" i="47" l="1"/>
  <c r="O25" i="47" s="1"/>
  <c r="T12" i="61"/>
  <c r="U12" i="61" s="1"/>
  <c r="I12" i="4"/>
  <c r="I16" i="4"/>
  <c r="I53" i="4"/>
  <c r="I57" i="4" s="1"/>
  <c r="L17" i="16"/>
  <c r="L35" i="16"/>
  <c r="L101" i="16"/>
  <c r="L116" i="16"/>
  <c r="L29" i="16"/>
  <c r="L11" i="16"/>
  <c r="L19" i="16"/>
  <c r="L21" i="16"/>
  <c r="L23" i="16"/>
  <c r="L25" i="16"/>
  <c r="L108" i="16"/>
  <c r="L118" i="16"/>
  <c r="J9" i="16"/>
  <c r="L9" i="16" s="1"/>
  <c r="L13" i="16"/>
  <c r="L27" i="16"/>
  <c r="L103" i="16"/>
  <c r="L110" i="16"/>
  <c r="L112" i="16"/>
  <c r="L15" i="16"/>
  <c r="L31" i="16"/>
  <c r="L114" i="16"/>
  <c r="L10" i="16"/>
  <c r="L16" i="16"/>
  <c r="L28" i="16"/>
  <c r="L32" i="16"/>
  <c r="L33" i="16"/>
  <c r="L34" i="16"/>
  <c r="L104" i="16"/>
  <c r="L106" i="16"/>
  <c r="L107" i="16"/>
  <c r="L115" i="16"/>
  <c r="L12" i="16"/>
  <c r="L14" i="16"/>
  <c r="L18" i="16"/>
  <c r="L20" i="16"/>
  <c r="L22" i="16"/>
  <c r="L24" i="16"/>
  <c r="L26" i="16"/>
  <c r="L30" i="16"/>
  <c r="L100" i="16"/>
  <c r="L102" i="16"/>
  <c r="L105" i="16"/>
  <c r="L109" i="16"/>
  <c r="L111" i="16"/>
  <c r="L113" i="16"/>
  <c r="L117" i="16"/>
  <c r="I30" i="4"/>
  <c r="I29" i="4"/>
  <c r="I26" i="4"/>
  <c r="I25" i="4"/>
  <c r="I20" i="4"/>
  <c r="I19" i="4"/>
  <c r="I18" i="4"/>
  <c r="I21" i="4"/>
  <c r="I17" i="4"/>
  <c r="I13" i="4"/>
  <c r="I36" i="4"/>
  <c r="I35" i="4"/>
  <c r="I32" i="4"/>
  <c r="I31" i="4"/>
  <c r="E376" i="10"/>
  <c r="E377" i="10" s="1"/>
  <c r="J33" i="63"/>
  <c r="J33" i="62"/>
  <c r="H16" i="60"/>
  <c r="H16" i="5"/>
  <c r="J38" i="62" s="1"/>
  <c r="E379" i="10" l="1"/>
  <c r="C14" i="9" s="1"/>
  <c r="L120" i="16"/>
  <c r="L122" i="16" s="1"/>
  <c r="J13" i="63" s="1"/>
  <c r="I40" i="4"/>
  <c r="D12" i="6" s="1"/>
  <c r="T30" i="61"/>
  <c r="U30" i="61"/>
  <c r="J42" i="62"/>
  <c r="J42" i="63"/>
  <c r="J38" i="63"/>
  <c r="I59" i="4" l="1"/>
  <c r="J16" i="62" s="1"/>
  <c r="C19" i="9"/>
  <c r="J13" i="62"/>
  <c r="J49" i="63"/>
  <c r="J49" i="62"/>
  <c r="J24" i="63"/>
  <c r="J24" i="62"/>
  <c r="H13" i="63" l="1"/>
  <c r="L13" i="63" s="1"/>
  <c r="H25" i="63"/>
  <c r="J16" i="63"/>
  <c r="H47" i="62"/>
  <c r="L47" i="62" s="1"/>
  <c r="L25" i="63"/>
  <c r="H23" i="63"/>
  <c r="H22" i="63"/>
  <c r="L22" i="63" s="1"/>
  <c r="H21" i="62"/>
  <c r="L21" i="62" s="1"/>
  <c r="H16" i="63"/>
  <c r="H43" i="63"/>
  <c r="L43" i="63" s="1"/>
  <c r="H29" i="63"/>
  <c r="L29" i="63" s="1"/>
  <c r="H39" i="62"/>
  <c r="L39" i="62" s="1"/>
  <c r="H34" i="62"/>
  <c r="H17" i="63"/>
  <c r="H42" i="63"/>
  <c r="L42" i="63" s="1"/>
  <c r="H51" i="63"/>
  <c r="L51" i="63" s="1"/>
  <c r="H26" i="63"/>
  <c r="L26" i="63" s="1"/>
  <c r="H47" i="63"/>
  <c r="L47" i="63" s="1"/>
  <c r="H51" i="62"/>
  <c r="L51" i="62" s="1"/>
  <c r="H30" i="62"/>
  <c r="H49" i="62"/>
  <c r="H17" i="62"/>
  <c r="H16" i="62"/>
  <c r="L16" i="62" s="1"/>
  <c r="H13" i="62"/>
  <c r="L13" i="62" s="1"/>
  <c r="H24" i="62"/>
  <c r="L24" i="62" s="1"/>
  <c r="H30" i="63"/>
  <c r="H49" i="63"/>
  <c r="L49" i="63" s="1"/>
  <c r="H33" i="62"/>
  <c r="L33" i="62" s="1"/>
  <c r="H39" i="63"/>
  <c r="L39" i="63" s="1"/>
  <c r="H29" i="62"/>
  <c r="L29" i="62" s="1"/>
  <c r="H21" i="63"/>
  <c r="L21" i="63" s="1"/>
  <c r="H38" i="62"/>
  <c r="L38" i="62" s="1"/>
  <c r="H38" i="63"/>
  <c r="L38" i="63" s="1"/>
  <c r="H22" i="62"/>
  <c r="L22" i="62" s="1"/>
  <c r="H45" i="63"/>
  <c r="L45" i="63" s="1"/>
  <c r="H42" i="62"/>
  <c r="L42" i="62" s="1"/>
  <c r="H33" i="63"/>
  <c r="L33" i="63" s="1"/>
  <c r="H34" i="63"/>
  <c r="H26" i="62"/>
  <c r="L26" i="62" s="1"/>
  <c r="L25" i="62"/>
  <c r="H23" i="62"/>
  <c r="H24" i="63"/>
  <c r="L24" i="63" s="1"/>
  <c r="H45" i="62"/>
  <c r="L45" i="62" s="1"/>
  <c r="H43" i="62"/>
  <c r="L43" i="62" s="1"/>
  <c r="L49" i="62"/>
  <c r="L16" i="63" l="1"/>
  <c r="N26" i="62" l="1"/>
  <c r="N26" i="63"/>
  <c r="N22" i="63"/>
  <c r="N24" i="62" l="1"/>
  <c r="N22" i="62"/>
  <c r="N25" i="62"/>
  <c r="N29" i="62"/>
  <c r="N24" i="63"/>
  <c r="N21" i="62" l="1"/>
  <c r="C20" i="6"/>
  <c r="N33" i="62" l="1"/>
  <c r="E18" i="6"/>
  <c r="E15" i="6"/>
  <c r="E12" i="6"/>
  <c r="E35" i="62" l="1"/>
  <c r="E20" i="6"/>
  <c r="J34" i="63" s="1"/>
  <c r="L34" i="63" l="1"/>
  <c r="J23" i="62"/>
  <c r="J30" i="63"/>
  <c r="J30" i="62"/>
  <c r="J23" i="63"/>
  <c r="J34" i="62"/>
  <c r="L34" i="62" l="1"/>
  <c r="N34" i="62" s="1"/>
  <c r="L23" i="62"/>
  <c r="N23" i="62" s="1"/>
  <c r="L23" i="63"/>
  <c r="L30" i="62"/>
  <c r="N30" i="62" s="1"/>
  <c r="L30" i="63"/>
  <c r="N35" i="62" l="1"/>
  <c r="N21" i="63"/>
  <c r="N45" i="62" l="1"/>
  <c r="N30" i="63"/>
  <c r="N33" i="63"/>
  <c r="N34" i="63"/>
  <c r="N29" i="63" l="1"/>
  <c r="N13" i="63" l="1"/>
  <c r="N45" i="63"/>
  <c r="N13" i="62" l="1"/>
  <c r="N16" i="63" l="1"/>
  <c r="N16" i="62" l="1"/>
  <c r="Q149" i="65" l="1"/>
  <c r="R149" i="65" s="1"/>
  <c r="Q374" i="65"/>
  <c r="R374" i="65" s="1"/>
  <c r="Q331" i="65"/>
  <c r="R331" i="65" s="1"/>
  <c r="Q191" i="65"/>
  <c r="R191" i="65" s="1"/>
  <c r="Q316" i="65"/>
  <c r="R316" i="65" s="1"/>
  <c r="Q185" i="65"/>
  <c r="R185" i="65" s="1"/>
  <c r="Q145" i="65"/>
  <c r="R145" i="65" s="1"/>
  <c r="Q416" i="65"/>
  <c r="R416" i="65" s="1"/>
  <c r="Q408" i="65"/>
  <c r="R408" i="65" s="1"/>
  <c r="Q400" i="65"/>
  <c r="R400" i="65" s="1"/>
  <c r="Q285" i="65"/>
  <c r="R285" i="65" s="1"/>
  <c r="Q385" i="65"/>
  <c r="R385" i="65" s="1"/>
  <c r="Q365" i="65"/>
  <c r="R365" i="65" s="1"/>
  <c r="Q370" i="65"/>
  <c r="R370" i="65" s="1"/>
  <c r="Q22" i="65"/>
  <c r="R22" i="65" s="1"/>
  <c r="Q372" i="65"/>
  <c r="R372" i="65" s="1"/>
  <c r="Q315" i="65"/>
  <c r="R315" i="65" s="1"/>
  <c r="Q181" i="65"/>
  <c r="R181" i="65" s="1"/>
  <c r="Q133" i="65"/>
  <c r="R133" i="65" s="1"/>
  <c r="Q415" i="65"/>
  <c r="R415" i="65" s="1"/>
  <c r="Q164" i="65"/>
  <c r="R164" i="65" s="1"/>
  <c r="Q394" i="65"/>
  <c r="R394" i="65" s="1"/>
  <c r="Q375" i="65"/>
  <c r="R375" i="65" s="1"/>
  <c r="Q333" i="65"/>
  <c r="R333" i="65" s="1"/>
  <c r="Q418" i="65"/>
  <c r="R418" i="65" s="1"/>
  <c r="Q410" i="65"/>
  <c r="R410" i="65" s="1"/>
  <c r="Q246" i="65"/>
  <c r="R246" i="65" s="1"/>
  <c r="Q236" i="65"/>
  <c r="R236" i="65" s="1"/>
  <c r="Q362" i="65"/>
  <c r="R362" i="65" s="1"/>
  <c r="Q192" i="65"/>
  <c r="R192" i="65" s="1"/>
  <c r="Q413" i="65"/>
  <c r="R413" i="65" s="1"/>
  <c r="Q335" i="65"/>
  <c r="R335" i="65" s="1"/>
  <c r="Q255" i="65"/>
  <c r="R255" i="65" s="1"/>
  <c r="Q235" i="65"/>
  <c r="R235" i="65" s="1"/>
  <c r="Q312" i="65"/>
  <c r="R312" i="65" s="1"/>
  <c r="Q147" i="65"/>
  <c r="R147" i="65" s="1"/>
  <c r="Q358" i="65"/>
  <c r="R358" i="65" s="1"/>
  <c r="Q308" i="65"/>
  <c r="R308" i="65" s="1"/>
  <c r="Q159" i="65"/>
  <c r="R159" i="65" s="1"/>
  <c r="Q380" i="65"/>
  <c r="R380" i="65" s="1"/>
  <c r="Q336" i="65"/>
  <c r="R336" i="65" s="1"/>
  <c r="Q404" i="65"/>
  <c r="R404" i="65" s="1"/>
  <c r="Q157" i="65"/>
  <c r="R157" i="65" s="1"/>
  <c r="Q189" i="65"/>
  <c r="R189" i="65" s="1"/>
  <c r="Q150" i="65"/>
  <c r="R150" i="65" s="1"/>
  <c r="Q402" i="65"/>
  <c r="R402" i="65" s="1"/>
  <c r="Q367" i="65"/>
  <c r="R367" i="65" s="1"/>
  <c r="Q324" i="65"/>
  <c r="R324" i="65" s="1"/>
  <c r="Q306" i="65"/>
  <c r="R306" i="65" s="1"/>
  <c r="Q259" i="65"/>
  <c r="R259" i="65" s="1"/>
  <c r="Q245" i="65"/>
  <c r="R245" i="65" s="1"/>
  <c r="Q211" i="65"/>
  <c r="R211" i="65" s="1"/>
  <c r="Q216" i="65"/>
  <c r="R216" i="65" s="1"/>
  <c r="Q198" i="65"/>
  <c r="R198" i="65" s="1"/>
  <c r="Q292" i="65"/>
  <c r="R292" i="65" s="1"/>
  <c r="Q322" i="65"/>
  <c r="R322" i="65" s="1"/>
  <c r="Q239" i="65"/>
  <c r="R239" i="65" s="1"/>
  <c r="Q242" i="65"/>
  <c r="R242" i="65" s="1"/>
  <c r="Q218" i="65"/>
  <c r="R218" i="65" s="1"/>
  <c r="Q220" i="65"/>
  <c r="R220" i="65" s="1"/>
  <c r="Q212" i="65"/>
  <c r="R212" i="65" s="1"/>
  <c r="Q202" i="65"/>
  <c r="R202" i="65" s="1"/>
  <c r="Q173" i="65"/>
  <c r="R173" i="65" s="1"/>
  <c r="Q387" i="65"/>
  <c r="R387" i="65" s="1"/>
  <c r="Q412" i="65"/>
  <c r="R412" i="65" s="1"/>
  <c r="Q293" i="65"/>
  <c r="R293" i="65" s="1"/>
  <c r="Q389" i="65"/>
  <c r="R389" i="65" s="1"/>
  <c r="Q359" i="65"/>
  <c r="R359" i="65" s="1"/>
  <c r="Q279" i="65"/>
  <c r="R279" i="65" s="1"/>
  <c r="Q310" i="65"/>
  <c r="R310" i="65" s="1"/>
  <c r="Q302" i="65"/>
  <c r="R302" i="65" s="1"/>
  <c r="Q382" i="65"/>
  <c r="R382" i="65" s="1"/>
  <c r="Q257" i="65"/>
  <c r="R257" i="65" s="1"/>
  <c r="Q253" i="65"/>
  <c r="R253" i="65" s="1"/>
  <c r="Q260" i="65"/>
  <c r="R260" i="65" s="1"/>
  <c r="Q261" i="65"/>
  <c r="R261" i="65" s="1"/>
  <c r="Q175" i="65"/>
  <c r="R175" i="65" s="1"/>
  <c r="Q129" i="65"/>
  <c r="R129" i="65" s="1"/>
  <c r="Q37" i="65"/>
  <c r="R37" i="65" s="1"/>
  <c r="Q50" i="65"/>
  <c r="R50" i="65" s="1"/>
  <c r="Q92" i="65"/>
  <c r="R92" i="65" s="1"/>
  <c r="Q40" i="65"/>
  <c r="R40" i="65" s="1"/>
  <c r="Q47" i="65"/>
  <c r="R47" i="65" s="1"/>
  <c r="Q420" i="65"/>
  <c r="R420" i="65" s="1"/>
  <c r="Q214" i="65"/>
  <c r="R214" i="65" s="1"/>
  <c r="Q225" i="65"/>
  <c r="R225" i="65" s="1"/>
  <c r="Q228" i="65"/>
  <c r="R228" i="65" s="1"/>
  <c r="Q219" i="65"/>
  <c r="R219" i="65" s="1"/>
  <c r="Q204" i="65"/>
  <c r="R204" i="65" s="1"/>
  <c r="Q200" i="65"/>
  <c r="R200" i="65" s="1"/>
  <c r="Q186" i="65"/>
  <c r="R186" i="65" s="1"/>
  <c r="Q103" i="65"/>
  <c r="R103" i="65" s="1"/>
  <c r="Q305" i="65"/>
  <c r="R305" i="65" s="1"/>
  <c r="Q238" i="65"/>
  <c r="R238" i="65" s="1"/>
  <c r="Q232" i="65"/>
  <c r="R232" i="65" s="1"/>
  <c r="Q381" i="65"/>
  <c r="R381" i="65" s="1"/>
  <c r="Q109" i="65"/>
  <c r="R109" i="65" s="1"/>
  <c r="Q60" i="65"/>
  <c r="R60" i="65" s="1"/>
  <c r="Q106" i="65"/>
  <c r="R106" i="65" s="1"/>
  <c r="Q188" i="65"/>
  <c r="R188" i="65" s="1"/>
  <c r="Q258" i="65"/>
  <c r="R258" i="65" s="1"/>
  <c r="Q280" i="65"/>
  <c r="R280" i="65" s="1"/>
  <c r="Q275" i="65"/>
  <c r="R275" i="65" s="1"/>
  <c r="Q240" i="65"/>
  <c r="R240" i="65" s="1"/>
  <c r="Q270" i="65"/>
  <c r="R270" i="65" s="1"/>
  <c r="Q98" i="65"/>
  <c r="R98" i="65" s="1"/>
  <c r="Q39" i="65"/>
  <c r="R39" i="65" s="1"/>
  <c r="Q117" i="65"/>
  <c r="R117" i="65" s="1"/>
  <c r="Q89" i="65"/>
  <c r="R89" i="65" s="1"/>
  <c r="Q247" i="65"/>
  <c r="R247" i="65" s="1"/>
  <c r="Q237" i="65"/>
  <c r="R237" i="65" s="1"/>
  <c r="Q35" i="65"/>
  <c r="R35" i="65" s="1"/>
  <c r="Q75" i="65"/>
  <c r="R75" i="65" s="1"/>
  <c r="Q41" i="65"/>
  <c r="R41" i="65" s="1"/>
  <c r="Q96" i="65"/>
  <c r="R96" i="65" s="1"/>
  <c r="Q91" i="65"/>
  <c r="R91" i="65" s="1"/>
  <c r="Q48" i="65"/>
  <c r="R48" i="65" s="1"/>
  <c r="Q80" i="65"/>
  <c r="R80" i="65" s="1"/>
  <c r="Q25" i="65"/>
  <c r="R25" i="65" s="1"/>
  <c r="Q14" i="65"/>
  <c r="R14" i="65" s="1"/>
  <c r="Q369" i="65"/>
  <c r="R369" i="65" s="1"/>
  <c r="Q352" i="65"/>
  <c r="R352" i="65" s="1"/>
  <c r="Q303" i="65"/>
  <c r="R303" i="65" s="1"/>
  <c r="Q131" i="65"/>
  <c r="R131" i="65" s="1"/>
  <c r="Q54" i="65"/>
  <c r="R54" i="65" s="1"/>
  <c r="Q62" i="65"/>
  <c r="R62" i="65" s="1"/>
  <c r="Q51" i="65"/>
  <c r="R51" i="65" s="1"/>
  <c r="Q112" i="65"/>
  <c r="R112" i="65" s="1"/>
  <c r="Q95" i="65"/>
  <c r="R95" i="65" s="1"/>
  <c r="Q28" i="65"/>
  <c r="R28" i="65" s="1"/>
  <c r="Q18" i="65"/>
  <c r="R18" i="65" s="1"/>
  <c r="Q340" i="65"/>
  <c r="R340" i="65" s="1"/>
  <c r="Q289" i="65"/>
  <c r="R289" i="65" s="1"/>
  <c r="Q135" i="65"/>
  <c r="R135" i="65" s="1"/>
  <c r="Q390" i="65"/>
  <c r="R390" i="65" s="1"/>
  <c r="Q85" i="65"/>
  <c r="R85" i="65" s="1"/>
  <c r="Q266" i="65"/>
  <c r="R266" i="65" s="1"/>
  <c r="Q90" i="65"/>
  <c r="R90" i="65" s="1"/>
  <c r="Q38" i="65"/>
  <c r="R38" i="65" s="1"/>
  <c r="Q64" i="65"/>
  <c r="R64" i="65" s="1"/>
  <c r="Q342" i="65"/>
  <c r="R342" i="65" s="1"/>
  <c r="Q296" i="65"/>
  <c r="R296" i="65" s="1"/>
  <c r="Q63" i="65"/>
  <c r="R63" i="65" s="1"/>
  <c r="Q55" i="65"/>
  <c r="R55" i="65" s="1"/>
  <c r="Q339" i="65"/>
  <c r="R339" i="65" s="1"/>
  <c r="Q332" i="65"/>
  <c r="R332" i="65" s="1"/>
  <c r="Q206" i="65"/>
  <c r="R206" i="65" s="1"/>
  <c r="Q180" i="65"/>
  <c r="R180" i="65" s="1"/>
  <c r="Q68" i="65"/>
  <c r="R68" i="65" s="1"/>
  <c r="Q76" i="65"/>
  <c r="R76" i="65" s="1"/>
  <c r="Q77" i="65"/>
  <c r="R77" i="65" s="1"/>
  <c r="Q356" i="65"/>
  <c r="R356" i="65" s="1"/>
  <c r="Q196" i="65"/>
  <c r="R196" i="65" s="1"/>
  <c r="Q176" i="65"/>
  <c r="R176" i="65" s="1"/>
  <c r="Q161" i="65"/>
  <c r="R161" i="65" s="1"/>
  <c r="Q138" i="65"/>
  <c r="R138" i="65" s="1"/>
  <c r="Q127" i="65"/>
  <c r="R127" i="65" s="1"/>
  <c r="Q20" i="65"/>
  <c r="R20" i="65" s="1"/>
  <c r="Q165" i="65"/>
  <c r="R165" i="65" s="1"/>
  <c r="Q379" i="65"/>
  <c r="R379" i="65" s="1"/>
  <c r="Q348" i="65"/>
  <c r="R348" i="65" s="1"/>
  <c r="Q268" i="65"/>
  <c r="R268" i="65" s="1"/>
  <c r="Q79" i="65"/>
  <c r="R79" i="65" s="1"/>
  <c r="Q17" i="65"/>
  <c r="R17" i="65" s="1"/>
  <c r="Q231" i="65"/>
  <c r="R231" i="65" s="1"/>
  <c r="Q30" i="65"/>
  <c r="R30" i="65" s="1"/>
  <c r="Q354" i="65"/>
  <c r="R354" i="65" s="1"/>
  <c r="Q291" i="65"/>
  <c r="R291" i="65" s="1"/>
  <c r="Q137" i="65"/>
  <c r="R137" i="65" s="1"/>
  <c r="Q26" i="65"/>
  <c r="R26" i="65" s="1"/>
  <c r="Q184" i="65"/>
  <c r="R184" i="65" s="1"/>
  <c r="Q139" i="65"/>
  <c r="R139" i="65" s="1"/>
  <c r="Q34" i="65"/>
  <c r="R34" i="65" s="1"/>
  <c r="Q391" i="65"/>
  <c r="R391" i="65" s="1"/>
  <c r="Q168" i="65"/>
  <c r="R168" i="65" s="1"/>
  <c r="Q132" i="65"/>
  <c r="R132" i="65" s="1"/>
  <c r="Q15" i="65"/>
  <c r="R15" i="65" s="1"/>
  <c r="Q13" i="65"/>
  <c r="R13" i="65" s="1"/>
  <c r="Q10" i="65"/>
  <c r="R10" i="65" s="1"/>
  <c r="Q12" i="65"/>
  <c r="R12" i="65" s="1"/>
  <c r="Q70" i="65"/>
  <c r="R70" i="65" s="1"/>
  <c r="Q330" i="65"/>
  <c r="R330" i="65" s="1"/>
  <c r="Q283" i="65"/>
  <c r="R283" i="65" s="1"/>
  <c r="Q208" i="65"/>
  <c r="R208" i="65" s="1"/>
  <c r="Q32" i="65"/>
  <c r="R32" i="65" s="1"/>
  <c r="Q398" i="65"/>
  <c r="R398" i="65" s="1"/>
  <c r="Q162" i="65"/>
  <c r="R162" i="65" s="1"/>
  <c r="Q125" i="65"/>
  <c r="R125" i="65" s="1"/>
  <c r="Q144" i="65"/>
  <c r="R144" i="65" s="1"/>
  <c r="Q119" i="65"/>
  <c r="R119" i="65" s="1"/>
  <c r="Q136" i="65"/>
  <c r="R136" i="65" s="1"/>
  <c r="Q269" i="65"/>
  <c r="R269" i="65" s="1"/>
  <c r="Q364" i="65"/>
  <c r="R364" i="65" s="1"/>
  <c r="Q43" i="65"/>
  <c r="R43" i="65" s="1"/>
  <c r="Q156" i="65"/>
  <c r="R156" i="65" s="1"/>
  <c r="Q288" i="65"/>
  <c r="R288" i="65" s="1"/>
  <c r="Q297" i="65"/>
  <c r="R297" i="65" s="1"/>
  <c r="Q33" i="65"/>
  <c r="R33" i="65" s="1"/>
  <c r="Q290" i="65"/>
  <c r="R290" i="65" s="1"/>
  <c r="Q84" i="65"/>
  <c r="R84" i="65" s="1"/>
  <c r="Q67" i="65"/>
  <c r="R67" i="65" s="1"/>
  <c r="Q49" i="65"/>
  <c r="R49" i="65" s="1"/>
  <c r="Q100" i="65"/>
  <c r="R100" i="65" s="1"/>
  <c r="Q399" i="65"/>
  <c r="R399" i="65" s="1"/>
  <c r="Q94" i="65"/>
  <c r="R94" i="65" s="1"/>
  <c r="Q201" i="65"/>
  <c r="R201" i="65" s="1"/>
  <c r="Q254" i="65"/>
  <c r="R254" i="65" s="1"/>
  <c r="Q327" i="65"/>
  <c r="R327" i="65" s="1"/>
  <c r="Q179" i="65"/>
  <c r="R179" i="65" s="1"/>
  <c r="Q406" i="65"/>
  <c r="R406" i="65" s="1"/>
  <c r="Q190" i="65"/>
  <c r="R190" i="65" s="1"/>
  <c r="Q376" i="65"/>
  <c r="R376" i="65" s="1"/>
  <c r="Q326" i="65"/>
  <c r="R326" i="65" s="1"/>
  <c r="Q153" i="65"/>
  <c r="R153" i="65" s="1"/>
  <c r="Q311" i="65"/>
  <c r="R311" i="65" s="1"/>
  <c r="Q403" i="65"/>
  <c r="R403" i="65" s="1"/>
  <c r="Q166" i="65"/>
  <c r="R166" i="65" s="1"/>
  <c r="Q395" i="65"/>
  <c r="R395" i="65" s="1"/>
  <c r="Q152" i="65"/>
  <c r="R152" i="65" s="1"/>
  <c r="Q170" i="65"/>
  <c r="R170" i="65" s="1"/>
  <c r="Q11" i="65"/>
  <c r="R11" i="65" s="1"/>
  <c r="Q345" i="65"/>
  <c r="R345" i="65" s="1"/>
  <c r="Q160" i="65"/>
  <c r="R160" i="65" s="1"/>
  <c r="Q338" i="65"/>
  <c r="R338" i="65" s="1"/>
  <c r="Q351" i="65"/>
  <c r="R351" i="65" s="1"/>
  <c r="Q29" i="65"/>
  <c r="R29" i="65" s="1"/>
  <c r="Q282" i="65"/>
  <c r="R282" i="65" s="1"/>
  <c r="Q36" i="65"/>
  <c r="R36" i="65" s="1"/>
  <c r="Q355" i="65"/>
  <c r="R355" i="65" s="1"/>
  <c r="Q130" i="65"/>
  <c r="R130" i="65" s="1"/>
  <c r="Q357" i="65"/>
  <c r="R357" i="65" s="1"/>
  <c r="Q121" i="65"/>
  <c r="R121" i="65" s="1"/>
  <c r="Q411" i="65"/>
  <c r="R411" i="65" s="1"/>
  <c r="Q69" i="65"/>
  <c r="R69" i="65" s="1"/>
  <c r="Q248" i="65"/>
  <c r="R248" i="65" s="1"/>
  <c r="Q87" i="65"/>
  <c r="R87" i="65" s="1"/>
  <c r="Q143" i="65"/>
  <c r="R143" i="65" s="1"/>
  <c r="Q205" i="65"/>
  <c r="R205" i="65" s="1"/>
  <c r="Q199" i="65"/>
  <c r="R199" i="65" s="1"/>
  <c r="Q223" i="65"/>
  <c r="R223" i="65" s="1"/>
  <c r="Q317" i="65"/>
  <c r="R317" i="65" s="1"/>
  <c r="Q334" i="65"/>
  <c r="R334" i="65" s="1"/>
  <c r="Q304" i="65"/>
  <c r="R304" i="65" s="1"/>
  <c r="Q241" i="65"/>
  <c r="R241" i="65" s="1"/>
  <c r="Q329" i="65"/>
  <c r="R329" i="65" s="1"/>
  <c r="Q386" i="65"/>
  <c r="R386" i="65" s="1"/>
  <c r="Q366" i="65"/>
  <c r="R366" i="65" s="1"/>
  <c r="Q158" i="65"/>
  <c r="R158" i="65" s="1"/>
  <c r="Q215" i="65"/>
  <c r="R215" i="65" s="1"/>
  <c r="Q243" i="65"/>
  <c r="R243" i="65" s="1"/>
  <c r="Q300" i="65"/>
  <c r="R300" i="65" s="1"/>
  <c r="Q183" i="65"/>
  <c r="R183" i="65" s="1"/>
  <c r="Q294" i="65"/>
  <c r="R294" i="65" s="1"/>
  <c r="Q229" i="65"/>
  <c r="R229" i="65" s="1"/>
  <c r="Q115" i="65"/>
  <c r="R115" i="65" s="1"/>
  <c r="Q140" i="65"/>
  <c r="R140" i="65" s="1"/>
  <c r="Q141" i="65"/>
  <c r="R141" i="65" s="1"/>
  <c r="Q97" i="65"/>
  <c r="R97" i="65" s="1"/>
  <c r="Q347" i="65"/>
  <c r="R347" i="65" s="1"/>
  <c r="Q195" i="65"/>
  <c r="R195" i="65" s="1"/>
  <c r="Q295" i="65"/>
  <c r="R295" i="65" s="1"/>
  <c r="Q262" i="65"/>
  <c r="R262" i="65" s="1"/>
  <c r="Q65" i="65"/>
  <c r="R65" i="65" s="1"/>
  <c r="Q59" i="65"/>
  <c r="R59" i="65" s="1"/>
  <c r="Q107" i="65"/>
  <c r="R107" i="65" s="1"/>
  <c r="Q323" i="65"/>
  <c r="R323" i="65" s="1"/>
  <c r="Q256" i="65"/>
  <c r="R256" i="65" s="1"/>
  <c r="Q226" i="65"/>
  <c r="R226" i="65" s="1"/>
  <c r="Q251" i="65"/>
  <c r="R251" i="65" s="1"/>
  <c r="Q272" i="65"/>
  <c r="R272" i="65" s="1"/>
  <c r="Q281" i="65"/>
  <c r="R281" i="65" s="1"/>
  <c r="Q363" i="65"/>
  <c r="R363" i="65" s="1"/>
  <c r="Q350" i="65"/>
  <c r="R350" i="65" s="1"/>
  <c r="Q271" i="65"/>
  <c r="R271" i="65" s="1"/>
  <c r="Q309" i="65"/>
  <c r="R309" i="65" s="1"/>
  <c r="Q319" i="65"/>
  <c r="R319" i="65" s="1"/>
  <c r="Q414" i="65"/>
  <c r="R414" i="65" s="1"/>
  <c r="Q377" i="65"/>
  <c r="R377" i="65" s="1"/>
  <c r="Q277" i="65"/>
  <c r="R277" i="65" s="1"/>
  <c r="Q264" i="65"/>
  <c r="R264" i="65" s="1"/>
  <c r="Q409" i="65"/>
  <c r="R409" i="65" s="1"/>
  <c r="Q360" i="65"/>
  <c r="R360" i="65" s="1"/>
  <c r="Q167" i="65"/>
  <c r="R167" i="65" s="1"/>
  <c r="Q19" i="65"/>
  <c r="R19" i="65" s="1"/>
  <c r="Q86" i="65"/>
  <c r="R86" i="65" s="1"/>
  <c r="Q265" i="65"/>
  <c r="R265" i="65" s="1"/>
  <c r="Q155" i="65"/>
  <c r="R155" i="65" s="1"/>
  <c r="Q177" i="65"/>
  <c r="R177" i="65" s="1"/>
  <c r="Q230" i="65"/>
  <c r="R230" i="65" s="1"/>
  <c r="Q83" i="65"/>
  <c r="R83" i="65" s="1"/>
  <c r="Q114" i="65"/>
  <c r="R114" i="65" s="1"/>
  <c r="Q42" i="65"/>
  <c r="R42" i="65" s="1"/>
  <c r="Q267" i="65"/>
  <c r="R267" i="65" s="1"/>
  <c r="Q71" i="65"/>
  <c r="R71" i="65" s="1"/>
  <c r="Q46" i="65"/>
  <c r="R46" i="65" s="1"/>
  <c r="Q72" i="65"/>
  <c r="R72" i="65" s="1"/>
  <c r="Q82" i="65"/>
  <c r="R82" i="65" s="1"/>
  <c r="Q187" i="65"/>
  <c r="R187" i="65" s="1"/>
  <c r="Q56" i="65"/>
  <c r="R56" i="65" s="1"/>
  <c r="Q222" i="65"/>
  <c r="R222" i="65" s="1"/>
  <c r="Q203" i="65"/>
  <c r="R203" i="65" s="1"/>
  <c r="Q250" i="65"/>
  <c r="R250" i="65" s="1"/>
  <c r="Q405" i="65"/>
  <c r="R405" i="65" s="1"/>
  <c r="Q233" i="65"/>
  <c r="R233" i="65" s="1"/>
  <c r="Q301" i="65"/>
  <c r="R301" i="65" s="1"/>
  <c r="Q274" i="65"/>
  <c r="R274" i="65" s="1"/>
  <c r="Q273" i="65"/>
  <c r="R273" i="65" s="1"/>
  <c r="Q234" i="65"/>
  <c r="R234" i="65" s="1"/>
  <c r="Q314" i="65"/>
  <c r="R314" i="65" s="1"/>
  <c r="Q313" i="65"/>
  <c r="R313" i="65" s="1"/>
  <c r="Q417" i="65"/>
  <c r="R417" i="65" s="1"/>
  <c r="Q368" i="65"/>
  <c r="R368" i="65" s="1"/>
  <c r="Q373" i="65"/>
  <c r="R373" i="65" s="1"/>
  <c r="Q148" i="65"/>
  <c r="R148" i="65" s="1"/>
  <c r="Q287" i="65"/>
  <c r="R287" i="65" s="1"/>
  <c r="Q353" i="65"/>
  <c r="R353" i="65" s="1"/>
  <c r="Q66" i="65"/>
  <c r="R66" i="65" s="1"/>
  <c r="Q197" i="65"/>
  <c r="R197" i="65" s="1"/>
  <c r="Q213" i="65"/>
  <c r="R213" i="65" s="1"/>
  <c r="Q178" i="65"/>
  <c r="R178" i="65" s="1"/>
  <c r="Q146" i="65"/>
  <c r="R146" i="65" s="1"/>
  <c r="Q371" i="65"/>
  <c r="R371" i="65" s="1"/>
  <c r="Q388" i="65"/>
  <c r="R388" i="65" s="1"/>
  <c r="Q120" i="65"/>
  <c r="R120" i="65" s="1"/>
  <c r="Q122" i="65"/>
  <c r="Q321" i="65"/>
  <c r="R321" i="65" s="1"/>
  <c r="Q16" i="65"/>
  <c r="R16" i="65" s="1"/>
  <c r="Q24" i="65"/>
  <c r="R24" i="65" s="1"/>
  <c r="Q27" i="65"/>
  <c r="R27" i="65" s="1"/>
  <c r="Q182" i="65"/>
  <c r="R182" i="65" s="1"/>
  <c r="Q61" i="65"/>
  <c r="R61" i="65" s="1"/>
  <c r="Q105" i="65"/>
  <c r="R105" i="65" s="1"/>
  <c r="Q343" i="65"/>
  <c r="R343" i="65" s="1"/>
  <c r="Q113" i="65"/>
  <c r="R113" i="65" s="1"/>
  <c r="Q276" i="65"/>
  <c r="R276" i="65" s="1"/>
  <c r="Q361" i="65"/>
  <c r="R361" i="65" s="1"/>
  <c r="Q101" i="65"/>
  <c r="R101" i="65" s="1"/>
  <c r="Q23" i="65"/>
  <c r="R23" i="65" s="1"/>
  <c r="Q88" i="65"/>
  <c r="R88" i="65" s="1"/>
  <c r="Q299" i="65"/>
  <c r="R299" i="65" s="1"/>
  <c r="Q104" i="65"/>
  <c r="R104" i="65" s="1"/>
  <c r="Q307" i="65"/>
  <c r="R307" i="65" s="1"/>
  <c r="Q45" i="65"/>
  <c r="R45" i="65" s="1"/>
  <c r="Q224" i="65"/>
  <c r="R224" i="65" s="1"/>
  <c r="Q249" i="65"/>
  <c r="R249" i="65" s="1"/>
  <c r="Q227" i="65"/>
  <c r="R227" i="65" s="1"/>
  <c r="Q320" i="65"/>
  <c r="R320" i="65" s="1"/>
  <c r="Q172" i="65"/>
  <c r="R172" i="65" s="1"/>
  <c r="Q318" i="65"/>
  <c r="R318" i="65" s="1"/>
  <c r="Q401" i="65"/>
  <c r="R401" i="65" s="1"/>
  <c r="Q337" i="65"/>
  <c r="R337" i="65" s="1"/>
  <c r="Q419" i="65"/>
  <c r="R419" i="65" s="1"/>
  <c r="Q393" i="65"/>
  <c r="R393" i="65" s="1"/>
  <c r="Q383" i="65"/>
  <c r="R383" i="65" s="1"/>
  <c r="Q21" i="65"/>
  <c r="R21" i="65" s="1"/>
  <c r="Q378" i="65"/>
  <c r="R378" i="65" s="1"/>
  <c r="Q341" i="65"/>
  <c r="R341" i="65" s="1"/>
  <c r="Q102" i="65"/>
  <c r="R102" i="65" s="1"/>
  <c r="Q263" i="65"/>
  <c r="R263" i="65" s="1"/>
  <c r="Q81" i="65"/>
  <c r="R81" i="65" s="1"/>
  <c r="Q58" i="65"/>
  <c r="R58" i="65" s="1"/>
  <c r="Q384" i="65"/>
  <c r="R384" i="65" s="1"/>
  <c r="Q244" i="65"/>
  <c r="R244" i="65" s="1"/>
  <c r="Q396" i="65"/>
  <c r="R396" i="65" s="1"/>
  <c r="Q193" i="65"/>
  <c r="R193" i="65" s="1"/>
  <c r="Q154" i="65"/>
  <c r="R154" i="65" s="1"/>
  <c r="Q126" i="65"/>
  <c r="R126" i="65" s="1"/>
  <c r="Q169" i="65"/>
  <c r="R169" i="65" s="1"/>
  <c r="Q57" i="65"/>
  <c r="R57" i="65" s="1"/>
  <c r="Q421" i="65"/>
  <c r="R421" i="65" s="1"/>
  <c r="Q171" i="65"/>
  <c r="R171" i="65" s="1"/>
  <c r="Q44" i="65"/>
  <c r="R44" i="65" s="1"/>
  <c r="Q99" i="65"/>
  <c r="R99" i="65" s="1"/>
  <c r="Q284" i="65"/>
  <c r="R284" i="65" s="1"/>
  <c r="Q397" i="65"/>
  <c r="R397" i="65" s="1"/>
  <c r="Q116" i="65"/>
  <c r="R116" i="65" s="1"/>
  <c r="Q344" i="65"/>
  <c r="R344" i="65" s="1"/>
  <c r="Q252" i="65"/>
  <c r="R252" i="65" s="1"/>
  <c r="Q74" i="65"/>
  <c r="R74" i="65" s="1"/>
  <c r="Q286" i="65"/>
  <c r="R286" i="65" s="1"/>
  <c r="Q93" i="65"/>
  <c r="R93" i="65" s="1"/>
  <c r="Q174" i="65"/>
  <c r="R174" i="65" s="1"/>
  <c r="Q210" i="65"/>
  <c r="R210" i="65" s="1"/>
  <c r="Q217" i="65"/>
  <c r="R217" i="65" s="1"/>
  <c r="Q325" i="65"/>
  <c r="R325" i="65" s="1"/>
  <c r="Q128" i="65"/>
  <c r="R128" i="65" s="1"/>
  <c r="Q278" i="65"/>
  <c r="R278" i="65" s="1"/>
  <c r="Q407" i="65"/>
  <c r="R407" i="65" s="1"/>
  <c r="Q124" i="65"/>
  <c r="Q298" i="65"/>
  <c r="R298" i="65" s="1"/>
  <c r="Q123" i="65"/>
  <c r="R123" i="65" s="1"/>
  <c r="Q52" i="65"/>
  <c r="R52" i="65" s="1"/>
  <c r="Q209" i="65"/>
  <c r="R209" i="65" s="1"/>
  <c r="Q142" i="65"/>
  <c r="R142" i="65" s="1"/>
  <c r="Q151" i="65"/>
  <c r="R151" i="65" s="1"/>
  <c r="Q118" i="65"/>
  <c r="R118" i="65" s="1"/>
  <c r="Q53" i="65"/>
  <c r="R53" i="65" s="1"/>
  <c r="Q73" i="65"/>
  <c r="R73" i="65" s="1"/>
  <c r="Q349" i="65"/>
  <c r="R349" i="65" s="1"/>
  <c r="Q108" i="65"/>
  <c r="R108" i="65" s="1"/>
  <c r="Q111" i="65"/>
  <c r="R111" i="65" s="1"/>
  <c r="Q110" i="65"/>
  <c r="R110" i="65" s="1"/>
  <c r="Q78" i="65"/>
  <c r="R78" i="65" s="1"/>
  <c r="Q134" i="65"/>
  <c r="R134" i="65" s="1"/>
  <c r="Q221" i="65"/>
  <c r="R221" i="65" s="1"/>
  <c r="Q328" i="65"/>
  <c r="R328" i="65" s="1"/>
  <c r="Q31" i="65"/>
  <c r="R31" i="65" s="1"/>
  <c r="Q163" i="65"/>
  <c r="R163" i="65" s="1"/>
  <c r="Q392" i="65"/>
  <c r="R392" i="65" s="1"/>
  <c r="Q194" i="65"/>
  <c r="R194" i="65" s="1"/>
  <c r="Q207" i="65"/>
  <c r="R207" i="65" s="1"/>
  <c r="Q346" i="65"/>
  <c r="R346" i="65" s="1"/>
  <c r="Q9" i="65"/>
  <c r="R9" i="65" l="1"/>
  <c r="Q422" i="65"/>
  <c r="R124" i="65"/>
  <c r="R122" i="65"/>
  <c r="R422" i="65" l="1"/>
  <c r="E11" i="15" s="1"/>
  <c r="E15" i="15" s="1"/>
  <c r="J17" i="63" l="1"/>
  <c r="L17" i="63" s="1"/>
  <c r="J17" i="62"/>
  <c r="L17" i="62" s="1"/>
  <c r="E17" i="62" l="1"/>
  <c r="F17" i="62" s="1"/>
  <c r="N17" i="62" s="1"/>
  <c r="N18" i="62" s="1"/>
  <c r="F23" i="63" l="1"/>
  <c r="N23" i="63" s="1"/>
  <c r="F51" i="62" l="1"/>
  <c r="N51" i="62" s="1"/>
  <c r="F49" i="62"/>
  <c r="N49" i="62" s="1"/>
  <c r="F47" i="62"/>
  <c r="N47" i="62" s="1"/>
  <c r="E43" i="62" l="1"/>
  <c r="F43" i="62" s="1"/>
  <c r="N43" i="62" s="1"/>
  <c r="E42" i="62" l="1"/>
  <c r="F42" i="62"/>
  <c r="N42" i="62" s="1"/>
  <c r="E39" i="62"/>
  <c r="F39" i="62" s="1"/>
  <c r="N39" i="62" s="1"/>
  <c r="E38" i="62"/>
  <c r="F38" i="62" s="1"/>
  <c r="N38" i="62" s="1"/>
  <c r="E53" i="62" l="1"/>
  <c r="N53" i="62"/>
  <c r="F49" i="63" l="1"/>
  <c r="N49" i="63" s="1"/>
  <c r="F51" i="63"/>
  <c r="N51" i="63" s="1"/>
  <c r="F47" i="63"/>
  <c r="N47" i="63" s="1"/>
  <c r="E43" i="63" l="1"/>
  <c r="F43" i="63" s="1"/>
  <c r="N43" i="63" s="1"/>
  <c r="E42" i="63"/>
  <c r="F25" i="63"/>
  <c r="N25" i="63" s="1"/>
  <c r="N35" i="63" s="1"/>
  <c r="E35" i="63"/>
  <c r="E17" i="63"/>
  <c r="F17" i="63" s="1"/>
  <c r="N17" i="63" s="1"/>
  <c r="N18" i="63" s="1"/>
  <c r="E39" i="63" l="1"/>
  <c r="F39" i="63" s="1"/>
  <c r="N39" i="63" s="1"/>
  <c r="E38" i="63"/>
  <c r="F38" i="63" s="1"/>
  <c r="N38" i="63" s="1"/>
  <c r="F42" i="63"/>
  <c r="N42" i="63" s="1"/>
  <c r="E53" i="63" l="1"/>
  <c r="N53" i="63"/>
</calcChain>
</file>

<file path=xl/sharedStrings.xml><?xml version="1.0" encoding="utf-8"?>
<sst xmlns="http://schemas.openxmlformats.org/spreadsheetml/2006/main" count="2208" uniqueCount="1135">
  <si>
    <t>Revenue Lag Study</t>
  </si>
  <si>
    <t xml:space="preserve">Line </t>
  </si>
  <si>
    <t xml:space="preserve"> </t>
  </si>
  <si>
    <t>Revenue</t>
  </si>
  <si>
    <t>Payroll Lead Days</t>
  </si>
  <si>
    <t xml:space="preserve">Other O&amp;M Payment Lag </t>
  </si>
  <si>
    <t>b</t>
  </si>
  <si>
    <t>c</t>
  </si>
  <si>
    <t>e</t>
  </si>
  <si>
    <t xml:space="preserve">a </t>
  </si>
  <si>
    <t>f</t>
  </si>
  <si>
    <t xml:space="preserve">Other O&amp;M Payment Lag Days:  </t>
  </si>
  <si>
    <t>Annual</t>
  </si>
  <si>
    <t>% of</t>
  </si>
  <si>
    <t>Lender</t>
  </si>
  <si>
    <t>Maturity</t>
  </si>
  <si>
    <t>Type of Payment</t>
  </si>
  <si>
    <t>Pymt 1</t>
  </si>
  <si>
    <t>Pymt 2</t>
  </si>
  <si>
    <t>Pymt 3</t>
  </si>
  <si>
    <t>Pymt 4</t>
  </si>
  <si>
    <t>Interest</t>
  </si>
  <si>
    <t>Total Interest</t>
  </si>
  <si>
    <t>$</t>
  </si>
  <si>
    <t>WEIGHTED AVERAGE LEAD DAYS OF LONG TERM DEBT EXPENSE</t>
  </si>
  <si>
    <t>Long Term Debt</t>
  </si>
  <si>
    <t>Allocated Taxes-Shared Services</t>
  </si>
  <si>
    <t>Allocated Taxes-Business Unit</t>
  </si>
  <si>
    <t>Midpoint</t>
  </si>
  <si>
    <t>d</t>
  </si>
  <si>
    <t>Ad Valorem</t>
  </si>
  <si>
    <t xml:space="preserve">Total O&amp;M Payment Lag Days:  </t>
  </si>
  <si>
    <t>Atmos Energy Corporation</t>
  </si>
  <si>
    <t>Company Name:</t>
  </si>
  <si>
    <t>Jurisdiction:</t>
  </si>
  <si>
    <t>LEAD/LAG STUDY</t>
  </si>
  <si>
    <t>Per Books Purchase Gas Cost</t>
  </si>
  <si>
    <t>Residential sales</t>
  </si>
  <si>
    <t>Depreciation</t>
  </si>
  <si>
    <t>Operation and Maintenance Expense</t>
  </si>
  <si>
    <t xml:space="preserve">Taxes Other Than Income </t>
  </si>
  <si>
    <t>Test Year</t>
  </si>
  <si>
    <t>Expenses</t>
  </si>
  <si>
    <t>Expense</t>
  </si>
  <si>
    <t>Net Lag</t>
  </si>
  <si>
    <t>Supplier</t>
  </si>
  <si>
    <t>(h)</t>
  </si>
  <si>
    <t>Date of</t>
  </si>
  <si>
    <t>Invoice</t>
  </si>
  <si>
    <t xml:space="preserve">Date </t>
  </si>
  <si>
    <t>Total Taxes Other Than Income</t>
  </si>
  <si>
    <t>Start Service</t>
  </si>
  <si>
    <t>Finish Service</t>
  </si>
  <si>
    <t>(k)</t>
  </si>
  <si>
    <t>Total Revenue Lag =</t>
  </si>
  <si>
    <t>Begin</t>
  </si>
  <si>
    <t>Test Period</t>
  </si>
  <si>
    <t>TOTAL</t>
  </si>
  <si>
    <t>Same day</t>
  </si>
  <si>
    <t>Next day</t>
  </si>
  <si>
    <t>2 days</t>
  </si>
  <si>
    <t>3-7 days</t>
  </si>
  <si>
    <t>8-14 days</t>
  </si>
  <si>
    <t>&gt; 2 weeks</t>
  </si>
  <si>
    <t>Payroll Checks</t>
  </si>
  <si>
    <t>Clearing</t>
  </si>
  <si>
    <t>from Pd Dt</t>
  </si>
  <si>
    <t>Direct Payroll</t>
  </si>
  <si>
    <t>(i)</t>
  </si>
  <si>
    <t xml:space="preserve"> Days</t>
  </si>
  <si>
    <t>Lead/Lag</t>
  </si>
  <si>
    <t>Payroll Taxes</t>
  </si>
  <si>
    <t>Total O&amp;M Expense</t>
  </si>
  <si>
    <t>Gas Supply Expense</t>
  </si>
  <si>
    <t>AVERAGE DAILY TOTALS</t>
  </si>
  <si>
    <t>REVENUE LAG</t>
  </si>
  <si>
    <t>Type</t>
  </si>
  <si>
    <t>( c)</t>
  </si>
  <si>
    <t>Average</t>
  </si>
  <si>
    <t>TOTAL PAYROLL DIRECT DEPOSIT WEIGHTED AVG EXPENSE LAG</t>
  </si>
  <si>
    <t>Weighted Avg</t>
  </si>
  <si>
    <t>Lead/Lag Days</t>
  </si>
  <si>
    <t>Cash Working Capital Lead/Lag Analysis</t>
  </si>
  <si>
    <t>(b) / 365 days</t>
  </si>
  <si>
    <t>(c) x (f)</t>
  </si>
  <si>
    <t>( d) - (e)</t>
  </si>
  <si>
    <t>Daily Expense</t>
  </si>
  <si>
    <t>Production Month</t>
  </si>
  <si>
    <t>(j)</t>
  </si>
  <si>
    <t>(h) x (i)</t>
  </si>
  <si>
    <t>h</t>
  </si>
  <si>
    <t>Average Lag</t>
  </si>
  <si>
    <t>Taxes Other Than Income Taxes</t>
  </si>
  <si>
    <t>Payroll Taxes:</t>
  </si>
  <si>
    <t>i</t>
  </si>
  <si>
    <t>CWC WP 2-1</t>
  </si>
  <si>
    <t>CWC WP 2-2</t>
  </si>
  <si>
    <t>CWC WP 5-1</t>
  </si>
  <si>
    <t>Deferred Taxes</t>
  </si>
  <si>
    <t>Current Taxes</t>
  </si>
  <si>
    <t>Return on Equity</t>
  </si>
  <si>
    <t>Federal Income Tax Payments:</t>
  </si>
  <si>
    <t>Interest Expense - LTD</t>
  </si>
  <si>
    <t>ACTUAL CHECKS WRITTEN:</t>
  </si>
  <si>
    <t>WEIGHTED AVERAGE OF ACTUAL PAYROLL  CHECKS</t>
  </si>
  <si>
    <t>TOTAL PAYROLL LAG</t>
  </si>
  <si>
    <t>Total Payroll Check Lag</t>
  </si>
  <si>
    <t>Federal Income Taxes</t>
  </si>
  <si>
    <t>Line No.</t>
  </si>
  <si>
    <t>(Test Yr Average Daily Accounts Receivable / Test Yr Average Daily Revenue)</t>
  </si>
  <si>
    <t>Payment</t>
  </si>
  <si>
    <t>Line</t>
  </si>
  <si>
    <t>CWC</t>
  </si>
  <si>
    <t>No.</t>
  </si>
  <si>
    <t>Description</t>
  </si>
  <si>
    <t>Amount</t>
  </si>
  <si>
    <t>Days</t>
  </si>
  <si>
    <t>Requirement</t>
  </si>
  <si>
    <t>(a)</t>
  </si>
  <si>
    <t>(b)</t>
  </si>
  <si>
    <t>(c)</t>
  </si>
  <si>
    <t>(d)</t>
  </si>
  <si>
    <t>(e)</t>
  </si>
  <si>
    <t>(f)</t>
  </si>
  <si>
    <t>(g)</t>
  </si>
  <si>
    <t>Purchased Gas</t>
  </si>
  <si>
    <t>Lag</t>
  </si>
  <si>
    <t>Start</t>
  </si>
  <si>
    <t>End</t>
  </si>
  <si>
    <t xml:space="preserve">Morning </t>
  </si>
  <si>
    <t>Evening</t>
  </si>
  <si>
    <t>Total</t>
  </si>
  <si>
    <t>of 1st day</t>
  </si>
  <si>
    <t>of Last Day</t>
  </si>
  <si>
    <t>No. of</t>
  </si>
  <si>
    <t>Service</t>
  </si>
  <si>
    <t>Date</t>
  </si>
  <si>
    <t>of Pay Period</t>
  </si>
  <si>
    <t>Paid</t>
  </si>
  <si>
    <t>Due</t>
  </si>
  <si>
    <t>Weighted</t>
  </si>
  <si>
    <t>Weight</t>
  </si>
  <si>
    <t>As Adjusted</t>
  </si>
  <si>
    <t>$ Amount</t>
  </si>
  <si>
    <t># of Days</t>
  </si>
  <si>
    <t xml:space="preserve">Weighted </t>
  </si>
  <si>
    <t>$ Days</t>
  </si>
  <si>
    <t xml:space="preserve">Federal Income Tax </t>
  </si>
  <si>
    <t>O&amp;M, Labor</t>
  </si>
  <si>
    <t>O&amp;M, Non-Labor</t>
  </si>
  <si>
    <t>Collection Lag:</t>
  </si>
  <si>
    <t>Federal Unemployment - Paid quarterly in arrears at the</t>
  </si>
  <si>
    <t>DOT</t>
  </si>
  <si>
    <t>Total Revenue</t>
  </si>
  <si>
    <t>Unbilled Residential Revenue</t>
  </si>
  <si>
    <t>Unbilled Indus Revenue</t>
  </si>
  <si>
    <t>Unbilled Comm Revenue</t>
  </si>
  <si>
    <t>Unbilled Public Authority Reve</t>
  </si>
  <si>
    <t>Forfeited discounts</t>
  </si>
  <si>
    <t>Miscellaneous service revenues</t>
  </si>
  <si>
    <t>Billed Revenue</t>
  </si>
  <si>
    <t>Account</t>
  </si>
  <si>
    <t>Due Date</t>
  </si>
  <si>
    <t>Total Payroll Taxes</t>
  </si>
  <si>
    <t xml:space="preserve">Other O&amp;M Payment and Check Clearing Lag </t>
  </si>
  <si>
    <t>g</t>
  </si>
  <si>
    <t>l</t>
  </si>
  <si>
    <t>Revenue-Transportation Distrib</t>
  </si>
  <si>
    <t>Billed Taxes</t>
  </si>
  <si>
    <t>Billed Revenue plus Taxes</t>
  </si>
  <si>
    <t>DOT - Payment for the pipeline safety user fee for the</t>
  </si>
  <si>
    <t>ATO-CWC1 A</t>
  </si>
  <si>
    <t>ATO-CWC1 B</t>
  </si>
  <si>
    <t>ATO-CWC2</t>
  </si>
  <si>
    <t>ATO-CWC3</t>
  </si>
  <si>
    <t>ATO-CWC4</t>
  </si>
  <si>
    <t>ATO-CWC5</t>
  </si>
  <si>
    <t xml:space="preserve">ATO-CWC6  </t>
  </si>
  <si>
    <t xml:space="preserve">ATO-CWC9 </t>
  </si>
  <si>
    <t xml:space="preserve">ATO-CWC8 </t>
  </si>
  <si>
    <t>ATO-CWC7</t>
  </si>
  <si>
    <t>State Unemployment - Paid quarterly in arrears at the end</t>
  </si>
  <si>
    <t>Commercial Revenue</t>
  </si>
  <si>
    <t>Industrial Revenue</t>
  </si>
  <si>
    <t>Other Sales to Public Authority</t>
  </si>
  <si>
    <t>Revenue Lag Study - Daily Accts Receivable Balances for Mid-States</t>
  </si>
  <si>
    <t>CWC2</t>
  </si>
  <si>
    <t>CWC3</t>
  </si>
  <si>
    <t>CWC4</t>
  </si>
  <si>
    <t>CWC5</t>
  </si>
  <si>
    <t>CWC6</t>
  </si>
  <si>
    <t>CWC7</t>
  </si>
  <si>
    <t>CWC8</t>
  </si>
  <si>
    <t>CWC9</t>
  </si>
  <si>
    <t>Kentucky</t>
  </si>
  <si>
    <t>Test Year for Lead/Lag Study:</t>
  </si>
  <si>
    <t>Service Lag =</t>
  </si>
  <si>
    <t>Average Billing Lag (1) =</t>
  </si>
  <si>
    <t>Bank Lag (2) =</t>
  </si>
  <si>
    <t>Notes:</t>
  </si>
  <si>
    <t>Revenue Lag Study - Division 009 Kentucky Monthly Revenues</t>
  </si>
  <si>
    <t>(1)</t>
  </si>
  <si>
    <t>Pymt 5</t>
  </si>
  <si>
    <t>Pymt 6</t>
  </si>
  <si>
    <t>Pymt 7</t>
  </si>
  <si>
    <t>Pymt 8</t>
  </si>
  <si>
    <t>KENTUCKY ANNUAL BILLED REVENUE</t>
  </si>
  <si>
    <t>KENTUCKY AVERAGE DAILY REVENUE</t>
  </si>
  <si>
    <t>Public Service Commission</t>
  </si>
  <si>
    <t>Forecast Test Year:</t>
  </si>
  <si>
    <t>Base Period:</t>
  </si>
  <si>
    <t>State Income Tax</t>
  </si>
  <si>
    <t>State Income Taxes</t>
  </si>
  <si>
    <t>State Income Tax Payments:</t>
  </si>
  <si>
    <t>45 days after billed for state agencies and 30 days after</t>
  </si>
  <si>
    <t>billed for local agencies</t>
  </si>
  <si>
    <t>Interest Expense - STD</t>
  </si>
  <si>
    <t>Public Service Commission Assessment</t>
  </si>
  <si>
    <t>N/A</t>
  </si>
  <si>
    <t>Division Ad Valorem - Previous calendar year taxes are paid</t>
  </si>
  <si>
    <t>Shared Services Ad Valorem - Previous calendar year</t>
  </si>
  <si>
    <t>taxes are paid by January 31 of the current calendar year</t>
  </si>
  <si>
    <t>FICA - Paid on the day before each payday:</t>
  </si>
  <si>
    <t>end of the month following each quarter plus payroll service lag:</t>
  </si>
  <si>
    <t>Franchise and other pass through</t>
  </si>
  <si>
    <t>Franchise and Other Pass Through Taxes</t>
  </si>
  <si>
    <t>Taxes property and other</t>
  </si>
  <si>
    <t>Taxes Property and Other</t>
  </si>
  <si>
    <t>(1) Please see relied file labeled "CWC1 STD Days Outstanding.pdf (Page 9)" for calculation of average days held</t>
  </si>
  <si>
    <t>Cost of Service Reserve</t>
  </si>
  <si>
    <t>Pymt 9</t>
  </si>
  <si>
    <t>Pymt 10</t>
  </si>
  <si>
    <t>Pymt 11</t>
  </si>
  <si>
    <t>Pymt 12</t>
  </si>
  <si>
    <t>From WP 2-2</t>
  </si>
  <si>
    <t>(1) Please see the relied upon labeled "CWC2 Read to Billing Lag" for the billing lag</t>
  </si>
  <si>
    <t>Totals</t>
  </si>
  <si>
    <t xml:space="preserve">Allocated Taxes-Shared Services </t>
  </si>
  <si>
    <t xml:space="preserve">Allocated Taxes-Business Unit </t>
  </si>
  <si>
    <t>Unbilled Revenue</t>
  </si>
  <si>
    <t xml:space="preserve">     for the months of August 2023 and November 2023.</t>
  </si>
  <si>
    <t xml:space="preserve">(2) Company pay channels average one day between customer remittance and funds deposited to Company account. 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</si>
  <si>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</si>
  <si>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</si>
  <si>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</si>
  <si>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</si>
  <si>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</si>
  <si>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</si>
  <si>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</si>
  <si>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</si>
  <si>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</si>
  <si>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</si>
  <si>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</si>
  <si>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</si>
  <si>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Principle</t>
  </si>
  <si>
    <t>Atmos Energy Consolidated Balances</t>
  </si>
  <si>
    <t>Service Lead</t>
  </si>
  <si>
    <t>Payment Lead</t>
  </si>
  <si>
    <t>Check Float Lead</t>
  </si>
  <si>
    <t>Expense Lead</t>
  </si>
  <si>
    <t>Vendor Name</t>
  </si>
  <si>
    <t>Invoice Date</t>
  </si>
  <si>
    <t>Check Date</t>
  </si>
  <si>
    <t>Check Cleared Date</t>
  </si>
  <si>
    <t>Service Period Begin</t>
  </si>
  <si>
    <t>Service Period End</t>
  </si>
  <si>
    <t>Service Period Midpoint</t>
  </si>
  <si>
    <t>j</t>
  </si>
  <si>
    <t>Check Amount</t>
  </si>
  <si>
    <t>Division Amount</t>
  </si>
  <si>
    <t>Weighting Factor (%)</t>
  </si>
  <si>
    <t>Weighted Lead Days</t>
  </si>
  <si>
    <t>k</t>
  </si>
  <si>
    <t>m</t>
  </si>
  <si>
    <t>n</t>
  </si>
  <si>
    <t>p</t>
  </si>
  <si>
    <t>q</t>
  </si>
  <si>
    <t>Invoice Number</t>
  </si>
  <si>
    <t>3/8/24</t>
  </si>
  <si>
    <t>3/11/24</t>
  </si>
  <si>
    <t>3/12/24</t>
  </si>
  <si>
    <t>3/13/24-3/17/24</t>
  </si>
  <si>
    <t>3/18/24-3/24/24</t>
  </si>
  <si>
    <t>3/25/24-Present</t>
  </si>
  <si>
    <t>(b) / 366 days</t>
  </si>
  <si>
    <t>To CWC1, Line 2</t>
  </si>
  <si>
    <t>Lead</t>
  </si>
  <si>
    <t>% of Payroll Written Checks</t>
  </si>
  <si>
    <t>for 07/01 to 06/30</t>
  </si>
  <si>
    <t>Assessment are prepaid to the Commission annually on June 26</t>
  </si>
  <si>
    <t>(1) Please see prior case relied file labeled "CWC1 STD Days Outstanding.pdf (Page 9)" for calculation of average days held</t>
  </si>
  <si>
    <t>current fiscal year is due by May 28th</t>
  </si>
  <si>
    <t>07/01/2023</t>
  </si>
  <si>
    <t>07/02/2023</t>
  </si>
  <si>
    <t>07/03/2023</t>
  </si>
  <si>
    <t>07/04/2023</t>
  </si>
  <si>
    <t>07/05/2023</t>
  </si>
  <si>
    <t>07/06/2023</t>
  </si>
  <si>
    <t>07/07/2023</t>
  </si>
  <si>
    <t>07/08/2023</t>
  </si>
  <si>
    <t>07/09/2023</t>
  </si>
  <si>
    <t>07/10/2023</t>
  </si>
  <si>
    <t>07/11/2023</t>
  </si>
  <si>
    <t>07/12/2023</t>
  </si>
  <si>
    <t>07/13/2023</t>
  </si>
  <si>
    <t>07/14/2023</t>
  </si>
  <si>
    <t>07/15/2023</t>
  </si>
  <si>
    <t>07/16/2023</t>
  </si>
  <si>
    <t>07/17/2023</t>
  </si>
  <si>
    <t>07/18/2023</t>
  </si>
  <si>
    <t>07/19/2023</t>
  </si>
  <si>
    <t>07/20/2023</t>
  </si>
  <si>
    <t>07/21/2023</t>
  </si>
  <si>
    <t>07/22/2023</t>
  </si>
  <si>
    <t>07/23/2023</t>
  </si>
  <si>
    <t>07/24/2023</t>
  </si>
  <si>
    <t>07/25/2023</t>
  </si>
  <si>
    <t>07/26/2023</t>
  </si>
  <si>
    <t>07/27/2023</t>
  </si>
  <si>
    <t>07/28/2023</t>
  </si>
  <si>
    <t>07/29/2023</t>
  </si>
  <si>
    <t>07/30/2023</t>
  </si>
  <si>
    <t>07/31/2023</t>
  </si>
  <si>
    <t>08/01/2023</t>
  </si>
  <si>
    <t>08/02/2023</t>
  </si>
  <si>
    <t>08/03/2023</t>
  </si>
  <si>
    <t>08/04/2023</t>
  </si>
  <si>
    <t>08/05/2023</t>
  </si>
  <si>
    <t>08/06/2023</t>
  </si>
  <si>
    <t>08/07/2023</t>
  </si>
  <si>
    <t>08/08/2023</t>
  </si>
  <si>
    <t>08/09/2023</t>
  </si>
  <si>
    <t>08/10/2023</t>
  </si>
  <si>
    <t>08/11/2023</t>
  </si>
  <si>
    <t>08/12/2023</t>
  </si>
  <si>
    <t>08/13/2023</t>
  </si>
  <si>
    <t>08/14/2023</t>
  </si>
  <si>
    <t>08/15/2023</t>
  </si>
  <si>
    <t>08/16/2023</t>
  </si>
  <si>
    <t>08/17/2023</t>
  </si>
  <si>
    <t>08/18/2023</t>
  </si>
  <si>
    <t>08/19/2023</t>
  </si>
  <si>
    <t>08/20/2023</t>
  </si>
  <si>
    <t>08/21/2023</t>
  </si>
  <si>
    <t>08/22/2023</t>
  </si>
  <si>
    <t>08/23/2023</t>
  </si>
  <si>
    <t>08/24/2023</t>
  </si>
  <si>
    <t>08/25/2023</t>
  </si>
  <si>
    <t>08/26/2023</t>
  </si>
  <si>
    <t>08/27/2023</t>
  </si>
  <si>
    <t>08/28/2023</t>
  </si>
  <si>
    <t>08/29/2023</t>
  </si>
  <si>
    <t>08/30/2023</t>
  </si>
  <si>
    <t>08/31/2023</t>
  </si>
  <si>
    <t>09/01/2023</t>
  </si>
  <si>
    <t>09/02/2023</t>
  </si>
  <si>
    <t>09/03/2023</t>
  </si>
  <si>
    <t>09/04/2023</t>
  </si>
  <si>
    <t>09/05/2023</t>
  </si>
  <si>
    <t>09/06/2023</t>
  </si>
  <si>
    <t>09/07/2023</t>
  </si>
  <si>
    <t>09/08/2023</t>
  </si>
  <si>
    <t>09/09/2023</t>
  </si>
  <si>
    <t>09/10/2023</t>
  </si>
  <si>
    <t>09/11/2023</t>
  </si>
  <si>
    <t>09/12/2023</t>
  </si>
  <si>
    <t>09/13/2023</t>
  </si>
  <si>
    <t>09/14/2023</t>
  </si>
  <si>
    <t>09/15/2023</t>
  </si>
  <si>
    <t>09/16/2023</t>
  </si>
  <si>
    <t>09/17/2023</t>
  </si>
  <si>
    <t>09/18/2023</t>
  </si>
  <si>
    <t>09/19/2023</t>
  </si>
  <si>
    <t>09/20/2023</t>
  </si>
  <si>
    <t>09/21/2023</t>
  </si>
  <si>
    <t>09/22/2023</t>
  </si>
  <si>
    <t>09/23/2023</t>
  </si>
  <si>
    <t>09/24/2023</t>
  </si>
  <si>
    <t>09/25/2023</t>
  </si>
  <si>
    <t>09/26/2023</t>
  </si>
  <si>
    <t>09/27/2023</t>
  </si>
  <si>
    <t>09/28/2023</t>
  </si>
  <si>
    <t>09/29/2023</t>
  </si>
  <si>
    <t>09/30/2023</t>
  </si>
  <si>
    <t>10/01/2023</t>
  </si>
  <si>
    <t>10/02/2023</t>
  </si>
  <si>
    <t>10/03/2023</t>
  </si>
  <si>
    <t>10/04/2023</t>
  </si>
  <si>
    <t>10/05/2023</t>
  </si>
  <si>
    <t>10/06/2023</t>
  </si>
  <si>
    <t>10/07/2023</t>
  </si>
  <si>
    <t>10/08/2023</t>
  </si>
  <si>
    <t>10/09/2023</t>
  </si>
  <si>
    <t>10/10/2023</t>
  </si>
  <si>
    <t>10/11/2023</t>
  </si>
  <si>
    <t>10/12/2023</t>
  </si>
  <si>
    <t>10/13/2023</t>
  </si>
  <si>
    <t>10/14/2023</t>
  </si>
  <si>
    <t>10/15/2023</t>
  </si>
  <si>
    <t>10/16/2023</t>
  </si>
  <si>
    <t>10/17/2023</t>
  </si>
  <si>
    <t>10/18/2023</t>
  </si>
  <si>
    <t>10/19/2023</t>
  </si>
  <si>
    <t>10/20/2023</t>
  </si>
  <si>
    <t>10/21/2023</t>
  </si>
  <si>
    <t>10/22/2023</t>
  </si>
  <si>
    <t>10/24/2023</t>
  </si>
  <si>
    <t>10/25/2023</t>
  </si>
  <si>
    <t>10/26/2023</t>
  </si>
  <si>
    <t>10/27/2023</t>
  </si>
  <si>
    <t>10/28/2023</t>
  </si>
  <si>
    <t>10/29/2023</t>
  </si>
  <si>
    <t>10/30/2023</t>
  </si>
  <si>
    <t>10/31/2023</t>
  </si>
  <si>
    <t>11/01/2023</t>
  </si>
  <si>
    <t>11/02/2023</t>
  </si>
  <si>
    <t>11/03/2023</t>
  </si>
  <si>
    <t>11/04/2023</t>
  </si>
  <si>
    <t>11/05/2023</t>
  </si>
  <si>
    <t>11/06/2023</t>
  </si>
  <si>
    <t>11/07/2023</t>
  </si>
  <si>
    <t>11/08/2023</t>
  </si>
  <si>
    <t>11/09/2023</t>
  </si>
  <si>
    <t>11/10/2023</t>
  </si>
  <si>
    <t>11/11/2023</t>
  </si>
  <si>
    <t>11/12/2023</t>
  </si>
  <si>
    <t>11/13/2023</t>
  </si>
  <si>
    <t>11/14/2023</t>
  </si>
  <si>
    <t>11/15/2023</t>
  </si>
  <si>
    <t>11/16/2023</t>
  </si>
  <si>
    <t>11/17/2023</t>
  </si>
  <si>
    <t>11/18/2023</t>
  </si>
  <si>
    <t>11/19/2023</t>
  </si>
  <si>
    <t>11/20/2023</t>
  </si>
  <si>
    <t>11/21/2023</t>
  </si>
  <si>
    <t>11/22/2023</t>
  </si>
  <si>
    <t>11/23/2023</t>
  </si>
  <si>
    <t>11/24/2023</t>
  </si>
  <si>
    <t>11/25/2023</t>
  </si>
  <si>
    <t>11/26/2023</t>
  </si>
  <si>
    <t>11/27/2023</t>
  </si>
  <si>
    <t>11/28/2023</t>
  </si>
  <si>
    <t>11/29/2023</t>
  </si>
  <si>
    <t>11/30/2023</t>
  </si>
  <si>
    <t>12/01/2023</t>
  </si>
  <si>
    <t>12/02/2023</t>
  </si>
  <si>
    <t>12/03/2023</t>
  </si>
  <si>
    <t>12/04/2023</t>
  </si>
  <si>
    <t>12/05/2023</t>
  </si>
  <si>
    <t>12/06/2023</t>
  </si>
  <si>
    <t>12/07/2023</t>
  </si>
  <si>
    <t>12/08/2023</t>
  </si>
  <si>
    <t>12/09/2023</t>
  </si>
  <si>
    <t>12/10/2023</t>
  </si>
  <si>
    <t>12/11/2023</t>
  </si>
  <si>
    <t>12/12/2023</t>
  </si>
  <si>
    <t>12/13/2023</t>
  </si>
  <si>
    <t>12/14/2023</t>
  </si>
  <si>
    <t>12/15/2023</t>
  </si>
  <si>
    <t>12/16/2023</t>
  </si>
  <si>
    <t>12/17/2023</t>
  </si>
  <si>
    <t>12/18/2023</t>
  </si>
  <si>
    <t>12/19/2023</t>
  </si>
  <si>
    <t>12/20/2023</t>
  </si>
  <si>
    <t>12/21/2023</t>
  </si>
  <si>
    <t>12/22/2023</t>
  </si>
  <si>
    <t>12/23/2023</t>
  </si>
  <si>
    <t>12/24/2023</t>
  </si>
  <si>
    <t>12/25/2023</t>
  </si>
  <si>
    <t>12/26/2023</t>
  </si>
  <si>
    <t>12/27/2023</t>
  </si>
  <si>
    <t>12/28/2023</t>
  </si>
  <si>
    <t>12/29/2023</t>
  </si>
  <si>
    <t>12/30/2023</t>
  </si>
  <si>
    <t>12/31/2023</t>
  </si>
  <si>
    <t>01/01/2024</t>
  </si>
  <si>
    <t>01/02/2024</t>
  </si>
  <si>
    <t>01/03/2024</t>
  </si>
  <si>
    <t>01/04/2024</t>
  </si>
  <si>
    <t>01/05/2024</t>
  </si>
  <si>
    <t>01/06/2024</t>
  </si>
  <si>
    <t>01/07/2024</t>
  </si>
  <si>
    <t>01/08/2024</t>
  </si>
  <si>
    <t>01/09/2024</t>
  </si>
  <si>
    <t>01/10/2024</t>
  </si>
  <si>
    <t>01/11/2024</t>
  </si>
  <si>
    <t>01/12/2024</t>
  </si>
  <si>
    <t>01/13/2024</t>
  </si>
  <si>
    <t>01/14/2024</t>
  </si>
  <si>
    <t>01/15/2024</t>
  </si>
  <si>
    <t>01/16/2024</t>
  </si>
  <si>
    <t>01/17/2024</t>
  </si>
  <si>
    <t>01/18/2024</t>
  </si>
  <si>
    <t>01/19/2024</t>
  </si>
  <si>
    <t>01/20/2024</t>
  </si>
  <si>
    <t>01/21/2024</t>
  </si>
  <si>
    <t>01/22/2024</t>
  </si>
  <si>
    <t>01/23/2024</t>
  </si>
  <si>
    <t>01/24/2024</t>
  </si>
  <si>
    <t>01/25/2024</t>
  </si>
  <si>
    <t>01/26/2024</t>
  </si>
  <si>
    <t>01/27/2024</t>
  </si>
  <si>
    <t>01/28/2024</t>
  </si>
  <si>
    <t>01/29/2024</t>
  </si>
  <si>
    <t>01/30/2024</t>
  </si>
  <si>
    <t>01/31/2024</t>
  </si>
  <si>
    <t>02/01/2024</t>
  </si>
  <si>
    <t>02/02/2024</t>
  </si>
  <si>
    <t>02/03/2024</t>
  </si>
  <si>
    <t>02/04/2024</t>
  </si>
  <si>
    <t>02/05/2024</t>
  </si>
  <si>
    <t>02/06/2024</t>
  </si>
  <si>
    <t>02/07/2024</t>
  </si>
  <si>
    <t>02/08/2024</t>
  </si>
  <si>
    <t>02/09/2024</t>
  </si>
  <si>
    <t>02/10/2024</t>
  </si>
  <si>
    <t>02/11/2024</t>
  </si>
  <si>
    <t>02/12/2024</t>
  </si>
  <si>
    <t>02/13/2024</t>
  </si>
  <si>
    <t>02/14/2024</t>
  </si>
  <si>
    <t>02/15/2024</t>
  </si>
  <si>
    <t>02/16/2024</t>
  </si>
  <si>
    <t>02/17/2024</t>
  </si>
  <si>
    <t>02/18/2024</t>
  </si>
  <si>
    <t>02/19/2024</t>
  </si>
  <si>
    <t>02/20/2024</t>
  </si>
  <si>
    <t>02/21/2024</t>
  </si>
  <si>
    <t>02/22/2024</t>
  </si>
  <si>
    <t>02/23/2024</t>
  </si>
  <si>
    <t>02/24/2024</t>
  </si>
  <si>
    <t>02/25/2024</t>
  </si>
  <si>
    <t>02/26/2024</t>
  </si>
  <si>
    <t>02/27/2024</t>
  </si>
  <si>
    <t>02/28/2024</t>
  </si>
  <si>
    <t>02/29/2024</t>
  </si>
  <si>
    <t>03/01/2024</t>
  </si>
  <si>
    <t>03/02/2024</t>
  </si>
  <si>
    <t>03/03/2024</t>
  </si>
  <si>
    <t>03/04/2024</t>
  </si>
  <si>
    <t>03/05/2024</t>
  </si>
  <si>
    <t>03/06/2024</t>
  </si>
  <si>
    <t>03/07/2024</t>
  </si>
  <si>
    <t>03/08/2024</t>
  </si>
  <si>
    <t>03/09/2024</t>
  </si>
  <si>
    <t>03/10/2024</t>
  </si>
  <si>
    <t>03/11/2024</t>
  </si>
  <si>
    <t>03/12/2024</t>
  </si>
  <si>
    <t>03/13/2024</t>
  </si>
  <si>
    <t>03/14/2024</t>
  </si>
  <si>
    <t>03/15/2024</t>
  </si>
  <si>
    <t>03/16/2024</t>
  </si>
  <si>
    <t>03/17/2024</t>
  </si>
  <si>
    <t>03/18/2024</t>
  </si>
  <si>
    <t>03/19/2024</t>
  </si>
  <si>
    <t>03/20/2024</t>
  </si>
  <si>
    <t>03/21/2024</t>
  </si>
  <si>
    <t>03/22/2024</t>
  </si>
  <si>
    <t>03/23/2024</t>
  </si>
  <si>
    <t>03/24/2024</t>
  </si>
  <si>
    <t>03/25/2024</t>
  </si>
  <si>
    <t>03/26/2024</t>
  </si>
  <si>
    <t>03/27/2024</t>
  </si>
  <si>
    <t>03/28/2024</t>
  </si>
  <si>
    <t>03/29/2024</t>
  </si>
  <si>
    <t>03/30/2024</t>
  </si>
  <si>
    <t>03/31/2024</t>
  </si>
  <si>
    <t>04/01/2024</t>
  </si>
  <si>
    <t>04/02/2024</t>
  </si>
  <si>
    <t>04/03/2024</t>
  </si>
  <si>
    <t>04/04/2024</t>
  </si>
  <si>
    <t>04/05/2024</t>
  </si>
  <si>
    <t>04/06/2024</t>
  </si>
  <si>
    <t>04/07/2024</t>
  </si>
  <si>
    <t>04/08/2024</t>
  </si>
  <si>
    <t>04/09/2024</t>
  </si>
  <si>
    <t>04/10/2024</t>
  </si>
  <si>
    <t>04/11/2024</t>
  </si>
  <si>
    <t>04/12/2024</t>
  </si>
  <si>
    <t>04/13/2024</t>
  </si>
  <si>
    <t>04/14/2024</t>
  </si>
  <si>
    <t>04/15/2024</t>
  </si>
  <si>
    <t>04/16/2024</t>
  </si>
  <si>
    <t>04/17/2024</t>
  </si>
  <si>
    <t>04/18/2024</t>
  </si>
  <si>
    <t>04/19/2024</t>
  </si>
  <si>
    <t>04/20/2024</t>
  </si>
  <si>
    <t>04/21/2024</t>
  </si>
  <si>
    <t>04/22/2024</t>
  </si>
  <si>
    <t>04/23/2024</t>
  </si>
  <si>
    <t>04/24/2024</t>
  </si>
  <si>
    <t>04/25/2024</t>
  </si>
  <si>
    <t>04/26/2024</t>
  </si>
  <si>
    <t>04/27/2024</t>
  </si>
  <si>
    <t>04/28/2024</t>
  </si>
  <si>
    <t>04/29/2024</t>
  </si>
  <si>
    <t>04/30/2024</t>
  </si>
  <si>
    <t>05/01/2024</t>
  </si>
  <si>
    <t>05/02/2024</t>
  </si>
  <si>
    <t>05/03/2024</t>
  </si>
  <si>
    <t>05/04/2024</t>
  </si>
  <si>
    <t>05/05/2024</t>
  </si>
  <si>
    <t>05/06/2024</t>
  </si>
  <si>
    <t>05/07/2024</t>
  </si>
  <si>
    <t>05/08/2024</t>
  </si>
  <si>
    <t>05/09/2024</t>
  </si>
  <si>
    <t>05/10/2024</t>
  </si>
  <si>
    <t>05/11/2024</t>
  </si>
  <si>
    <t>05/12/2024</t>
  </si>
  <si>
    <t>05/13/2024</t>
  </si>
  <si>
    <t>05/14/2024</t>
  </si>
  <si>
    <t>05/15/2024</t>
  </si>
  <si>
    <t>05/16/2024</t>
  </si>
  <si>
    <t>05/17/2024</t>
  </si>
  <si>
    <t>05/18/2024</t>
  </si>
  <si>
    <t>05/19/2024</t>
  </si>
  <si>
    <t>05/20/2024</t>
  </si>
  <si>
    <t>05/21/2024</t>
  </si>
  <si>
    <t>05/22/2024</t>
  </si>
  <si>
    <t>05/23/2024</t>
  </si>
  <si>
    <t>05/24/2024</t>
  </si>
  <si>
    <t>05/25/2024</t>
  </si>
  <si>
    <t>05/26/2024</t>
  </si>
  <si>
    <t>05/27/2024</t>
  </si>
  <si>
    <t>05/28/2024</t>
  </si>
  <si>
    <t>05/29/2024</t>
  </si>
  <si>
    <t>05/30/2024</t>
  </si>
  <si>
    <t>05/31/2024</t>
  </si>
  <si>
    <t>06/01/2024</t>
  </si>
  <si>
    <t>06/02/2024</t>
  </si>
  <si>
    <t>06/03/2024</t>
  </si>
  <si>
    <t>06/04/2024</t>
  </si>
  <si>
    <t>06/05/2024</t>
  </si>
  <si>
    <t>06/06/2024</t>
  </si>
  <si>
    <t>06/07/2024</t>
  </si>
  <si>
    <t>06/08/2024</t>
  </si>
  <si>
    <t>06/09/2024</t>
  </si>
  <si>
    <t>06/10/2024</t>
  </si>
  <si>
    <t>06/11/2024</t>
  </si>
  <si>
    <t>06/12/2024</t>
  </si>
  <si>
    <t>06/13/2024</t>
  </si>
  <si>
    <t>06/14/2024</t>
  </si>
  <si>
    <t>06/15/2024</t>
  </si>
  <si>
    <t>06/16/2024</t>
  </si>
  <si>
    <t>06/17/2024</t>
  </si>
  <si>
    <t>06/18/2024</t>
  </si>
  <si>
    <t>06/19/2024</t>
  </si>
  <si>
    <t>06/20/2024</t>
  </si>
  <si>
    <t>06/21/2024</t>
  </si>
  <si>
    <t>06/22/2024</t>
  </si>
  <si>
    <t>06/23/2024</t>
  </si>
  <si>
    <t>06/24/2024</t>
  </si>
  <si>
    <t>06/25/2024</t>
  </si>
  <si>
    <t>06/26/2024</t>
  </si>
  <si>
    <t>06/27/2024</t>
  </si>
  <si>
    <t>06/28/2024</t>
  </si>
  <si>
    <t>06/29/2024</t>
  </si>
  <si>
    <t>06/30/2024</t>
  </si>
  <si>
    <t>Antle Operating Company Inc.</t>
  </si>
  <si>
    <t>Midwestern Gas Transmission</t>
  </si>
  <si>
    <t>Orbit Gas Transmission Inc</t>
  </si>
  <si>
    <t>Symmetry Energy Solutions, LLC</t>
  </si>
  <si>
    <t>Tennessee Gas Pipeline Co</t>
  </si>
  <si>
    <t>Texas Gas Transmission Corporation</t>
  </si>
  <si>
    <t>Trunkline Gas Company, LLC</t>
  </si>
  <si>
    <t>United Energy Trading, LLC</t>
  </si>
  <si>
    <t>Mercuria Energy America, LLC</t>
  </si>
  <si>
    <t>NOTE:  Based upon pay period paid March 8 2024.  Information provided by Treasury.</t>
  </si>
  <si>
    <t>ACTION PEST CONTROL INC</t>
  </si>
  <si>
    <t>CHECK</t>
  </si>
  <si>
    <t>AIRGAS USA LLC</t>
  </si>
  <si>
    <t>ACCT</t>
  </si>
  <si>
    <t>Direct Deposit</t>
  </si>
  <si>
    <t>AMERICAN WELDING AND GAS INC</t>
  </si>
  <si>
    <t>APEX TITAN INC</t>
  </si>
  <si>
    <t>AT&amp;T</t>
  </si>
  <si>
    <t>1717877553 3650923-090123</t>
  </si>
  <si>
    <t>AT&amp;T MOBILITY</t>
  </si>
  <si>
    <t>2872957851920424-041224</t>
  </si>
  <si>
    <t>ATMOS ENERGY CORPORATION</t>
  </si>
  <si>
    <t>3005632405_20231208</t>
  </si>
  <si>
    <t>3005632076_20230908</t>
  </si>
  <si>
    <t>4013706168_20240110</t>
  </si>
  <si>
    <t>4013706168_20240410</t>
  </si>
  <si>
    <t>3006775330_20230908</t>
  </si>
  <si>
    <t>3009222734_20230908</t>
  </si>
  <si>
    <t>3005632405_20231110</t>
  </si>
  <si>
    <t>3005632405_20230710</t>
  </si>
  <si>
    <t>Ausenbaugh, Aaron</t>
  </si>
  <si>
    <t>WEXP-00074824</t>
  </si>
  <si>
    <t>AUTOMOTIVE RENTALS INC</t>
  </si>
  <si>
    <t>ARI - 01-APR-2024 - LEASE</t>
  </si>
  <si>
    <t>AUTOMOTIVE RESOURCES INTERNATIONAL</t>
  </si>
  <si>
    <t>ARI - 10-JUL-2023</t>
  </si>
  <si>
    <t>BAKER ELECTRIC INC</t>
  </si>
  <si>
    <t>BANK OF AMERICA</t>
  </si>
  <si>
    <t>050_JEREMY.HUSS_JUN-24_PCARD</t>
  </si>
  <si>
    <t>EFT</t>
  </si>
  <si>
    <t>050_ROXANNE.RUBLE_APR-24_PCARD</t>
  </si>
  <si>
    <t>050_JEREMY.HUSS_FEB-24_PCARD</t>
  </si>
  <si>
    <t>050_MATT.HOWARD_MAY-24_PCARD</t>
  </si>
  <si>
    <t>050_DANIEL.MAYFIELD_SEP-23_PCARD</t>
  </si>
  <si>
    <t>050_BILL.STANLEY_MAR-24_PCARD</t>
  </si>
  <si>
    <t>050_JIMMY.SMITH_SEP-23_PCARD</t>
  </si>
  <si>
    <t>050_LANA.IGLEHEART_JAN-24_PCARD</t>
  </si>
  <si>
    <t>050_DUSTIN.HARRIS_OCT-23_PCARD</t>
  </si>
  <si>
    <t>050_ADRIAN.RODRIGUEZ_SEP-23_PCARD</t>
  </si>
  <si>
    <t>050_JACOB.MOORE0_DEC-23_PCARD</t>
  </si>
  <si>
    <t>050_DON.BONNER_JUL-23_PCARD</t>
  </si>
  <si>
    <t>050_CHRISTOPHER.CONRAD_JAN-24_PCARD</t>
  </si>
  <si>
    <t>050_TIM.MARTIN_NOV-23_PCARD</t>
  </si>
  <si>
    <t>050_ANDREW.MCDOWELL_FEB-24_PCARD</t>
  </si>
  <si>
    <t>050_PAMELA.PLEASANT_FEB-24_PCARD</t>
  </si>
  <si>
    <t>050_MATT.PHELPS_AUG-23_PCARD</t>
  </si>
  <si>
    <t>050_JAKE.BASHAM_AUG-23_PCARD</t>
  </si>
  <si>
    <t>050_STEVEN.JOHNS_APR-24_PCARD</t>
  </si>
  <si>
    <t>050_GAVIN.WILLIAMS_JAN-24_PCARD</t>
  </si>
  <si>
    <t>050_FRANK.BARTLETT_MAR-24_PCARD</t>
  </si>
  <si>
    <t>050_ED.TUCKER_FEB-24_PCARD</t>
  </si>
  <si>
    <t>050_WALTER.MCCOLLUM_FEB-24_PCARD</t>
  </si>
  <si>
    <t>050_CHRISTOPHER.FAULK_NOV-23_PCARD</t>
  </si>
  <si>
    <t>050_JEFF.LAY_SEP-23_PCARD</t>
  </si>
  <si>
    <t>050_GARY.HAMILTON_AUG-23_PCARD</t>
  </si>
  <si>
    <t>050_KEVIN.MERIDETH_OCT-23_PCARD</t>
  </si>
  <si>
    <t>050_JAMES.CRAIG_JUN-24_PCARD</t>
  </si>
  <si>
    <t>050_BRANDON.GRACE_SEP-23_PCARD</t>
  </si>
  <si>
    <t>050_CLAYTON.KIRBY_SEP-23_PCARD</t>
  </si>
  <si>
    <t>050_KELLY.KEENAN_NOV-23_PCARD</t>
  </si>
  <si>
    <t>050_DANNY.HUGHES_MAY-24_PCARD</t>
  </si>
  <si>
    <t>050_BJ.PRICE_MAR-24_PCARD</t>
  </si>
  <si>
    <t>050_JACK.SCOTT_DEC-23_PCARD</t>
  </si>
  <si>
    <t>050_CODY.VANDIVER_OCT-23_PCARD</t>
  </si>
  <si>
    <t>050_ROBERT.MURPHY_MAR-24_PCARD</t>
  </si>
  <si>
    <t>050_WALTER.MCCOLLUM_APR-24_PCARD</t>
  </si>
  <si>
    <t>050_JOSEPH.KNIGHT_DEC-23_PCARD</t>
  </si>
  <si>
    <t>050_JAMES.DANT_APR-24_PCARD</t>
  </si>
  <si>
    <t>050_CADE.WALDROP_NOV-23_PCARD</t>
  </si>
  <si>
    <t>050_CHRISTOPHER.CONRAD_NOV-23_PCARD</t>
  </si>
  <si>
    <t>050_ROBERT.MURPHY_AUG-23_PCARD</t>
  </si>
  <si>
    <t>050_BRADLEY.CORNELIUS_MAY-24_PCARD</t>
  </si>
  <si>
    <t>050_BILL.STANLEY_APR-24_PCARD</t>
  </si>
  <si>
    <t>050_CHRISTOPHER.CONRAD_FEB-24_PCARD</t>
  </si>
  <si>
    <t>050_MATT.PHELPS_FEB-24_PCARD</t>
  </si>
  <si>
    <t>050_DAMION.WHEELER_NOV-23_PCARD</t>
  </si>
  <si>
    <t>050_GARY.PORTER_DEC-23_PCARD</t>
  </si>
  <si>
    <t>050_MATTHEW.MCGREGOR_SEP-23_PCARD</t>
  </si>
  <si>
    <t>050_CONNOR.BUCHANAN_JAN-24_PCARD</t>
  </si>
  <si>
    <t>050_JACKSON.SANDERSON_JAN-24_PCARD</t>
  </si>
  <si>
    <t>050_BRADLEY.KELTNER_JAN-24_PCARD</t>
  </si>
  <si>
    <t>050_GAVIN.WILLIAMS_FEB-24_PCARD</t>
  </si>
  <si>
    <t>050_KENNY.BASHAM_JUL-23_PCARD</t>
  </si>
  <si>
    <t>050_ROGER.PEAK_APR-24_PCARD</t>
  </si>
  <si>
    <t>050_FRANK.HODSKINS_APR-24_PCARD</t>
  </si>
  <si>
    <t>050_PAUL.TOWERY_MAY-24_PCARD</t>
  </si>
  <si>
    <t>050_JARED.HILL_MAR-24_PCARD</t>
  </si>
  <si>
    <t>050_ZACHARY.BROWN_NOV-23_PCARD</t>
  </si>
  <si>
    <t>050_NATE.YORK_MAY-24_PCARD</t>
  </si>
  <si>
    <t>050_ERIC.MOHR_SEP-23_PCARD</t>
  </si>
  <si>
    <t>050_LARRY.MAYES_FEB-24_PCARD</t>
  </si>
  <si>
    <t>050_FLOYD.HONEYCUT_MAR-24_PCARD</t>
  </si>
  <si>
    <t>050_ELLIOT.RIDDLE_JUL-23_PCARD</t>
  </si>
  <si>
    <t>050_RANDY.HARDIN_JAN-24_PCARD</t>
  </si>
  <si>
    <t>050_BRITTANY.CHATMAN_NOV-23_PCARD</t>
  </si>
  <si>
    <t>050_JAMES.CRAIG_APR-24_PCARD</t>
  </si>
  <si>
    <t>050_GAVIN.WILLIAMS_JUN-24_PCARD</t>
  </si>
  <si>
    <t>050_CODY.PATE_JUL-23_PCARD</t>
  </si>
  <si>
    <t>050_BILL.STANLEY_FEB-24_PCARD</t>
  </si>
  <si>
    <t>050_CODY.CLARK_MAY-24_PCARD</t>
  </si>
  <si>
    <t>050_RODNEY.MULLINS_SEP-23_PCARD</t>
  </si>
  <si>
    <t>050_KENNETH.BICKETT_NOV-23_PCARD</t>
  </si>
  <si>
    <t>050_LISA.WHITNEY_JUL-23_PCARD</t>
  </si>
  <si>
    <t>050_JOSEPH.KNIGHT_OCT-23_PCARD</t>
  </si>
  <si>
    <t>050_MIKE.LEWIS_DEC-23_PCARD</t>
  </si>
  <si>
    <t>050_CHRIS.MEDLEY_AUG-23_PCARD</t>
  </si>
  <si>
    <t>050_CHRIS.SHERFEY_JUL-23_PCARD</t>
  </si>
  <si>
    <t>050_BRITTANY.CHATMAN_APR-24_PCARD</t>
  </si>
  <si>
    <t>050_ROXANNE.RUBLE_NOV-23_PCARD</t>
  </si>
  <si>
    <t>050_BRITTANY.CHATMAN_SEP-23_PCARD</t>
  </si>
  <si>
    <t>050_PATRICK.BROWN_MAR-24_PCARD</t>
  </si>
  <si>
    <t>050_ROGER.PEAK_AUG-23_PCARD</t>
  </si>
  <si>
    <t>BARRET FISHER CO INC</t>
  </si>
  <si>
    <t>BAYOU GAS ODORANTS COMPANY</t>
  </si>
  <si>
    <t>BENNINGFIELD RANDY</t>
  </si>
  <si>
    <t>BLUE GRASS ENERGY</t>
  </si>
  <si>
    <t>9375001_050924</t>
  </si>
  <si>
    <t>BLUEGRASS NEWSMEDIA LLC</t>
  </si>
  <si>
    <t>BOB LILLY PROFESSIONAL PROMO</t>
  </si>
  <si>
    <t>Bohlen, Silas A (Silas)</t>
  </si>
  <si>
    <t>WEXP-00070728</t>
  </si>
  <si>
    <t>BOWLING GREEN MUNICIPAL UTILITIES</t>
  </si>
  <si>
    <t>272773_122123</t>
  </si>
  <si>
    <t>240361_042924</t>
  </si>
  <si>
    <t>240361_122223</t>
  </si>
  <si>
    <t>BRAD BROWN LAWN AND LANDSCAPE</t>
  </si>
  <si>
    <t>Brown, Zachary (Zachary)</t>
  </si>
  <si>
    <t>WEXP-00074721</t>
  </si>
  <si>
    <t>CAMPBELLSVILLE WATER AND SEWER</t>
  </si>
  <si>
    <t>002100145001_070623</t>
  </si>
  <si>
    <t>002100145001_060424</t>
  </si>
  <si>
    <t>CHAMBER OF COMMERCE</t>
  </si>
  <si>
    <t>CINTAS CORPORATION</t>
  </si>
  <si>
    <t>CITY OF DANVILLE KY</t>
  </si>
  <si>
    <t>017486001_062524</t>
  </si>
  <si>
    <t>CLARK BEVERAGE GROUP INC</t>
  </si>
  <si>
    <t>Clark, Joseph G (Joe)</t>
  </si>
  <si>
    <t>WEXP-00078415</t>
  </si>
  <si>
    <t>Coakley, Kevin M (Kevin)</t>
  </si>
  <si>
    <t>WEXP-00086577</t>
  </si>
  <si>
    <t>Collins, Taylor</t>
  </si>
  <si>
    <t>WEXP-00081787</t>
  </si>
  <si>
    <t>COMCAST CABLE</t>
  </si>
  <si>
    <t>8529 30 011 0059697122301-012324</t>
  </si>
  <si>
    <t>8396 51 408 0263846062301-072223</t>
  </si>
  <si>
    <t>8529 30 011 0059697092301-102323</t>
  </si>
  <si>
    <t>8396 51 408 0263846052401-062224</t>
  </si>
  <si>
    <t>CONSOLIDATED PAPER GROUP</t>
  </si>
  <si>
    <t>Cooper, Joshua  (Josh)</t>
  </si>
  <si>
    <t>WEXP-00073592</t>
  </si>
  <si>
    <t>CORPORATE COMMUNICATIONS CENTER INC</t>
  </si>
  <si>
    <t>RC231173</t>
  </si>
  <si>
    <t>CSX TRANSPORTATION INC</t>
  </si>
  <si>
    <t>DAUGHERTY TRUCKING SERVICE INC</t>
  </si>
  <si>
    <t>DEERE CREDIT INC</t>
  </si>
  <si>
    <t>JD Lease - 15-FEB-24</t>
  </si>
  <si>
    <t>JD Lease - 15-MAY-24</t>
  </si>
  <si>
    <t>Dunn, Jacob I (Jacob)</t>
  </si>
  <si>
    <t>WEXP-00087429</t>
  </si>
  <si>
    <t>EGW UTILITIES INC</t>
  </si>
  <si>
    <t>ELEMENT FLEET</t>
  </si>
  <si>
    <t>GE-Fleet - 05-JAN-24</t>
  </si>
  <si>
    <t>ENGLISH LUCAS PRIEST AND OWSLEY</t>
  </si>
  <si>
    <t>FARMERS RURAL ELECTRIC COOPERATIVE CORPORATION</t>
  </si>
  <si>
    <t>87308003_112823</t>
  </si>
  <si>
    <t>Ferrell, Zachariah J (Zac)</t>
  </si>
  <si>
    <t>WEXP-00081441</t>
  </si>
  <si>
    <t>FIRST-LINE FIRE EXTINGUISHER CO</t>
  </si>
  <si>
    <t>FP FINANCE PROGRAM</t>
  </si>
  <si>
    <t>FRANKLIN ELECTRIC PLANT BOARD</t>
  </si>
  <si>
    <t>204379104497_030624</t>
  </si>
  <si>
    <t>202392102472_051624</t>
  </si>
  <si>
    <t>204142104255_060524</t>
  </si>
  <si>
    <t>201949102017_061924</t>
  </si>
  <si>
    <t>203425103522_092023</t>
  </si>
  <si>
    <t>GAS TECHNOLOGY INSTITUTE</t>
  </si>
  <si>
    <t>GLASGOW ELECTRIC PLANT BOARD</t>
  </si>
  <si>
    <t>207198106176_012224</t>
  </si>
  <si>
    <t>Graham, Cody</t>
  </si>
  <si>
    <t>WEXP-00070619</t>
  </si>
  <si>
    <t>HARMONS TREE SERVICE</t>
  </si>
  <si>
    <t>Harrell, Joshua (Lane)</t>
  </si>
  <si>
    <t>WEXP-00079983</t>
  </si>
  <si>
    <t>HAWKEYE HELICOPTER LLC</t>
  </si>
  <si>
    <t>32327FW</t>
  </si>
  <si>
    <t>HEATH CONSULTANTS INC</t>
  </si>
  <si>
    <t>Hodskins, Frank G (Frank)</t>
  </si>
  <si>
    <t>WEXP-00068181</t>
  </si>
  <si>
    <t>HOPKINSVILLE ELECTRIC SYSTEM</t>
  </si>
  <si>
    <t>216843102414_050724</t>
  </si>
  <si>
    <t>202348102414_021924</t>
  </si>
  <si>
    <t>204215102414_010924</t>
  </si>
  <si>
    <t>216231062301-072823</t>
  </si>
  <si>
    <t>2162310224-022824</t>
  </si>
  <si>
    <t>Howard, Dylan (Dylan)</t>
  </si>
  <si>
    <t>WEXP-00080689</t>
  </si>
  <si>
    <t>Hudson, John W (John)</t>
  </si>
  <si>
    <t>WEXP-00078236</t>
  </si>
  <si>
    <t>ICE MACHINES INCORPORATED</t>
  </si>
  <si>
    <t>INDUSTRIAL TRAINING SERVICES INC</t>
  </si>
  <si>
    <t>INFOSOURCE</t>
  </si>
  <si>
    <t>INNOVATIVE PUBLISHING</t>
  </si>
  <si>
    <t>2024CI5686</t>
  </si>
  <si>
    <t>INTER COUNTY ENERGY</t>
  </si>
  <si>
    <t>11314006_080923</t>
  </si>
  <si>
    <t>10533003_103123</t>
  </si>
  <si>
    <t>10533003_082923</t>
  </si>
  <si>
    <t>10533002_050624</t>
  </si>
  <si>
    <t>10533002_060324</t>
  </si>
  <si>
    <t>11314004_101723</t>
  </si>
  <si>
    <t>11314004_103123</t>
  </si>
  <si>
    <t>JACKSON PURCHASE ENERGY CORPORATION</t>
  </si>
  <si>
    <t>700400_112123</t>
  </si>
  <si>
    <t>4393470_062424</t>
  </si>
  <si>
    <t>JACKSONS LAWN CARE</t>
  </si>
  <si>
    <t>JENNINGS AND LITTLE EXCAVATING</t>
  </si>
  <si>
    <t>JH GAS STORAGE CONSULTING LLC</t>
  </si>
  <si>
    <t>2023ATMOS124</t>
  </si>
  <si>
    <t>KELLYS KLEENING</t>
  </si>
  <si>
    <t>KENERGY CORP</t>
  </si>
  <si>
    <t>1740200100_040824</t>
  </si>
  <si>
    <t>2541801401_012524</t>
  </si>
  <si>
    <t>1940100300_072423</t>
  </si>
  <si>
    <t>1742100300_121123</t>
  </si>
  <si>
    <t>1731400500_040824</t>
  </si>
  <si>
    <t>0752400200_062624</t>
  </si>
  <si>
    <t>1731400500_081023</t>
  </si>
  <si>
    <t>1731400500_051424</t>
  </si>
  <si>
    <t>1091500800_061724</t>
  </si>
  <si>
    <t>1741200200_091123</t>
  </si>
  <si>
    <t>5011008600_122223</t>
  </si>
  <si>
    <t>1741200200_081023</t>
  </si>
  <si>
    <t>5010573100_111723</t>
  </si>
  <si>
    <t>1742100300_010824</t>
  </si>
  <si>
    <t>1691801600_031824</t>
  </si>
  <si>
    <t>5010573100_021924</t>
  </si>
  <si>
    <t>1691801600_091323</t>
  </si>
  <si>
    <t>4328700900_072423</t>
  </si>
  <si>
    <t>1091500800_101323</t>
  </si>
  <si>
    <t>KGM</t>
  </si>
  <si>
    <t>PSINV103832</t>
  </si>
  <si>
    <t>KOORSEN FIRE AND SECURITY INC</t>
  </si>
  <si>
    <t>IN00478088</t>
  </si>
  <si>
    <t>IN00447465</t>
  </si>
  <si>
    <t>KU ENERGY CORPORATION</t>
  </si>
  <si>
    <t>300000011845-300000444251_121423</t>
  </si>
  <si>
    <t>300000011845-300001995772_013124</t>
  </si>
  <si>
    <t>300000011845-300004669986_013124</t>
  </si>
  <si>
    <t>300000011845-300000553275_013124</t>
  </si>
  <si>
    <t>300037711334_021224</t>
  </si>
  <si>
    <t>300034536023_022924</t>
  </si>
  <si>
    <t>300000011845-300000621841_041124</t>
  </si>
  <si>
    <t>300006773166_041824</t>
  </si>
  <si>
    <t>300000011845-300003047598_051524</t>
  </si>
  <si>
    <t>300000011845-300007037751_051524</t>
  </si>
  <si>
    <t>300002064834_082123</t>
  </si>
  <si>
    <t>300000011845-300007419801_051524</t>
  </si>
  <si>
    <t>300000011845-300001916182_051724</t>
  </si>
  <si>
    <t>300037700394_071723</t>
  </si>
  <si>
    <t>300025727011_052824</t>
  </si>
  <si>
    <t>300034536023_053024</t>
  </si>
  <si>
    <t>300002065740_081123</t>
  </si>
  <si>
    <t>300000011845-300004033944_062124</t>
  </si>
  <si>
    <t>300000011845-300001995772_062124</t>
  </si>
  <si>
    <t>300001542749_082123</t>
  </si>
  <si>
    <t>300000011845-300002065740_112223</t>
  </si>
  <si>
    <t>300000011845-300000550479_112223</t>
  </si>
  <si>
    <t>300000550479_082123</t>
  </si>
  <si>
    <t>300000011845-300001256431_032024</t>
  </si>
  <si>
    <t>300039205657_121223</t>
  </si>
  <si>
    <t>300000011845-300002064834_112223</t>
  </si>
  <si>
    <t>300034536023_032824</t>
  </si>
  <si>
    <t>300000011845-300001404759_101023</t>
  </si>
  <si>
    <t>300001916182_081123</t>
  </si>
  <si>
    <t>300001564321_081123</t>
  </si>
  <si>
    <t>300004033944_081123</t>
  </si>
  <si>
    <t>LITTLEFIELD BILLY</t>
  </si>
  <si>
    <t>LOCUSVIEW SOLUTIONS INC</t>
  </si>
  <si>
    <t>JAN_2024</t>
  </si>
  <si>
    <t>LOGANS INC</t>
  </si>
  <si>
    <t>LONNIE NAVE SERVICE CO</t>
  </si>
  <si>
    <t>MACO EVANSVILLE BLUE</t>
  </si>
  <si>
    <t>MADISONVILLE MUNICIPAL UTILITIES</t>
  </si>
  <si>
    <t>3961000_100423</t>
  </si>
  <si>
    <t>1547000_121823</t>
  </si>
  <si>
    <t>3863500_030424</t>
  </si>
  <si>
    <t>3961000_050124</t>
  </si>
  <si>
    <t>3961000_052924</t>
  </si>
  <si>
    <t>2331000_062624</t>
  </si>
  <si>
    <t>0922000_071223</t>
  </si>
  <si>
    <t>MASTERCRAFT PRINTED PRODUCTS AND SERVICES INC</t>
  </si>
  <si>
    <t>MAYFIELD ELECTRIC AND WATER SYSTEMS</t>
  </si>
  <si>
    <t>210021109496_100523</t>
  </si>
  <si>
    <t>203307103075_010124</t>
  </si>
  <si>
    <t>203307103075_053024</t>
  </si>
  <si>
    <t>204086100705_062724</t>
  </si>
  <si>
    <t>204086100705_032724</t>
  </si>
  <si>
    <t>MCGEE PEST CONTROL INC</t>
  </si>
  <si>
    <t>MCGRIFF INSURANCE SERVICES INC</t>
  </si>
  <si>
    <t>MCGUIRE WOODS LLP</t>
  </si>
  <si>
    <t>MEADE COUNTY RURAL ELECTRIC</t>
  </si>
  <si>
    <t>110847002_121423</t>
  </si>
  <si>
    <t>MEDIACOM</t>
  </si>
  <si>
    <t>8384620270090784112301-121623</t>
  </si>
  <si>
    <t>MILLER PEST CONTROL INC</t>
  </si>
  <si>
    <t>MODERN SUPPLY COMPANY INC</t>
  </si>
  <si>
    <t>MRC GLOBAL</t>
  </si>
  <si>
    <t>MCJUNKIN - 23280KMD - 10-09-2023</t>
  </si>
  <si>
    <t>MCJUNKIN - 23327KMD - 11-27-2023</t>
  </si>
  <si>
    <t>MUELLER COMPANY</t>
  </si>
  <si>
    <t>OFFICE PRIDE CLEANING SERVICES</t>
  </si>
  <si>
    <t>INV172187</t>
  </si>
  <si>
    <t>ON TARGET CLEANING AND RESTORATION LLC</t>
  </si>
  <si>
    <t>ORKIN PEST CONTROL</t>
  </si>
  <si>
    <t>OWENSBORO MUNICIPAL UTILITIES</t>
  </si>
  <si>
    <t>509245100365_081823</t>
  </si>
  <si>
    <t>525956100365_121423</t>
  </si>
  <si>
    <t>529543100365_061724</t>
  </si>
  <si>
    <t>P AND K PROFESSIONAL KLEAN TEAM LLC</t>
  </si>
  <si>
    <t>PADUCAH POWER SYSTEM</t>
  </si>
  <si>
    <t>16603011_072023</t>
  </si>
  <si>
    <t>16603017_101923</t>
  </si>
  <si>
    <t>16603017_112123</t>
  </si>
  <si>
    <t>16603021_112223</t>
  </si>
  <si>
    <t>16603017_011724</t>
  </si>
  <si>
    <t>16603004_050624</t>
  </si>
  <si>
    <t>16603016_062824</t>
  </si>
  <si>
    <t>Papp, Justin</t>
  </si>
  <si>
    <t>WEXP-00080681</t>
  </si>
  <si>
    <t>WEXP-00083617</t>
  </si>
  <si>
    <t>WEXP-00083686</t>
  </si>
  <si>
    <t>WEXP-00085674</t>
  </si>
  <si>
    <t>WEXP-00078721</t>
  </si>
  <si>
    <t>WEXP-00068755</t>
  </si>
  <si>
    <t>PENNYRILE RURAL ELECTRIC COOP CORP</t>
  </si>
  <si>
    <t>548919010_072623</t>
  </si>
  <si>
    <t>548919009_072823</t>
  </si>
  <si>
    <t>548919016_100223</t>
  </si>
  <si>
    <t>548919011_102523</t>
  </si>
  <si>
    <t>548919021_103023</t>
  </si>
  <si>
    <t>548919006_120123</t>
  </si>
  <si>
    <t>548919014_122023</t>
  </si>
  <si>
    <t>548919017_122223</t>
  </si>
  <si>
    <t>548919021_122923</t>
  </si>
  <si>
    <t>548919015_021224</t>
  </si>
  <si>
    <t>548919011_042924</t>
  </si>
  <si>
    <t>548919014_052824</t>
  </si>
  <si>
    <t>548919007_060324</t>
  </si>
  <si>
    <t>PERFORMANCE FOODSERVICE</t>
  </si>
  <si>
    <t>Porter, Gary R (Gary)</t>
  </si>
  <si>
    <t>WEXP-00088490</t>
  </si>
  <si>
    <t>POWERCLEAN JANITORIAL LLC</t>
  </si>
  <si>
    <t>Price, Benjamin J. (B. J.)</t>
  </si>
  <si>
    <t>WEXP-00071455</t>
  </si>
  <si>
    <t>PRINCETON EPB</t>
  </si>
  <si>
    <t>202488102452_080123</t>
  </si>
  <si>
    <t>201768101750_010124</t>
  </si>
  <si>
    <t>202488102452_052824</t>
  </si>
  <si>
    <t>PRINCETON WATER AND SEWER</t>
  </si>
  <si>
    <t>003330_092723</t>
  </si>
  <si>
    <t>QUALITY FENCE CO LLC KENTUCKY</t>
  </si>
  <si>
    <t>QUINT UTILITIES AND EXCAVATION</t>
  </si>
  <si>
    <t>REPUBLIC SERVICES</t>
  </si>
  <si>
    <t>RICOH USA INC</t>
  </si>
  <si>
    <t>CLE23080125</t>
  </si>
  <si>
    <t>RUSSMAR UTILITY MANAGEMENT LLC</t>
  </si>
  <si>
    <t>Sanderson, Jackson (Jackson)</t>
  </si>
  <si>
    <t>WEXP-00070212</t>
  </si>
  <si>
    <t>SCHRECKER SUPPLY COMPANY</t>
  </si>
  <si>
    <t>SCOTT WASTE SERVICES INC</t>
  </si>
  <si>
    <t>664846W52</t>
  </si>
  <si>
    <t>8889857W052</t>
  </si>
  <si>
    <t>6687028W052</t>
  </si>
  <si>
    <t>6787112W052</t>
  </si>
  <si>
    <t>6808669W052</t>
  </si>
  <si>
    <t>SEBREE BANNER THE</t>
  </si>
  <si>
    <t>SHELBY ENERGY COOPERATIVE INC</t>
  </si>
  <si>
    <t>7095001_090723</t>
  </si>
  <si>
    <t>7095003_020624</t>
  </si>
  <si>
    <t>SHELBYVILLE MUNICIPAL WATER AND SEWER</t>
  </si>
  <si>
    <t>ATMOS_081023</t>
  </si>
  <si>
    <t>SITEX CORPORATION</t>
  </si>
  <si>
    <t>Smith, Jimmy D (Jimmy Dale)</t>
  </si>
  <si>
    <t>WEXP-00069452</t>
  </si>
  <si>
    <t>SOUTH HOPKINS WATER DISTRICT</t>
  </si>
  <si>
    <t>000702300001_030524</t>
  </si>
  <si>
    <t>STANLEY PROFESSIONAL TREE SERVICE</t>
  </si>
  <si>
    <t>TAYLOR COUNTY RURAL ELECTRIC COOP CORP</t>
  </si>
  <si>
    <t>26303003_091323</t>
  </si>
  <si>
    <t>26303004_021324</t>
  </si>
  <si>
    <t>26303002_021324</t>
  </si>
  <si>
    <t>Taylor, Brannon C (Brannon)</t>
  </si>
  <si>
    <t>WEXP-00071787</t>
  </si>
  <si>
    <t>TERMINIX</t>
  </si>
  <si>
    <t>TIME WARNER CABLE</t>
  </si>
  <si>
    <t>0381290011023-100123</t>
  </si>
  <si>
    <t>Tolbert, Ryan K (Ryan)</t>
  </si>
  <si>
    <t>WEXP-00068297</t>
  </si>
  <si>
    <t>Towery, Paul W (Paul)</t>
  </si>
  <si>
    <t>WEXP-00088246</t>
  </si>
  <si>
    <t>Townsend, Michael C (Cody)</t>
  </si>
  <si>
    <t>WEXP-00076382</t>
  </si>
  <si>
    <t>WEXP-00077038</t>
  </si>
  <si>
    <t>WEXP-00085186</t>
  </si>
  <si>
    <t>Tucker, Mariam L (Mariam)</t>
  </si>
  <si>
    <t>WEXP-00082051</t>
  </si>
  <si>
    <t>UTILITIES COMMISSION</t>
  </si>
  <si>
    <t>101417_010324</t>
  </si>
  <si>
    <t>VERIZON WIRELESS</t>
  </si>
  <si>
    <t>607507434000010124-011524</t>
  </si>
  <si>
    <t>VIKOR TELECONSTRUCTION</t>
  </si>
  <si>
    <t>INV2312875</t>
  </si>
  <si>
    <t>WARREN COUNTY WATER DISTRICT</t>
  </si>
  <si>
    <t>0290390071872_112723</t>
  </si>
  <si>
    <t>WARREN RURAL ELECTRIC COOP</t>
  </si>
  <si>
    <t>397977016_071223</t>
  </si>
  <si>
    <t>397977013_072623</t>
  </si>
  <si>
    <t>397977008_092023</t>
  </si>
  <si>
    <t>397977013_102523</t>
  </si>
  <si>
    <t>397977002_102523</t>
  </si>
  <si>
    <t>397977005_110823</t>
  </si>
  <si>
    <t>397977016_011124</t>
  </si>
  <si>
    <t>397977017_012224</t>
  </si>
  <si>
    <t>397977020_012524</t>
  </si>
  <si>
    <t>397977012_070323</t>
  </si>
  <si>
    <t>WEED MAN</t>
  </si>
  <si>
    <t>WEST DAVIESS CO WATER DISTRICT</t>
  </si>
  <si>
    <t>006606780000_100923</t>
  </si>
  <si>
    <t>WEST KENTUCKY RURAL ELECTRIC</t>
  </si>
  <si>
    <t>206330105855_091923</t>
  </si>
  <si>
    <t>Westerfield, Kenneth D (Kenny)</t>
  </si>
  <si>
    <t>WEXP-00071621</t>
  </si>
  <si>
    <t>WHITE FARMS EXCAVATING LLC</t>
  </si>
  <si>
    <t>White, Ryne L (Ryne)</t>
  </si>
  <si>
    <t>WEXP-00083186</t>
  </si>
  <si>
    <t>WILLIAMS PROFESSIONAL COATINGS</t>
  </si>
  <si>
    <t>WORKWEAR OUTFITTERS LLC</t>
  </si>
  <si>
    <t>MTN 1995-1</t>
  </si>
  <si>
    <t>12/31/2025</t>
  </si>
  <si>
    <t>SEMI ANNUAL</t>
  </si>
  <si>
    <t>SrNote 3.00%</t>
  </si>
  <si>
    <t>06/15/2027</t>
  </si>
  <si>
    <t>Debentures 6.75%</t>
  </si>
  <si>
    <t>SrNote 2.625%</t>
  </si>
  <si>
    <t>9/15/2029</t>
  </si>
  <si>
    <t>Sr Note 1.50%</t>
  </si>
  <si>
    <t>1/15/2031</t>
  </si>
  <si>
    <t>SrNote 5.45%</t>
  </si>
  <si>
    <t>10/15/2032</t>
  </si>
  <si>
    <t>SrNote 5.900%</t>
  </si>
  <si>
    <t>11/15/2033</t>
  </si>
  <si>
    <t>SrNote 5.950%</t>
  </si>
  <si>
    <t>SrNote 5.50%</t>
  </si>
  <si>
    <t>06/15/2041</t>
  </si>
  <si>
    <t>SrNote 4.15%</t>
  </si>
  <si>
    <t>1/15/2043</t>
  </si>
  <si>
    <t>SrNote 4.125%</t>
  </si>
  <si>
    <t>10/15/2044</t>
  </si>
  <si>
    <t>SrNote 4.30%</t>
  </si>
  <si>
    <t>10/1/2048</t>
  </si>
  <si>
    <t>3/15/2049</t>
  </si>
  <si>
    <t>SrNote 3.375%</t>
  </si>
  <si>
    <t>9/15/2049</t>
  </si>
  <si>
    <t>SrNote 2.85%</t>
  </si>
  <si>
    <t>10/15/2052</t>
  </si>
  <si>
    <t>SrNote 5.75%</t>
  </si>
  <si>
    <t>SrNote 6.20%</t>
  </si>
  <si>
    <t>11/15/2053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</si>
</sst>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mm/dd/yy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mm/dd/yy;@"/>
    <numFmt numFmtId="171" formatCode="m/d/yy;@"/>
    <numFmt numFmtId="172" formatCode="[$-409]mmmm\ d\,\ yyyy;@"/>
    <numFmt numFmtId="173" formatCode="[$-409]d\-mmm\-yy;@"/>
    <numFmt numFmtId="174" formatCode="m/d/yyyy;@"/>
    <numFmt numFmtId="175" formatCode="[$-F800]dddd\,\ mmmm\ dd\,\ yyyy"/>
    <numFmt numFmtId="176" formatCode="0;[Red]0"/>
    <numFmt numFmtId="177" formatCode="0.000%"/>
    <numFmt numFmtId="178" formatCode="0_);\(0\)"/>
  </numFmts>
  <fonts count="43">
    <font>
      <sz val="12"/>
      <name val="Tms Rmn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2"/>
      <color indexed="13"/>
      <name val="Tms Rmn"/>
    </font>
    <font>
      <sz val="10"/>
      <name val="Tms Rmn"/>
    </font>
    <font>
      <sz val="12"/>
      <name val="Times New Roman"/>
      <family val="1"/>
    </font>
    <font>
      <sz val="8"/>
      <name val="Tms Rmn"/>
    </font>
    <font>
      <sz val="10"/>
      <name val="Arial Narrow"/>
      <family val="2"/>
    </font>
    <font>
      <sz val="12"/>
      <name val="Arial MT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8"/>
      <name val="Arial MT"/>
    </font>
    <font>
      <b/>
      <sz val="12"/>
      <name val="Times New Roman"/>
      <family val="1"/>
    </font>
    <font>
      <b/>
      <sz val="1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 MT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">
    <xf numFmtId="37" fontId="0" fillId="0" borderId="0"/>
    <xf numFmtId="0" fontId="2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1"/>
    <xf numFmtId="0" fontId="5" fillId="2" borderId="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" fillId="0" borderId="0"/>
    <xf numFmtId="0" fontId="4" fillId="0" borderId="0"/>
    <xf numFmtId="37" fontId="4" fillId="0" borderId="0"/>
    <xf numFmtId="0" fontId="4" fillId="0" borderId="0"/>
    <xf numFmtId="37" fontId="4" fillId="0" borderId="0"/>
    <xf numFmtId="40" fontId="12" fillId="3" borderId="0">
      <alignment horizontal="right"/>
    </xf>
    <xf numFmtId="0" fontId="13" fillId="4" borderId="0">
      <alignment horizontal="center"/>
    </xf>
    <xf numFmtId="0" fontId="14" fillId="5" borderId="2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1"/>
    <xf numFmtId="0" fontId="4" fillId="0" borderId="1"/>
    <xf numFmtId="0" fontId="6" fillId="6" borderId="0"/>
    <xf numFmtId="0" fontId="6" fillId="6" borderId="0"/>
    <xf numFmtId="0" fontId="5" fillId="0" borderId="3"/>
    <xf numFmtId="0" fontId="5" fillId="0" borderId="3"/>
    <xf numFmtId="0" fontId="5" fillId="0" borderId="1"/>
    <xf numFmtId="0" fontId="5" fillId="0" borderId="1"/>
    <xf numFmtId="0" fontId="2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8">
    <xf numFmtId="37" fontId="0" fillId="0" borderId="0" xfId="0"/>
    <xf numFmtId="0" fontId="8" fillId="0" borderId="0" xfId="16" applyFont="1" applyAlignment="1">
      <alignment horizontal="centerContinuous"/>
    </xf>
    <xf numFmtId="0" fontId="8" fillId="0" borderId="0" xfId="16" applyFont="1"/>
    <xf numFmtId="0" fontId="11" fillId="0" borderId="0" xfId="16"/>
    <xf numFmtId="0" fontId="8" fillId="0" borderId="0" xfId="16" applyFont="1" applyAlignment="1">
      <alignment horizontal="left"/>
    </xf>
    <xf numFmtId="0" fontId="19" fillId="0" borderId="0" xfId="16" applyFont="1" applyAlignment="1">
      <alignment horizontal="center"/>
    </xf>
    <xf numFmtId="15" fontId="10" fillId="0" borderId="0" xfId="16" applyNumberFormat="1" applyFont="1"/>
    <xf numFmtId="37" fontId="21" fillId="0" borderId="0" xfId="0" applyFont="1"/>
    <xf numFmtId="39" fontId="21" fillId="0" borderId="0" xfId="0" applyNumberFormat="1" applyFont="1"/>
    <xf numFmtId="37" fontId="8" fillId="0" borderId="0" xfId="0" applyFont="1"/>
    <xf numFmtId="37" fontId="8" fillId="0" borderId="0" xfId="0" applyFont="1" applyAlignment="1">
      <alignment horizontal="centerContinuous"/>
    </xf>
    <xf numFmtId="37" fontId="18" fillId="0" borderId="0" xfId="0" applyFont="1"/>
    <xf numFmtId="37" fontId="18" fillId="0" borderId="0" xfId="0" applyFont="1" applyAlignment="1">
      <alignment horizontal="center"/>
    </xf>
    <xf numFmtId="37" fontId="8" fillId="0" borderId="0" xfId="0" applyFont="1" applyAlignment="1">
      <alignment horizontal="center"/>
    </xf>
    <xf numFmtId="37" fontId="23" fillId="0" borderId="0" xfId="0" applyFont="1"/>
    <xf numFmtId="37" fontId="24" fillId="0" borderId="0" xfId="0" applyFont="1"/>
    <xf numFmtId="39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37" fontId="7" fillId="0" borderId="0" xfId="0" applyFont="1"/>
    <xf numFmtId="166" fontId="21" fillId="0" borderId="0" xfId="0" applyNumberFormat="1" applyFont="1"/>
    <xf numFmtId="10" fontId="8" fillId="0" borderId="0" xfId="16" applyNumberFormat="1" applyFont="1"/>
    <xf numFmtId="10" fontId="8" fillId="0" borderId="0" xfId="27" applyNumberFormat="1" applyFont="1" applyBorder="1"/>
    <xf numFmtId="37" fontId="27" fillId="0" borderId="0" xfId="0" applyFont="1"/>
    <xf numFmtId="37" fontId="28" fillId="0" borderId="0" xfId="0" applyFont="1"/>
    <xf numFmtId="39" fontId="27" fillId="0" borderId="0" xfId="0" applyNumberFormat="1" applyFont="1"/>
    <xf numFmtId="39" fontId="27" fillId="0" borderId="5" xfId="0" applyNumberFormat="1" applyFont="1" applyBorder="1"/>
    <xf numFmtId="166" fontId="27" fillId="0" borderId="0" xfId="0" applyNumberFormat="1" applyFont="1"/>
    <xf numFmtId="10" fontId="21" fillId="0" borderId="0" xfId="0" applyNumberFormat="1" applyFont="1"/>
    <xf numFmtId="43" fontId="21" fillId="0" borderId="0" xfId="2" applyFont="1" applyFill="1" applyBorder="1"/>
    <xf numFmtId="164" fontId="27" fillId="0" borderId="0" xfId="0" applyNumberFormat="1" applyFont="1"/>
    <xf numFmtId="37" fontId="31" fillId="0" borderId="0" xfId="0" applyFont="1" applyAlignment="1">
      <alignment horizontal="centerContinuous"/>
    </xf>
    <xf numFmtId="166" fontId="31" fillId="0" borderId="0" xfId="0" applyNumberFormat="1" applyFont="1" applyAlignment="1">
      <alignment horizontal="centerContinuous"/>
    </xf>
    <xf numFmtId="39" fontId="31" fillId="0" borderId="0" xfId="0" applyNumberFormat="1" applyFont="1" applyAlignment="1">
      <alignment horizontal="centerContinuous"/>
    </xf>
    <xf numFmtId="37" fontId="31" fillId="0" borderId="0" xfId="0" quotePrefix="1" applyFont="1" applyAlignment="1">
      <alignment horizontal="centerContinuous"/>
    </xf>
    <xf numFmtId="39" fontId="31" fillId="0" borderId="0" xfId="0" quotePrefix="1" applyNumberFormat="1" applyFont="1" applyAlignment="1">
      <alignment horizontal="centerContinuous"/>
    </xf>
    <xf numFmtId="37" fontId="2" fillId="0" borderId="0" xfId="0" applyFont="1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right"/>
    </xf>
    <xf numFmtId="39" fontId="2" fillId="0" borderId="0" xfId="0" applyNumberFormat="1" applyFont="1"/>
    <xf numFmtId="37" fontId="27" fillId="0" borderId="0" xfId="0" applyFont="1" applyAlignment="1">
      <alignment horizontal="centerContinuous"/>
    </xf>
    <xf numFmtId="0" fontId="33" fillId="0" borderId="0" xfId="16" applyFont="1" applyAlignment="1">
      <alignment horizontal="centerContinuous"/>
    </xf>
    <xf numFmtId="0" fontId="32" fillId="0" borderId="0" xfId="16" applyFont="1" applyAlignment="1">
      <alignment horizontal="centerContinuous"/>
    </xf>
    <xf numFmtId="0" fontId="32" fillId="0" borderId="0" xfId="16" applyFont="1"/>
    <xf numFmtId="0" fontId="34" fillId="0" borderId="0" xfId="16" applyFont="1"/>
    <xf numFmtId="0" fontId="32" fillId="0" borderId="0" xfId="16" applyFont="1" applyAlignment="1">
      <alignment horizontal="left"/>
    </xf>
    <xf numFmtId="0" fontId="32" fillId="0" borderId="0" xfId="16" applyFont="1" applyAlignment="1">
      <alignment horizontal="right"/>
    </xf>
    <xf numFmtId="37" fontId="32" fillId="0" borderId="0" xfId="0" applyFont="1"/>
    <xf numFmtId="37" fontId="32" fillId="0" borderId="0" xfId="0" applyFont="1" applyAlignment="1">
      <alignment horizontal="centerContinuous"/>
    </xf>
    <xf numFmtId="37" fontId="33" fillId="0" borderId="0" xfId="0" applyFont="1"/>
    <xf numFmtId="37" fontId="33" fillId="0" borderId="0" xfId="0" applyFont="1" applyAlignment="1">
      <alignment horizontal="center"/>
    </xf>
    <xf numFmtId="37" fontId="32" fillId="0" borderId="0" xfId="0" applyFont="1" applyAlignment="1">
      <alignment horizontal="center"/>
    </xf>
    <xf numFmtId="37" fontId="32" fillId="0" borderId="5" xfId="0" applyFont="1" applyBorder="1" applyAlignment="1">
      <alignment horizontal="center"/>
    </xf>
    <xf numFmtId="37" fontId="33" fillId="0" borderId="5" xfId="0" applyFont="1" applyBorder="1" applyAlignment="1">
      <alignment horizontal="centerContinuous"/>
    </xf>
    <xf numFmtId="37" fontId="33" fillId="0" borderId="5" xfId="0" applyFont="1" applyBorder="1" applyAlignment="1">
      <alignment horizontal="center"/>
    </xf>
    <xf numFmtId="37" fontId="33" fillId="0" borderId="5" xfId="0" quotePrefix="1" applyFont="1" applyBorder="1" applyAlignment="1">
      <alignment horizontal="center"/>
    </xf>
    <xf numFmtId="39" fontId="32" fillId="0" borderId="0" xfId="0" applyNumberFormat="1" applyFont="1" applyAlignment="1">
      <alignment horizontal="center"/>
    </xf>
    <xf numFmtId="39" fontId="32" fillId="0" borderId="0" xfId="0" applyNumberFormat="1" applyFont="1"/>
    <xf numFmtId="37" fontId="32" fillId="0" borderId="7" xfId="0" applyFont="1" applyBorder="1"/>
    <xf numFmtId="37" fontId="35" fillId="0" borderId="0" xfId="0" applyFont="1"/>
    <xf numFmtId="37" fontId="35" fillId="0" borderId="0" xfId="0" applyFont="1" applyAlignment="1">
      <alignment horizontal="centerContinuous"/>
    </xf>
    <xf numFmtId="37" fontId="36" fillId="0" borderId="0" xfId="0" applyFont="1"/>
    <xf numFmtId="37" fontId="36" fillId="0" borderId="0" xfId="0" applyFont="1" applyAlignment="1">
      <alignment horizontal="center"/>
    </xf>
    <xf numFmtId="37" fontId="36" fillId="0" borderId="5" xfId="0" applyFont="1" applyBorder="1" applyAlignment="1">
      <alignment horizontal="center"/>
    </xf>
    <xf numFmtId="37" fontId="35" fillId="0" borderId="0" xfId="0" applyFont="1" applyAlignment="1">
      <alignment horizontal="center"/>
    </xf>
    <xf numFmtId="39" fontId="2" fillId="0" borderId="8" xfId="0" applyNumberFormat="1" applyFont="1" applyBorder="1"/>
    <xf numFmtId="37" fontId="7" fillId="0" borderId="0" xfId="0" applyFont="1" applyAlignment="1">
      <alignment horizontal="center"/>
    </xf>
    <xf numFmtId="37" fontId="12" fillId="0" borderId="0" xfId="0" applyFont="1"/>
    <xf numFmtId="171" fontId="2" fillId="0" borderId="0" xfId="0" applyNumberFormat="1" applyFont="1"/>
    <xf numFmtId="14" fontId="2" fillId="0" borderId="0" xfId="0" applyNumberFormat="1" applyFont="1"/>
    <xf numFmtId="169" fontId="2" fillId="0" borderId="0" xfId="2" applyNumberFormat="1" applyFont="1" applyFill="1" applyBorder="1" applyAlignment="1">
      <alignment horizontal="center"/>
    </xf>
    <xf numFmtId="171" fontId="2" fillId="0" borderId="0" xfId="2" applyNumberFormat="1" applyFont="1" applyFill="1" applyBorder="1" applyAlignment="1">
      <alignment horizontal="right"/>
    </xf>
    <xf numFmtId="170" fontId="2" fillId="0" borderId="0" xfId="2" applyNumberFormat="1" applyFont="1" applyFill="1" applyBorder="1"/>
    <xf numFmtId="43" fontId="2" fillId="0" borderId="0" xfId="0" applyNumberFormat="1" applyFont="1"/>
    <xf numFmtId="167" fontId="2" fillId="0" borderId="0" xfId="2" applyNumberFormat="1" applyFont="1" applyFill="1"/>
    <xf numFmtId="37" fontId="31" fillId="0" borderId="0" xfId="21" applyFont="1" applyAlignment="1">
      <alignment horizontal="left"/>
    </xf>
    <xf numFmtId="37" fontId="31" fillId="0" borderId="0" xfId="0" applyFont="1" applyAlignment="1">
      <alignment horizontal="left"/>
    </xf>
    <xf numFmtId="37" fontId="29" fillId="0" borderId="0" xfId="0" applyFont="1"/>
    <xf numFmtId="0" fontId="29" fillId="0" borderId="0" xfId="20" quotePrefix="1" applyFont="1"/>
    <xf numFmtId="0" fontId="29" fillId="0" borderId="0" xfId="20" applyFont="1"/>
    <xf numFmtId="37" fontId="27" fillId="0" borderId="0" xfId="0" applyFont="1" applyAlignment="1">
      <alignment horizontal="left"/>
    </xf>
    <xf numFmtId="37" fontId="27" fillId="0" borderId="5" xfId="0" applyFont="1" applyBorder="1"/>
    <xf numFmtId="37" fontId="26" fillId="0" borderId="0" xfId="21" applyFont="1" applyAlignment="1">
      <alignment horizontal="centerContinuous"/>
    </xf>
    <xf numFmtId="37" fontId="26" fillId="0" borderId="0" xfId="0" applyFont="1" applyAlignment="1">
      <alignment horizontal="centerContinuous"/>
    </xf>
    <xf numFmtId="166" fontId="26" fillId="0" borderId="0" xfId="0" applyNumberFormat="1" applyFont="1" applyAlignment="1">
      <alignment horizontal="centerContinuous"/>
    </xf>
    <xf numFmtId="39" fontId="26" fillId="0" borderId="0" xfId="0" applyNumberFormat="1" applyFont="1" applyAlignment="1">
      <alignment horizontal="centerContinuous"/>
    </xf>
    <xf numFmtId="39" fontId="27" fillId="0" borderId="0" xfId="0" applyNumberFormat="1" applyFont="1" applyAlignment="1">
      <alignment horizontal="center"/>
    </xf>
    <xf numFmtId="37" fontId="27" fillId="0" borderId="0" xfId="0" applyFont="1" applyAlignment="1">
      <alignment horizontal="center"/>
    </xf>
    <xf numFmtId="39" fontId="27" fillId="0" borderId="5" xfId="0" applyNumberFormat="1" applyFont="1" applyBorder="1" applyAlignment="1">
      <alignment horizontal="center"/>
    </xf>
    <xf numFmtId="37" fontId="27" fillId="0" borderId="5" xfId="0" applyFont="1" applyBorder="1" applyAlignment="1">
      <alignment horizontal="center"/>
    </xf>
    <xf numFmtId="39" fontId="38" fillId="0" borderId="0" xfId="0" applyNumberFormat="1" applyFont="1" applyAlignment="1">
      <alignment horizontal="center"/>
    </xf>
    <xf numFmtId="166" fontId="38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left"/>
    </xf>
    <xf numFmtId="39" fontId="27" fillId="0" borderId="8" xfId="0" applyNumberFormat="1" applyFont="1" applyBorder="1"/>
    <xf numFmtId="37" fontId="32" fillId="0" borderId="0" xfId="0" applyFont="1" applyAlignment="1">
      <alignment horizontal="right"/>
    </xf>
    <xf numFmtId="37" fontId="32" fillId="0" borderId="8" xfId="0" applyFont="1" applyBorder="1"/>
    <xf numFmtId="37" fontId="2" fillId="0" borderId="0" xfId="19" applyFont="1"/>
    <xf numFmtId="164" fontId="2" fillId="0" borderId="0" xfId="0" applyNumberFormat="1" applyFont="1"/>
    <xf numFmtId="37" fontId="27" fillId="0" borderId="0" xfId="0" applyFont="1" applyAlignment="1">
      <alignment horizontal="right"/>
    </xf>
    <xf numFmtId="37" fontId="27" fillId="0" borderId="4" xfId="0" applyFont="1" applyBorder="1" applyAlignment="1">
      <alignment horizontal="center"/>
    </xf>
    <xf numFmtId="37" fontId="27" fillId="0" borderId="0" xfId="0" quotePrefix="1" applyFont="1" applyAlignment="1">
      <alignment horizontal="center"/>
    </xf>
    <xf numFmtId="37" fontId="27" fillId="0" borderId="0" xfId="0" applyFont="1" applyAlignment="1">
      <alignment vertical="center"/>
    </xf>
    <xf numFmtId="37" fontId="26" fillId="0" borderId="0" xfId="0" applyFont="1"/>
    <xf numFmtId="43" fontId="27" fillId="0" borderId="0" xfId="2" applyFont="1" applyFill="1" applyProtection="1"/>
    <xf numFmtId="43" fontId="27" fillId="0" borderId="5" xfId="2" applyFont="1" applyFill="1" applyBorder="1" applyProtection="1"/>
    <xf numFmtId="164" fontId="26" fillId="0" borderId="0" xfId="0" applyNumberFormat="1" applyFont="1"/>
    <xf numFmtId="172" fontId="27" fillId="0" borderId="0" xfId="0" applyNumberFormat="1" applyFont="1" applyAlignment="1">
      <alignment horizontal="left"/>
    </xf>
    <xf numFmtId="37" fontId="27" fillId="0" borderId="4" xfId="0" applyFont="1" applyBorder="1"/>
    <xf numFmtId="174" fontId="27" fillId="0" borderId="0" xfId="0" applyNumberFormat="1" applyFont="1"/>
    <xf numFmtId="10" fontId="27" fillId="0" borderId="0" xfId="27" applyNumberFormat="1" applyFont="1" applyFill="1" applyProtection="1"/>
    <xf numFmtId="10" fontId="27" fillId="0" borderId="5" xfId="27" applyNumberFormat="1" applyFont="1" applyFill="1" applyBorder="1" applyProtection="1"/>
    <xf numFmtId="172" fontId="27" fillId="0" borderId="0" xfId="0" applyNumberFormat="1" applyFont="1"/>
    <xf numFmtId="39" fontId="27" fillId="0" borderId="6" xfId="0" applyNumberFormat="1" applyFont="1" applyBorder="1"/>
    <xf numFmtId="0" fontId="27" fillId="0" borderId="0" xfId="20" applyFont="1"/>
    <xf numFmtId="0" fontId="27" fillId="0" borderId="0" xfId="20" applyFont="1" applyAlignment="1">
      <alignment horizontal="centerContinuous"/>
    </xf>
    <xf numFmtId="168" fontId="27" fillId="0" borderId="0" xfId="3" applyNumberFormat="1" applyFont="1" applyFill="1" applyAlignment="1">
      <alignment horizontal="centerContinuous"/>
    </xf>
    <xf numFmtId="9" fontId="32" fillId="0" borderId="0" xfId="0" applyNumberFormat="1" applyFont="1"/>
    <xf numFmtId="10" fontId="32" fillId="0" borderId="0" xfId="27" applyNumberFormat="1" applyFont="1" applyFill="1"/>
    <xf numFmtId="10" fontId="32" fillId="0" borderId="0" xfId="27" applyNumberFormat="1" applyFont="1" applyFill="1" applyProtection="1"/>
    <xf numFmtId="165" fontId="32" fillId="0" borderId="0" xfId="27" applyNumberFormat="1" applyFont="1" applyFill="1" applyProtection="1"/>
    <xf numFmtId="37" fontId="2" fillId="0" borderId="0" xfId="0" applyFont="1" applyAlignment="1">
      <alignment horizontal="left"/>
    </xf>
    <xf numFmtId="165" fontId="2" fillId="0" borderId="0" xfId="27" applyNumberFormat="1" applyFont="1" applyFill="1" applyBorder="1" applyProtection="1"/>
    <xf numFmtId="39" fontId="2" fillId="0" borderId="5" xfId="0" applyNumberFormat="1" applyFont="1" applyBorder="1"/>
    <xf numFmtId="166" fontId="2" fillId="0" borderId="0" xfId="0" applyNumberFormat="1" applyFont="1"/>
    <xf numFmtId="39" fontId="2" fillId="0" borderId="0" xfId="0" applyNumberFormat="1" applyFont="1" applyAlignment="1">
      <alignment horizontal="center"/>
    </xf>
    <xf numFmtId="37" fontId="2" fillId="0" borderId="5" xfId="0" applyFont="1" applyBorder="1"/>
    <xf numFmtId="39" fontId="2" fillId="0" borderId="5" xfId="0" applyNumberFormat="1" applyFont="1" applyBorder="1" applyAlignment="1">
      <alignment horizontal="center"/>
    </xf>
    <xf numFmtId="37" fontId="2" fillId="0" borderId="5" xfId="0" applyFont="1" applyBorder="1" applyAlignment="1">
      <alignment horizontal="center"/>
    </xf>
    <xf numFmtId="39" fontId="40" fillId="0" borderId="0" xfId="0" applyNumberFormat="1" applyFont="1" applyAlignment="1">
      <alignment horizontal="center"/>
    </xf>
    <xf numFmtId="166" fontId="40" fillId="0" borderId="0" xfId="0" applyNumberFormat="1" applyFont="1" applyAlignment="1">
      <alignment horizontal="center"/>
    </xf>
    <xf numFmtId="37" fontId="40" fillId="0" borderId="0" xfId="0" applyFont="1" applyAlignment="1">
      <alignment horizontal="center"/>
    </xf>
    <xf numFmtId="15" fontId="2" fillId="0" borderId="0" xfId="0" applyNumberFormat="1" applyFont="1"/>
    <xf numFmtId="167" fontId="2" fillId="0" borderId="0" xfId="0" applyNumberFormat="1" applyFont="1"/>
    <xf numFmtId="10" fontId="2" fillId="0" borderId="0" xfId="27" applyNumberFormat="1" applyFont="1" applyFill="1"/>
    <xf numFmtId="0" fontId="31" fillId="0" borderId="0" xfId="20" applyFont="1" applyAlignment="1">
      <alignment horizontal="centerContinuous"/>
    </xf>
    <xf numFmtId="0" fontId="2" fillId="0" borderId="0" xfId="20" applyFont="1" applyAlignment="1">
      <alignment horizontal="centerContinuous"/>
    </xf>
    <xf numFmtId="168" fontId="2" fillId="0" borderId="0" xfId="3" applyNumberFormat="1" applyFont="1" applyFill="1" applyAlignment="1">
      <alignment horizontal="centerContinuous"/>
    </xf>
    <xf numFmtId="0" fontId="2" fillId="0" borderId="0" xfId="20" applyFont="1"/>
    <xf numFmtId="168" fontId="2" fillId="0" borderId="0" xfId="3" applyNumberFormat="1" applyFont="1" applyFill="1"/>
    <xf numFmtId="0" fontId="39" fillId="0" borderId="0" xfId="18" applyFont="1" applyAlignment="1">
      <alignment horizontal="centerContinuous"/>
    </xf>
    <xf numFmtId="0" fontId="2" fillId="0" borderId="0" xfId="20" applyFont="1" applyAlignment="1">
      <alignment horizontal="center"/>
    </xf>
    <xf numFmtId="14" fontId="2" fillId="0" borderId="0" xfId="20" applyNumberFormat="1" applyFont="1" applyAlignment="1">
      <alignment horizontal="center"/>
    </xf>
    <xf numFmtId="14" fontId="2" fillId="0" borderId="0" xfId="18" applyNumberFormat="1" applyFont="1" applyAlignment="1">
      <alignment horizontal="center"/>
    </xf>
    <xf numFmtId="0" fontId="2" fillId="0" borderId="0" xfId="18" applyFont="1" applyAlignment="1">
      <alignment horizontal="center"/>
    </xf>
    <xf numFmtId="168" fontId="2" fillId="0" borderId="0" xfId="3" applyNumberFormat="1" applyFont="1" applyFill="1" applyAlignment="1">
      <alignment horizontal="center"/>
    </xf>
    <xf numFmtId="0" fontId="2" fillId="0" borderId="4" xfId="20" applyFont="1" applyBorder="1"/>
    <xf numFmtId="0" fontId="2" fillId="0" borderId="4" xfId="20" applyFont="1" applyBorder="1" applyAlignment="1">
      <alignment horizontal="center"/>
    </xf>
    <xf numFmtId="14" fontId="2" fillId="0" borderId="4" xfId="20" applyNumberFormat="1" applyFont="1" applyBorder="1" applyAlignment="1">
      <alignment horizontal="center"/>
    </xf>
    <xf numFmtId="0" fontId="2" fillId="0" borderId="5" xfId="20" applyFont="1" applyBorder="1" applyAlignment="1">
      <alignment horizontal="center"/>
    </xf>
    <xf numFmtId="168" fontId="2" fillId="0" borderId="5" xfId="3" applyNumberFormat="1" applyFont="1" applyFill="1" applyBorder="1" applyAlignment="1">
      <alignment horizontal="center"/>
    </xf>
    <xf numFmtId="0" fontId="2" fillId="0" borderId="0" xfId="20" quotePrefix="1" applyFont="1" applyAlignment="1">
      <alignment horizontal="center"/>
    </xf>
    <xf numFmtId="14" fontId="2" fillId="0" borderId="0" xfId="20" applyNumberFormat="1" applyFont="1"/>
    <xf numFmtId="14" fontId="2" fillId="0" borderId="0" xfId="2" applyNumberFormat="1" applyFont="1" applyFill="1" applyBorder="1"/>
    <xf numFmtId="14" fontId="2" fillId="0" borderId="0" xfId="18" applyNumberFormat="1" applyFont="1"/>
    <xf numFmtId="0" fontId="2" fillId="0" borderId="0" xfId="18" applyFont="1"/>
    <xf numFmtId="14" fontId="2" fillId="0" borderId="0" xfId="0" applyNumberFormat="1" applyFont="1" applyAlignment="1">
      <alignment horizontal="left"/>
    </xf>
    <xf numFmtId="43" fontId="2" fillId="0" borderId="0" xfId="2" applyFont="1" applyFill="1"/>
    <xf numFmtId="14" fontId="2" fillId="0" borderId="0" xfId="2" applyNumberFormat="1" applyFont="1" applyFill="1"/>
    <xf numFmtId="0" fontId="2" fillId="0" borderId="0" xfId="20" applyFont="1" applyAlignment="1">
      <alignment horizontal="left"/>
    </xf>
    <xf numFmtId="37" fontId="21" fillId="0" borderId="0" xfId="0" applyFont="1" applyAlignment="1">
      <alignment horizontal="center"/>
    </xf>
    <xf numFmtId="167" fontId="31" fillId="0" borderId="0" xfId="2" applyNumberFormat="1" applyFont="1" applyFill="1" applyBorder="1"/>
    <xf numFmtId="43" fontId="2" fillId="0" borderId="0" xfId="2" applyFont="1" applyFill="1" applyBorder="1" applyAlignment="1">
      <alignment horizontal="center"/>
    </xf>
    <xf numFmtId="37" fontId="26" fillId="0" borderId="0" xfId="0" quotePrefix="1" applyFont="1" applyAlignment="1">
      <alignment wrapText="1"/>
    </xf>
    <xf numFmtId="37" fontId="8" fillId="0" borderId="0" xfId="0" quotePrefix="1" applyFont="1"/>
    <xf numFmtId="167" fontId="2" fillId="0" borderId="0" xfId="2" applyNumberFormat="1" applyFont="1" applyFill="1" applyBorder="1"/>
    <xf numFmtId="37" fontId="32" fillId="0" borderId="5" xfId="0" applyFont="1" applyBorder="1"/>
    <xf numFmtId="37" fontId="33" fillId="0" borderId="0" xfId="21" applyFont="1" applyAlignment="1">
      <alignment horizontal="centerContinuous"/>
    </xf>
    <xf numFmtId="37" fontId="33" fillId="0" borderId="0" xfId="0" applyFont="1" applyAlignment="1">
      <alignment horizontal="centerContinuous"/>
    </xf>
    <xf numFmtId="37" fontId="32" fillId="0" borderId="0" xfId="0" quotePrefix="1" applyFont="1" applyAlignment="1">
      <alignment horizontal="center"/>
    </xf>
    <xf numFmtId="9" fontId="32" fillId="0" borderId="0" xfId="27" applyFont="1" applyFill="1" applyProtection="1"/>
    <xf numFmtId="39" fontId="8" fillId="0" borderId="0" xfId="0" applyNumberFormat="1" applyFont="1" applyAlignment="1">
      <alignment horizontal="center"/>
    </xf>
    <xf numFmtId="37" fontId="37" fillId="0" borderId="0" xfId="0" applyFont="1"/>
    <xf numFmtId="2" fontId="26" fillId="0" borderId="0" xfId="0" applyNumberFormat="1" applyFont="1"/>
    <xf numFmtId="2" fontId="27" fillId="0" borderId="0" xfId="0" quotePrefix="1" applyNumberFormat="1" applyFont="1"/>
    <xf numFmtId="43" fontId="27" fillId="0" borderId="8" xfId="0" applyNumberFormat="1" applyFont="1" applyBorder="1"/>
    <xf numFmtId="39" fontId="31" fillId="0" borderId="0" xfId="0" applyNumberFormat="1" applyFont="1" applyAlignment="1">
      <alignment horizontal="left"/>
    </xf>
    <xf numFmtId="37" fontId="31" fillId="0" borderId="0" xfId="0" applyFont="1"/>
    <xf numFmtId="37" fontId="20" fillId="0" borderId="0" xfId="0" applyFont="1" applyAlignment="1">
      <alignment horizontal="center"/>
    </xf>
    <xf numFmtId="37" fontId="20" fillId="0" borderId="0" xfId="0" applyFont="1" applyAlignment="1">
      <alignment horizontal="centerContinuous"/>
    </xf>
    <xf numFmtId="39" fontId="2" fillId="0" borderId="4" xfId="0" applyNumberFormat="1" applyFont="1" applyBorder="1" applyAlignment="1">
      <alignment horizontal="center"/>
    </xf>
    <xf numFmtId="37" fontId="21" fillId="0" borderId="0" xfId="19" applyFont="1"/>
    <xf numFmtId="37" fontId="26" fillId="0" borderId="0" xfId="17" applyNumberFormat="1" applyFont="1" applyAlignment="1">
      <alignment horizontal="centerContinuous"/>
    </xf>
    <xf numFmtId="39" fontId="26" fillId="0" borderId="0" xfId="17" applyNumberFormat="1" applyFont="1"/>
    <xf numFmtId="0" fontId="26" fillId="0" borderId="0" xfId="17" applyFont="1" applyAlignment="1">
      <alignment horizontal="centerContinuous"/>
    </xf>
    <xf numFmtId="0" fontId="27" fillId="0" borderId="0" xfId="17" applyFont="1" applyAlignment="1">
      <alignment horizontal="centerContinuous"/>
    </xf>
    <xf numFmtId="0" fontId="27" fillId="0" borderId="0" xfId="17" applyFont="1"/>
    <xf numFmtId="0" fontId="7" fillId="0" borderId="0" xfId="17" applyFont="1"/>
    <xf numFmtId="37" fontId="26" fillId="0" borderId="0" xfId="17" applyNumberFormat="1" applyFont="1" applyAlignment="1">
      <alignment horizontal="left"/>
    </xf>
    <xf numFmtId="0" fontId="2" fillId="0" borderId="5" xfId="17" applyBorder="1"/>
    <xf numFmtId="176" fontId="2" fillId="0" borderId="0" xfId="0" applyNumberFormat="1" applyFont="1"/>
    <xf numFmtId="0" fontId="2" fillId="0" borderId="0" xfId="17"/>
    <xf numFmtId="176" fontId="31" fillId="0" borderId="0" xfId="0" applyNumberFormat="1" applyFont="1"/>
    <xf numFmtId="37" fontId="30" fillId="0" borderId="0" xfId="0" applyFont="1"/>
    <xf numFmtId="37" fontId="2" fillId="0" borderId="0" xfId="0" applyFont="1" applyAlignment="1">
      <alignment horizontal="centerContinuous"/>
    </xf>
    <xf numFmtId="37" fontId="2" fillId="0" borderId="4" xfId="0" applyFont="1" applyBorder="1" applyAlignment="1">
      <alignment horizontal="center"/>
    </xf>
    <xf numFmtId="37" fontId="2" fillId="0" borderId="4" xfId="0" quotePrefix="1" applyFont="1" applyBorder="1" applyAlignment="1">
      <alignment horizontal="center"/>
    </xf>
    <xf numFmtId="37" fontId="2" fillId="0" borderId="0" xfId="0" quotePrefix="1" applyFont="1" applyAlignment="1">
      <alignment horizontal="center"/>
    </xf>
    <xf numFmtId="37" fontId="20" fillId="0" borderId="0" xfId="21" applyFont="1"/>
    <xf numFmtId="37" fontId="20" fillId="0" borderId="0" xfId="0" applyFont="1"/>
    <xf numFmtId="37" fontId="21" fillId="0" borderId="0" xfId="0" quotePrefix="1" applyFont="1" applyAlignment="1">
      <alignment horizontal="center"/>
    </xf>
    <xf numFmtId="170" fontId="0" fillId="0" borderId="0" xfId="0" applyNumberFormat="1"/>
    <xf numFmtId="10" fontId="21" fillId="0" borderId="0" xfId="27" applyNumberFormat="1" applyFont="1" applyFill="1" applyBorder="1" applyProtection="1"/>
    <xf numFmtId="43" fontId="21" fillId="0" borderId="0" xfId="2" applyFont="1" applyFill="1" applyBorder="1" applyProtection="1"/>
    <xf numFmtId="37" fontId="39" fillId="0" borderId="0" xfId="0" applyFont="1"/>
    <xf numFmtId="37" fontId="2" fillId="0" borderId="5" xfId="0" quotePrefix="1" applyFont="1" applyBorder="1" applyAlignment="1">
      <alignment horizontal="center"/>
    </xf>
    <xf numFmtId="177" fontId="21" fillId="0" borderId="0" xfId="27" applyNumberFormat="1" applyFont="1" applyFill="1" applyBorder="1" applyProtection="1"/>
    <xf numFmtId="10" fontId="2" fillId="0" borderId="0" xfId="27" applyNumberFormat="1" applyFont="1" applyFill="1" applyBorder="1" applyProtection="1"/>
    <xf numFmtId="37" fontId="2" fillId="0" borderId="0" xfId="0" quotePrefix="1" applyFont="1" applyAlignment="1">
      <alignment horizontal="right"/>
    </xf>
    <xf numFmtId="10" fontId="21" fillId="0" borderId="0" xfId="27" applyNumberFormat="1" applyFont="1" applyFill="1" applyBorder="1" applyAlignment="1">
      <alignment horizontal="center"/>
    </xf>
    <xf numFmtId="164" fontId="21" fillId="0" borderId="0" xfId="0" applyNumberFormat="1" applyFont="1"/>
    <xf numFmtId="171" fontId="21" fillId="0" borderId="0" xfId="0" applyNumberFormat="1" applyFont="1"/>
    <xf numFmtId="43" fontId="21" fillId="0" borderId="0" xfId="2" applyFont="1" applyFill="1" applyProtection="1"/>
    <xf numFmtId="14" fontId="7" fillId="0" borderId="0" xfId="0" applyNumberFormat="1" applyFont="1"/>
    <xf numFmtId="43" fontId="7" fillId="0" borderId="0" xfId="0" applyNumberFormat="1" applyFont="1"/>
    <xf numFmtId="9" fontId="7" fillId="0" borderId="0" xfId="27" applyFont="1" applyFill="1"/>
    <xf numFmtId="37" fontId="2" fillId="0" borderId="0" xfId="0" applyFont="1" applyAlignment="1">
      <alignment vertical="center"/>
    </xf>
    <xf numFmtId="37" fontId="21" fillId="0" borderId="0" xfId="0" applyFont="1" applyAlignment="1">
      <alignment vertical="center"/>
    </xf>
    <xf numFmtId="14" fontId="21" fillId="0" borderId="0" xfId="0" applyNumberFormat="1" applyFont="1"/>
    <xf numFmtId="172" fontId="21" fillId="0" borderId="0" xfId="0" applyNumberFormat="1" applyFont="1" applyAlignment="1">
      <alignment horizontal="left"/>
    </xf>
    <xf numFmtId="172" fontId="21" fillId="0" borderId="0" xfId="0" applyNumberFormat="1" applyFont="1"/>
    <xf numFmtId="0" fontId="21" fillId="0" borderId="0" xfId="20" applyFont="1"/>
    <xf numFmtId="14" fontId="29" fillId="0" borderId="0" xfId="2" applyNumberFormat="1" applyFont="1" applyFill="1"/>
    <xf numFmtId="14" fontId="29" fillId="0" borderId="0" xfId="20" applyNumberFormat="1" applyFont="1"/>
    <xf numFmtId="168" fontId="29" fillId="0" borderId="0" xfId="3" applyNumberFormat="1" applyFont="1" applyFill="1"/>
    <xf numFmtId="43" fontId="29" fillId="0" borderId="0" xfId="2" applyFont="1" applyFill="1"/>
    <xf numFmtId="43" fontId="21" fillId="0" borderId="0" xfId="2" applyFont="1" applyFill="1"/>
    <xf numFmtId="168" fontId="21" fillId="0" borderId="0" xfId="3" applyNumberFormat="1" applyFont="1" applyFill="1"/>
    <xf numFmtId="39" fontId="8" fillId="0" borderId="0" xfId="0" applyNumberFormat="1" applyFont="1"/>
    <xf numFmtId="39" fontId="8" fillId="0" borderId="0" xfId="0" applyNumberFormat="1" applyFont="1" applyAlignment="1">
      <alignment horizontal="left"/>
    </xf>
    <xf numFmtId="10" fontId="8" fillId="0" borderId="0" xfId="27" applyNumberFormat="1" applyFont="1" applyFill="1" applyProtection="1"/>
    <xf numFmtId="15" fontId="32" fillId="7" borderId="0" xfId="16" applyNumberFormat="1" applyFont="1" applyFill="1" applyAlignment="1">
      <alignment horizontal="left"/>
    </xf>
    <xf numFmtId="173" fontId="32" fillId="7" borderId="0" xfId="16" applyNumberFormat="1" applyFont="1" applyFill="1" applyAlignment="1">
      <alignment horizontal="left"/>
    </xf>
    <xf numFmtId="0" fontId="31" fillId="0" borderId="0" xfId="17" applyFont="1"/>
    <xf numFmtId="37" fontId="32" fillId="8" borderId="0" xfId="0" applyFont="1" applyFill="1"/>
    <xf numFmtId="37" fontId="35" fillId="0" borderId="0" xfId="0" quotePrefix="1" applyFont="1" applyAlignment="1">
      <alignment horizontal="center"/>
    </xf>
    <xf numFmtId="37" fontId="32" fillId="0" borderId="0" xfId="0" quotePrefix="1" applyFont="1"/>
    <xf numFmtId="170" fontId="1" fillId="0" borderId="0" xfId="0" applyNumberFormat="1" applyFont="1"/>
    <xf numFmtId="170" fontId="2" fillId="0" borderId="0" xfId="38" applyNumberFormat="1" applyFont="1" applyAlignment="1">
      <alignment horizontal="right"/>
    </xf>
    <xf numFmtId="39" fontId="2" fillId="0" borderId="0" xfId="0" quotePrefix="1" applyNumberFormat="1" applyFont="1"/>
    <xf numFmtId="38" fontId="2" fillId="0" borderId="0" xfId="2" applyNumberFormat="1" applyFont="1" applyFill="1"/>
    <xf numFmtId="17" fontId="2" fillId="0" borderId="5" xfId="17" applyNumberFormat="1" applyBorder="1" applyAlignment="1">
      <alignment horizontal="center"/>
    </xf>
    <xf numFmtId="0" fontId="2" fillId="0" borderId="5" xfId="17" applyBorder="1" applyAlignment="1">
      <alignment horizontal="center"/>
    </xf>
    <xf numFmtId="167" fontId="31" fillId="0" borderId="9" xfId="2" applyNumberFormat="1" applyFont="1" applyFill="1" applyBorder="1"/>
    <xf numFmtId="167" fontId="31" fillId="0" borderId="10" xfId="17" applyNumberFormat="1" applyFont="1" applyBorder="1"/>
    <xf numFmtId="175" fontId="2" fillId="0" borderId="0" xfId="0" applyNumberFormat="1" applyFont="1" applyAlignment="1">
      <alignment horizontal="right"/>
    </xf>
    <xf numFmtId="39" fontId="2" fillId="0" borderId="0" xfId="19" applyNumberFormat="1" applyFont="1"/>
    <xf numFmtId="17" fontId="2" fillId="0" borderId="0" xfId="18" applyNumberFormat="1" applyFont="1"/>
    <xf numFmtId="37" fontId="8" fillId="0" borderId="0" xfId="0" applyFont="1" applyAlignment="1">
      <alignment horizontal="center" vertical="center"/>
    </xf>
    <xf numFmtId="170" fontId="2" fillId="0" borderId="0" xfId="0" applyNumberFormat="1" applyFont="1" applyAlignment="1">
      <alignment horizontal="right"/>
    </xf>
    <xf numFmtId="43" fontId="8" fillId="0" borderId="0" xfId="2" applyFont="1" applyFill="1"/>
    <xf numFmtId="10" fontId="41" fillId="0" borderId="0" xfId="20" applyNumberFormat="1" applyFont="1"/>
    <xf numFmtId="39" fontId="41" fillId="0" borderId="10" xfId="20" applyNumberFormat="1" applyFont="1" applyBorder="1" applyAlignment="1">
      <alignment horizontal="right"/>
    </xf>
    <xf numFmtId="6" fontId="41" fillId="0" borderId="10" xfId="3" applyNumberFormat="1" applyFont="1" applyFill="1" applyBorder="1"/>
    <xf numFmtId="5" fontId="2" fillId="0" borderId="0" xfId="0" applyNumberFormat="1" applyFont="1"/>
    <xf numFmtId="170" fontId="2" fillId="0" borderId="0" xfId="0" applyNumberFormat="1" applyFont="1"/>
    <xf numFmtId="170" fontId="2" fillId="0" borderId="0" xfId="2" applyNumberFormat="1" applyFont="1" applyFill="1" applyBorder="1" applyAlignment="1">
      <alignment horizontal="right"/>
    </xf>
    <xf numFmtId="44" fontId="2" fillId="0" borderId="0" xfId="3" applyFont="1" applyFill="1" applyBorder="1"/>
    <xf numFmtId="39" fontId="2" fillId="0" borderId="0" xfId="3" applyNumberFormat="1" applyFont="1" applyFill="1" applyBorder="1"/>
    <xf numFmtId="168" fontId="2" fillId="0" borderId="10" xfId="3" applyNumberFormat="1" applyFont="1" applyFill="1" applyBorder="1" applyProtection="1"/>
    <xf numFmtId="0" fontId="42" fillId="0" borderId="0" xfId="18" applyFont="1" applyAlignment="1">
      <alignment horizontal="left"/>
    </xf>
    <xf numFmtId="37" fontId="32" fillId="9" borderId="0" xfId="0" applyFont="1" applyFill="1"/>
    <xf numFmtId="37" fontId="32" fillId="9" borderId="0" xfId="0" quotePrefix="1" applyFont="1" applyFill="1"/>
    <xf numFmtId="37" fontId="32" fillId="9" borderId="5" xfId="0" applyFont="1" applyFill="1" applyBorder="1"/>
    <xf numFmtId="0" fontId="31" fillId="0" borderId="5" xfId="0" applyNumberFormat="1" applyFont="1" applyBorder="1" applyAlignment="1">
      <alignment horizontal="center" wrapText="1"/>
    </xf>
    <xf numFmtId="0" fontId="2" fillId="0" borderId="0" xfId="0" applyNumberFormat="1" applyFont="1"/>
    <xf numFmtId="166" fontId="21" fillId="0" borderId="0" xfId="0" quotePrefix="1" applyNumberFormat="1" applyFont="1" applyAlignment="1">
      <alignment horizontal="center"/>
    </xf>
    <xf numFmtId="37" fontId="31" fillId="0" borderId="5" xfId="0" applyFont="1" applyBorder="1" applyAlignment="1">
      <alignment horizontal="center" wrapText="1"/>
    </xf>
    <xf numFmtId="39" fontId="31" fillId="0" borderId="5" xfId="0" applyNumberFormat="1" applyFont="1" applyBorder="1" applyAlignment="1">
      <alignment horizontal="center" wrapText="1"/>
    </xf>
    <xf numFmtId="166" fontId="31" fillId="0" borderId="5" xfId="0" applyNumberFormat="1" applyFont="1" applyBorder="1" applyAlignment="1">
      <alignment horizontal="center" wrapText="1"/>
    </xf>
    <xf numFmtId="170" fontId="31" fillId="0" borderId="5" xfId="0" applyNumberFormat="1" applyFont="1" applyBorder="1" applyAlignment="1">
      <alignment horizontal="center" wrapText="1"/>
    </xf>
    <xf numFmtId="168" fontId="2" fillId="0" borderId="10" xfId="40" applyNumberFormat="1" applyFont="1" applyBorder="1"/>
    <xf numFmtId="10" fontId="2" fillId="0" borderId="10" xfId="39" applyNumberFormat="1" applyFont="1" applyBorder="1"/>
    <xf numFmtId="40" fontId="2" fillId="0" borderId="10" xfId="40" applyNumberFormat="1" applyFont="1" applyBorder="1"/>
    <xf numFmtId="14" fontId="2" fillId="0" borderId="0" xfId="0" quotePrefix="1" applyNumberFormat="1" applyFont="1" applyAlignment="1">
      <alignment horizontal="center"/>
    </xf>
    <xf numFmtId="10" fontId="2" fillId="0" borderId="0" xfId="0" applyNumberFormat="1" applyFont="1"/>
    <xf numFmtId="37" fontId="32" fillId="10" borderId="0" xfId="0" applyFont="1" applyFill="1"/>
    <xf numFmtId="10" fontId="27" fillId="0" borderId="0" xfId="27" applyNumberFormat="1" applyFont="1" applyFill="1" applyBorder="1" applyProtection="1"/>
    <xf numFmtId="39" fontId="7" fillId="0" borderId="0" xfId="0" applyNumberFormat="1" applyFont="1"/>
    <xf numFmtId="171" fontId="2" fillId="0" borderId="0" xfId="0" applyNumberFormat="1" applyFont="1" applyAlignment="1">
      <alignment horizontal="center"/>
    </xf>
    <xf numFmtId="37" fontId="8" fillId="0" borderId="0" xfId="0" quotePrefix="1" applyFont="1" applyAlignment="1">
      <alignment horizontal="center"/>
    </xf>
    <xf numFmtId="2" fontId="27" fillId="0" borderId="0" xfId="0" quotePrefix="1" applyNumberFormat="1" applyFont="1" applyAlignment="1">
      <alignment horizontal="left" vertical="top" wrapText="1"/>
    </xf>
    <xf numFmtId="37" fontId="31" fillId="0" borderId="0" xfId="21" applyFont="1" applyAlignment="1">
      <alignment horizontal="center"/>
    </xf>
    <xf numFmtId="37" fontId="31" fillId="0" borderId="0" xfId="0" applyFont="1" applyAlignment="1">
      <alignment horizontal="center"/>
    </xf>
    <xf numFmtId="37" fontId="26" fillId="0" borderId="0" xfId="0" applyFont="1" applyAlignment="1">
      <alignment horizontal="center"/>
    </xf>
    <xf numFmtId="39" fontId="31" fillId="0" borderId="0" xfId="0" quotePrefix="1" applyNumberFormat="1" applyFont="1" applyAlignment="1">
      <alignment horizontal="left"/>
    </xf>
    <xf numFmtId="39" fontId="21" fillId="0" borderId="0" xfId="0" applyNumberFormat="1" applyFont="1" applyAlignment="1">
      <alignment horizontal="left"/>
    </xf>
    <xf numFmtId="39" fontId="2" fillId="0" borderId="0" xfId="0" applyNumberFormat="1" applyFont="1" applyAlignment="1">
      <alignment horizontal="left"/>
    </xf>
    <xf numFmtId="166" fontId="40" fillId="0" borderId="0" xfId="0" applyNumberFormat="1" applyFont="1" applyAlignment="1">
      <alignment horizontal="left"/>
    </xf>
    <xf numFmtId="178" fontId="2" fillId="0" borderId="0" xfId="0" applyNumberFormat="1" applyFont="1" applyAlignment="1">
      <alignment horizontal="left"/>
    </xf>
  </cellXfs>
  <cellStyles count="41">
    <cellStyle name="7" xfId="1" xr:uid="{00000000-0005-0000-0000-000000000000}"/>
    <cellStyle name="Comma" xfId="2" builtinId="3"/>
    <cellStyle name="Currency" xfId="3" builtinId="4"/>
    <cellStyle name="Currency 2" xfId="40" xr:uid="{5071E570-A7A2-4732-8923-E64AE8C58E93}"/>
    <cellStyle name="Custom - Style1" xfId="4" xr:uid="{00000000-0005-0000-0000-000003000000}"/>
    <cellStyle name="Custom - Style8" xfId="5" xr:uid="{00000000-0005-0000-0000-000004000000}"/>
    <cellStyle name="Data   - Style2" xfId="6" xr:uid="{00000000-0005-0000-0000-000005000000}"/>
    <cellStyle name="Labels - Style3" xfId="7" xr:uid="{00000000-0005-0000-0000-000006000000}"/>
    <cellStyle name="Normal" xfId="0" builtinId="0"/>
    <cellStyle name="Normal - Style1" xfId="8" xr:uid="{00000000-0005-0000-0000-000008000000}"/>
    <cellStyle name="Normal - Style2" xfId="9" xr:uid="{00000000-0005-0000-0000-000009000000}"/>
    <cellStyle name="Normal - Style3" xfId="10" xr:uid="{00000000-0005-0000-0000-00000A000000}"/>
    <cellStyle name="Normal - Style4" xfId="11" xr:uid="{00000000-0005-0000-0000-00000B000000}"/>
    <cellStyle name="Normal - Style5" xfId="12" xr:uid="{00000000-0005-0000-0000-00000C000000}"/>
    <cellStyle name="Normal - Style6" xfId="13" xr:uid="{00000000-0005-0000-0000-00000D000000}"/>
    <cellStyle name="Normal - Style7" xfId="14" xr:uid="{00000000-0005-0000-0000-00000E000000}"/>
    <cellStyle name="Normal - Style8" xfId="15" xr:uid="{00000000-0005-0000-0000-00000F000000}"/>
    <cellStyle name="Normal_2005 09 AIF  WORKING COPY" xfId="16" xr:uid="{00000000-0005-0000-0000-000010000000}"/>
    <cellStyle name="Normal_2006 DEC TY TN LEAD LAG" xfId="17" xr:uid="{00000000-0005-0000-0000-000011000000}"/>
    <cellStyle name="Normal_Cost of Capital" xfId="18" xr:uid="{00000000-0005-0000-0000-000012000000}"/>
    <cellStyle name="Normal_LL_Cotten" xfId="19" xr:uid="{00000000-0005-0000-0000-000013000000}"/>
    <cellStyle name="Normal_Missouri Study ending 9-30-05" xfId="20" xr:uid="{00000000-0005-0000-0000-000014000000}"/>
    <cellStyle name="Normal_pr schedule" xfId="38" xr:uid="{00000000-0005-0000-0000-000015000000}"/>
    <cellStyle name="Normal_'Weather Adj FY96 Kansas" xfId="21" xr:uid="{00000000-0005-0000-0000-000016000000}"/>
    <cellStyle name="Output Amounts" xfId="22" xr:uid="{00000000-0005-0000-0000-000017000000}"/>
    <cellStyle name="Output Column Headings" xfId="23" xr:uid="{00000000-0005-0000-0000-000018000000}"/>
    <cellStyle name="Output Line Items" xfId="24" xr:uid="{00000000-0005-0000-0000-000019000000}"/>
    <cellStyle name="Output Report Heading" xfId="25" xr:uid="{00000000-0005-0000-0000-00001A000000}"/>
    <cellStyle name="Output Report Title" xfId="26" xr:uid="{00000000-0005-0000-0000-00001B000000}"/>
    <cellStyle name="Percent" xfId="27" builtinId="5"/>
    <cellStyle name="Percent 2" xfId="39" xr:uid="{A22994E1-69AE-46C1-822C-B3546EAF80DE}"/>
    <cellStyle name="Reset  - Style4" xfId="28" xr:uid="{00000000-0005-0000-0000-00001D000000}"/>
    <cellStyle name="Reset  - Style7" xfId="29" xr:uid="{00000000-0005-0000-0000-00001E000000}"/>
    <cellStyle name="Table  - Style5" xfId="30" xr:uid="{00000000-0005-0000-0000-00001F000000}"/>
    <cellStyle name="Table  - Style6" xfId="31" xr:uid="{00000000-0005-0000-0000-000020000000}"/>
    <cellStyle name="Title  - Style1" xfId="32" xr:uid="{00000000-0005-0000-0000-000021000000}"/>
    <cellStyle name="Title  - Style6" xfId="33" xr:uid="{00000000-0005-0000-0000-000022000000}"/>
    <cellStyle name="TotCol - Style5" xfId="34" xr:uid="{00000000-0005-0000-0000-000023000000}"/>
    <cellStyle name="TotCol - Style7" xfId="35" xr:uid="{00000000-0005-0000-0000-000024000000}"/>
    <cellStyle name="TotRow - Style4" xfId="36" xr:uid="{00000000-0005-0000-0000-000025000000}"/>
    <cellStyle name="TotRow - Style8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theme="6" tint="0.39997558519241921"/>
    <pageSetUpPr fitToPage="1"/>
  </sheetPr>
  <dimension ref="A1:F17"/>
  <sheetViews>
    <sheetView tabSelected="1" zoomScale="75" zoomScaleNormal="75" workbookViewId="0"/>
  </sheetViews>
  <sheetFormatPr defaultColWidth="9.625" defaultRowHeight="15"/>
  <cols>
    <col min="1" max="1" width="3.25" style="3" customWidth="1"/>
    <col min="2" max="2" width="34.25" style="3" bestFit="1" customWidth="1"/>
    <col min="3" max="3" width="26" style="3" bestFit="1" customWidth="1"/>
    <col min="4" max="4" width="21.25" style="3" customWidth="1"/>
    <col min="5" max="5" width="2.5" style="3" customWidth="1"/>
    <col min="6" max="16384" width="9.625" style="3"/>
  </cols>
  <sheetData>
    <row r="1" spans="1:6" ht="15.75">
      <c r="A1" s="40" t="s">
        <v>32</v>
      </c>
      <c r="B1" s="41"/>
      <c r="C1" s="41" t="s">
        <v>2</v>
      </c>
      <c r="D1" s="1" t="s">
        <v>2</v>
      </c>
      <c r="E1" s="1"/>
    </row>
    <row r="2" spans="1:6" ht="15.75">
      <c r="A2" s="40" t="s">
        <v>35</v>
      </c>
      <c r="B2" s="41"/>
      <c r="C2" s="41" t="s">
        <v>2</v>
      </c>
      <c r="D2" s="1" t="s">
        <v>2</v>
      </c>
      <c r="E2" s="1"/>
    </row>
    <row r="3" spans="1:6" ht="15.75">
      <c r="A3" s="40"/>
      <c r="B3" s="41"/>
      <c r="C3" s="41" t="s">
        <v>2</v>
      </c>
      <c r="D3" s="1" t="s">
        <v>2</v>
      </c>
      <c r="E3" s="1"/>
    </row>
    <row r="4" spans="1:6" ht="15.75">
      <c r="A4" s="40"/>
      <c r="B4" s="41"/>
      <c r="C4" s="41" t="s">
        <v>2</v>
      </c>
      <c r="D4" s="1" t="s">
        <v>2</v>
      </c>
      <c r="E4" s="1"/>
    </row>
    <row r="5" spans="1:6" ht="15.75">
      <c r="A5" s="40"/>
      <c r="B5" s="41"/>
      <c r="C5" s="42" t="s">
        <v>2</v>
      </c>
      <c r="D5" s="2" t="s">
        <v>2</v>
      </c>
      <c r="E5" s="2"/>
    </row>
    <row r="6" spans="1:6" ht="15.75">
      <c r="A6" s="40"/>
      <c r="B6" s="41"/>
      <c r="C6" s="42" t="s">
        <v>2</v>
      </c>
      <c r="D6" s="2" t="s">
        <v>2</v>
      </c>
      <c r="E6" s="2"/>
    </row>
    <row r="7" spans="1:6" ht="15.75">
      <c r="A7" s="42"/>
      <c r="B7" s="43" t="s">
        <v>33</v>
      </c>
      <c r="C7" s="44" t="s">
        <v>32</v>
      </c>
      <c r="D7" s="2" t="s">
        <v>2</v>
      </c>
      <c r="E7" s="2"/>
    </row>
    <row r="8" spans="1:6" ht="15.75">
      <c r="A8" s="42"/>
      <c r="B8" s="43" t="s">
        <v>34</v>
      </c>
      <c r="C8" s="44" t="s">
        <v>194</v>
      </c>
      <c r="D8" s="2"/>
      <c r="E8" s="2"/>
    </row>
    <row r="9" spans="1:6" ht="15.75">
      <c r="A9" s="42"/>
      <c r="B9" s="43" t="s">
        <v>210</v>
      </c>
      <c r="C9" s="229">
        <v>45657</v>
      </c>
      <c r="D9"/>
      <c r="E9"/>
      <c r="F9"/>
    </row>
    <row r="10" spans="1:6" ht="15.75">
      <c r="A10" s="45"/>
      <c r="B10" s="43" t="s">
        <v>209</v>
      </c>
      <c r="C10" s="230">
        <v>46112</v>
      </c>
      <c r="D10"/>
      <c r="E10"/>
      <c r="F10"/>
    </row>
    <row r="11" spans="1:6" ht="15.75">
      <c r="A11" s="45"/>
      <c r="B11" s="42"/>
      <c r="C11" s="42"/>
      <c r="D11"/>
      <c r="E11"/>
      <c r="F11"/>
    </row>
    <row r="12" spans="1:6" ht="15.75">
      <c r="A12" s="2"/>
      <c r="B12" s="43" t="s">
        <v>195</v>
      </c>
      <c r="C12" s="230">
        <v>45473</v>
      </c>
      <c r="D12"/>
      <c r="E12"/>
      <c r="F12"/>
    </row>
    <row r="13" spans="1:6" ht="15.75">
      <c r="A13" s="2"/>
      <c r="B13" s="2"/>
      <c r="C13" s="20"/>
      <c r="D13" s="5"/>
      <c r="E13" s="2"/>
    </row>
    <row r="14" spans="1:6" ht="15.75">
      <c r="A14" s="2"/>
      <c r="B14" s="4"/>
      <c r="C14" s="21"/>
      <c r="D14" s="6"/>
      <c r="E14" s="2"/>
    </row>
    <row r="15" spans="1:6" ht="15.75">
      <c r="A15" s="2"/>
      <c r="B15" s="4"/>
      <c r="C15" s="21"/>
      <c r="D15" s="6"/>
      <c r="E15" s="2"/>
    </row>
    <row r="16" spans="1:6" ht="15.75">
      <c r="A16" s="2"/>
      <c r="B16" s="4"/>
      <c r="C16" s="6"/>
      <c r="D16" s="6"/>
      <c r="E16" s="2"/>
    </row>
    <row r="17" spans="1:5" ht="15.75">
      <c r="A17" s="2"/>
      <c r="B17"/>
      <c r="C17"/>
      <c r="D17"/>
      <c r="E17"/>
    </row>
  </sheetData>
  <phoneticPr fontId="17" type="noConversion"/>
  <printOptions horizontalCentered="1"/>
  <pageMargins left="0.87" right="0.5" top="0.64" bottom="0.57999999999999996" header="0.38" footer="0.24"/>
  <pageSetup orientation="landscape" r:id="rId1"/>
  <headerFooter alignWithMargins="0">
    <oddFooter>&amp;C&amp;P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R433"/>
  <sheetViews>
    <sheetView zoomScaleNormal="100" zoomScaleSheetLayoutView="100" workbookViewId="0">
      <pane xSplit="2" ySplit="8" topLeftCell="C9" activePane="bottomRight" state="frozen"/>
      <selection pane="topRight"/>
      <selection pane="bottomLeft"/>
      <selection pane="bottomRight" activeCell="C9" sqref="C9"/>
    </sheetView>
  </sheetViews>
  <sheetFormatPr defaultColWidth="9" defaultRowHeight="12.75"/>
  <cols>
    <col min="1" max="1" width="5.125" style="7" bestFit="1" customWidth="1"/>
    <col min="2" max="2" width="48.5" style="7" bestFit="1" customWidth="1"/>
    <col min="3" max="3" width="9.875" style="19" customWidth="1"/>
    <col min="4" max="4" width="37.125" style="284" bestFit="1" customWidth="1"/>
    <col min="5" max="5" width="9.875" style="8" bestFit="1" customWidth="1"/>
    <col min="6" max="6" width="11.125" style="19" bestFit="1" customWidth="1"/>
    <col min="7" max="11" width="11.25" style="19" customWidth="1"/>
    <col min="12" max="14" width="11.25" style="7" customWidth="1"/>
    <col min="15" max="15" width="12.25" style="7" customWidth="1"/>
    <col min="16" max="18" width="11.25" style="7" customWidth="1"/>
    <col min="19" max="16384" width="9" style="7"/>
  </cols>
  <sheetData>
    <row r="1" spans="1:18">
      <c r="A1" s="74" t="str">
        <f>CONCATENATE(COMPANY,"-",JURISDICTION)</f>
        <v>Atmos Energy Corporation-Kentucky</v>
      </c>
      <c r="B1" s="30"/>
      <c r="C1" s="31"/>
      <c r="D1" s="174"/>
      <c r="E1" s="32"/>
      <c r="F1" s="30"/>
      <c r="G1" s="30"/>
      <c r="H1" s="31"/>
      <c r="I1" s="31"/>
      <c r="J1" s="31"/>
      <c r="K1" s="31"/>
      <c r="L1" s="31"/>
      <c r="M1" s="30"/>
      <c r="N1" s="35"/>
      <c r="O1" s="35"/>
      <c r="Q1" s="35"/>
      <c r="R1" s="37" t="s">
        <v>97</v>
      </c>
    </row>
    <row r="2" spans="1:18">
      <c r="A2" s="75" t="s">
        <v>164</v>
      </c>
      <c r="B2" s="30"/>
      <c r="C2" s="31"/>
      <c r="D2" s="174"/>
      <c r="E2" s="32"/>
      <c r="F2" s="30"/>
      <c r="G2" s="30"/>
      <c r="H2" s="31"/>
      <c r="I2" s="31"/>
      <c r="J2" s="31"/>
      <c r="K2" s="31"/>
      <c r="L2" s="31"/>
      <c r="M2" s="30"/>
      <c r="N2" s="30" t="s">
        <v>2</v>
      </c>
      <c r="O2" s="35"/>
      <c r="P2" s="35"/>
      <c r="Q2" s="35"/>
    </row>
    <row r="3" spans="1:18">
      <c r="A3" s="75" t="str">
        <f>+'ATO-CWC2'!A4</f>
        <v>For Base Period Ended  June 30, 2024</v>
      </c>
      <c r="B3" s="33"/>
      <c r="C3" s="31"/>
      <c r="D3" s="283"/>
      <c r="E3" s="34"/>
      <c r="F3" s="33"/>
      <c r="G3" s="33"/>
      <c r="H3" s="31"/>
      <c r="I3" s="31"/>
      <c r="J3" s="31"/>
      <c r="K3" s="31"/>
      <c r="L3" s="31"/>
      <c r="M3" s="30"/>
      <c r="N3" s="30" t="s">
        <v>2</v>
      </c>
      <c r="O3" s="35"/>
      <c r="P3" s="35"/>
      <c r="Q3" s="35"/>
    </row>
    <row r="4" spans="1:18" ht="15.75">
      <c r="A4" s="30"/>
      <c r="C4" s="264"/>
      <c r="E4"/>
      <c r="F4"/>
      <c r="G4"/>
      <c r="H4"/>
      <c r="I4"/>
      <c r="J4"/>
      <c r="K4"/>
      <c r="L4"/>
      <c r="M4"/>
      <c r="N4"/>
      <c r="O4"/>
      <c r="P4"/>
      <c r="Q4" s="35"/>
    </row>
    <row r="5" spans="1:18" ht="15.75">
      <c r="A5" s="35"/>
      <c r="B5" s="35"/>
      <c r="C5" s="122"/>
      <c r="D5" s="285"/>
      <c r="E5"/>
      <c r="F5"/>
      <c r="G5"/>
      <c r="H5"/>
      <c r="I5"/>
      <c r="J5"/>
      <c r="K5"/>
      <c r="L5"/>
      <c r="M5"/>
      <c r="N5"/>
      <c r="O5"/>
      <c r="P5"/>
      <c r="Q5" s="35"/>
    </row>
    <row r="6" spans="1:18" ht="15.75">
      <c r="A6" s="35"/>
      <c r="B6" s="35"/>
      <c r="C6" s="123"/>
      <c r="D6" s="285"/>
      <c r="E6"/>
      <c r="F6"/>
      <c r="G6"/>
      <c r="H6"/>
      <c r="I6"/>
      <c r="J6"/>
      <c r="K6"/>
      <c r="L6"/>
      <c r="M6"/>
      <c r="N6"/>
      <c r="O6"/>
      <c r="P6"/>
      <c r="Q6" s="35"/>
    </row>
    <row r="7" spans="1:18" s="158" customFormat="1" ht="38.25">
      <c r="A7" s="265" t="s">
        <v>108</v>
      </c>
      <c r="B7" s="265" t="s">
        <v>260</v>
      </c>
      <c r="C7" s="266" t="s">
        <v>261</v>
      </c>
      <c r="D7" s="266" t="s">
        <v>277</v>
      </c>
      <c r="E7" s="266" t="s">
        <v>262</v>
      </c>
      <c r="F7" s="267" t="s">
        <v>76</v>
      </c>
      <c r="G7" s="267" t="s">
        <v>263</v>
      </c>
      <c r="H7" s="268" t="s">
        <v>264</v>
      </c>
      <c r="I7" s="268" t="s">
        <v>265</v>
      </c>
      <c r="J7" s="267" t="s">
        <v>266</v>
      </c>
      <c r="K7" s="262" t="s">
        <v>256</v>
      </c>
      <c r="L7" s="262" t="s">
        <v>257</v>
      </c>
      <c r="M7" s="262" t="s">
        <v>258</v>
      </c>
      <c r="N7" s="262" t="s">
        <v>259</v>
      </c>
      <c r="O7" s="266" t="s">
        <v>268</v>
      </c>
      <c r="P7" s="266" t="s">
        <v>269</v>
      </c>
      <c r="Q7" s="266" t="s">
        <v>270</v>
      </c>
      <c r="R7" s="266" t="s">
        <v>271</v>
      </c>
    </row>
    <row r="8" spans="1:18">
      <c r="A8" s="35"/>
      <c r="B8" s="127" t="s">
        <v>9</v>
      </c>
      <c r="C8" s="128" t="s">
        <v>6</v>
      </c>
      <c r="D8" s="286" t="s">
        <v>7</v>
      </c>
      <c r="E8" s="128" t="s">
        <v>29</v>
      </c>
      <c r="F8" s="128" t="s">
        <v>8</v>
      </c>
      <c r="G8" s="128" t="s">
        <v>10</v>
      </c>
      <c r="H8" s="128" t="s">
        <v>165</v>
      </c>
      <c r="I8" s="128" t="s">
        <v>90</v>
      </c>
      <c r="J8" s="129" t="s">
        <v>94</v>
      </c>
      <c r="K8" s="129" t="s">
        <v>267</v>
      </c>
      <c r="L8" s="129" t="s">
        <v>272</v>
      </c>
      <c r="M8" s="129" t="s">
        <v>166</v>
      </c>
      <c r="N8" s="129" t="s">
        <v>273</v>
      </c>
      <c r="O8" s="129" t="s">
        <v>274</v>
      </c>
      <c r="P8" s="129" t="s">
        <v>275</v>
      </c>
      <c r="Q8" s="129" t="s">
        <v>275</v>
      </c>
      <c r="R8" s="129" t="s">
        <v>276</v>
      </c>
    </row>
    <row r="9" spans="1:18">
      <c r="A9" s="36">
        <v>1</v>
      </c>
      <c r="B9" s="35" t="s">
        <v>667</v>
      </c>
      <c r="C9" s="130">
        <v>45294</v>
      </c>
      <c r="D9" s="287">
        <v>20639275</v>
      </c>
      <c r="E9" s="130">
        <v>45320</v>
      </c>
      <c r="F9" s="130" t="s">
        <v>668</v>
      </c>
      <c r="G9" s="130">
        <v>45330</v>
      </c>
      <c r="H9" s="130">
        <v>45261</v>
      </c>
      <c r="I9" s="130">
        <v>45291</v>
      </c>
      <c r="J9" s="130">
        <f t="shared" ref="J9:J72" si="0">IF(I9&lt;1," ",(((I9-H9)/2)+H9))</f>
        <v>45276</v>
      </c>
      <c r="K9" s="263">
        <f t="shared" ref="K9:K72" si="1">(I9-H9+1)/2</f>
        <v>15.5</v>
      </c>
      <c r="L9" s="35">
        <f t="shared" ref="L9:L72" si="2">E9-C9</f>
        <v>26</v>
      </c>
      <c r="M9" s="35">
        <f t="shared" ref="M9:M72" si="3">G9-E9</f>
        <v>10</v>
      </c>
      <c r="N9" s="35">
        <f t="shared" ref="N9:N72" si="4">M9+L9+K9</f>
        <v>51.5</v>
      </c>
      <c r="O9" s="35">
        <v>90</v>
      </c>
      <c r="P9" s="131">
        <v>95.4</v>
      </c>
      <c r="Q9" s="132">
        <f t="shared" ref="Q9:Q72" si="5">P9/$P$422</f>
        <v>1.0306954925099648E-4</v>
      </c>
      <c r="R9" s="38">
        <f t="shared" ref="R9:R72" si="6">Q9*N9</f>
        <v>5.3080817864263182E-3</v>
      </c>
    </row>
    <row r="10" spans="1:18">
      <c r="A10" s="36">
        <f t="shared" ref="A10:A73" si="7">1+A9</f>
        <v>2</v>
      </c>
      <c r="B10" s="35" t="s">
        <v>667</v>
      </c>
      <c r="C10" s="130">
        <v>45084</v>
      </c>
      <c r="D10" s="287">
        <v>20624561</v>
      </c>
      <c r="E10" s="130">
        <v>45110</v>
      </c>
      <c r="F10" s="130" t="s">
        <v>668</v>
      </c>
      <c r="G10" s="130">
        <v>45118</v>
      </c>
      <c r="H10" s="130">
        <v>45047</v>
      </c>
      <c r="I10" s="130">
        <v>45077</v>
      </c>
      <c r="J10" s="130">
        <f t="shared" si="0"/>
        <v>45062</v>
      </c>
      <c r="K10" s="263">
        <f t="shared" si="1"/>
        <v>15.5</v>
      </c>
      <c r="L10" s="35">
        <f t="shared" si="2"/>
        <v>26</v>
      </c>
      <c r="M10" s="35">
        <f t="shared" si="3"/>
        <v>8</v>
      </c>
      <c r="N10" s="35">
        <f t="shared" si="4"/>
        <v>49.5</v>
      </c>
      <c r="O10" s="35">
        <v>85</v>
      </c>
      <c r="P10" s="131">
        <v>90.1</v>
      </c>
      <c r="Q10" s="132">
        <f t="shared" si="5"/>
        <v>9.7343463181496663E-5</v>
      </c>
      <c r="R10" s="38">
        <f t="shared" si="6"/>
        <v>4.8185014274840848E-3</v>
      </c>
    </row>
    <row r="11" spans="1:18">
      <c r="A11" s="36">
        <f t="shared" si="7"/>
        <v>3</v>
      </c>
      <c r="B11" s="35" t="s">
        <v>667</v>
      </c>
      <c r="C11" s="130">
        <v>45265</v>
      </c>
      <c r="D11" s="287">
        <v>20637428</v>
      </c>
      <c r="E11" s="130">
        <v>45294</v>
      </c>
      <c r="F11" s="130" t="s">
        <v>668</v>
      </c>
      <c r="G11" s="130">
        <v>45301</v>
      </c>
      <c r="H11" s="130">
        <v>45231</v>
      </c>
      <c r="I11" s="130">
        <v>45260</v>
      </c>
      <c r="J11" s="130">
        <f t="shared" si="0"/>
        <v>45245.5</v>
      </c>
      <c r="K11" s="263">
        <f t="shared" si="1"/>
        <v>15</v>
      </c>
      <c r="L11" s="35">
        <f t="shared" si="2"/>
        <v>29</v>
      </c>
      <c r="M11" s="35">
        <f t="shared" si="3"/>
        <v>7</v>
      </c>
      <c r="N11" s="35">
        <f t="shared" si="4"/>
        <v>51</v>
      </c>
      <c r="O11" s="35">
        <v>85</v>
      </c>
      <c r="P11" s="131">
        <v>90.1</v>
      </c>
      <c r="Q11" s="132">
        <f t="shared" si="5"/>
        <v>9.7343463181496663E-5</v>
      </c>
      <c r="R11" s="38">
        <f t="shared" si="6"/>
        <v>4.9645166222563302E-3</v>
      </c>
    </row>
    <row r="12" spans="1:18">
      <c r="A12" s="36">
        <f t="shared" si="7"/>
        <v>4</v>
      </c>
      <c r="B12" s="35" t="s">
        <v>667</v>
      </c>
      <c r="C12" s="130">
        <v>45398</v>
      </c>
      <c r="D12" s="287">
        <v>20644868</v>
      </c>
      <c r="E12" s="130">
        <v>45425</v>
      </c>
      <c r="F12" s="130" t="s">
        <v>668</v>
      </c>
      <c r="G12" s="130">
        <v>45433</v>
      </c>
      <c r="H12" s="130">
        <v>45292</v>
      </c>
      <c r="I12" s="130">
        <v>45382</v>
      </c>
      <c r="J12" s="130">
        <f t="shared" si="0"/>
        <v>45337</v>
      </c>
      <c r="K12" s="263">
        <f t="shared" si="1"/>
        <v>45.5</v>
      </c>
      <c r="L12" s="35">
        <f t="shared" si="2"/>
        <v>27</v>
      </c>
      <c r="M12" s="35">
        <f t="shared" si="3"/>
        <v>8</v>
      </c>
      <c r="N12" s="35">
        <f t="shared" si="4"/>
        <v>80.5</v>
      </c>
      <c r="O12" s="35">
        <v>45</v>
      </c>
      <c r="P12" s="131">
        <v>45</v>
      </c>
      <c r="Q12" s="132">
        <f t="shared" si="5"/>
        <v>4.861771191084739E-5</v>
      </c>
      <c r="R12" s="38">
        <f t="shared" si="6"/>
        <v>3.9137258088232148E-3</v>
      </c>
    </row>
    <row r="13" spans="1:18">
      <c r="A13" s="36">
        <f t="shared" si="7"/>
        <v>5</v>
      </c>
      <c r="B13" s="35" t="s">
        <v>669</v>
      </c>
      <c r="C13" s="130">
        <v>45291</v>
      </c>
      <c r="D13" s="287">
        <v>5504664731</v>
      </c>
      <c r="E13" s="130">
        <v>45316</v>
      </c>
      <c r="F13" s="130" t="s">
        <v>670</v>
      </c>
      <c r="G13" s="130">
        <v>45316</v>
      </c>
      <c r="H13" s="130">
        <v>45261</v>
      </c>
      <c r="I13" s="130">
        <v>45291</v>
      </c>
      <c r="J13" s="130">
        <f t="shared" si="0"/>
        <v>45276</v>
      </c>
      <c r="K13" s="263">
        <f t="shared" si="1"/>
        <v>15.5</v>
      </c>
      <c r="L13" s="35">
        <f t="shared" si="2"/>
        <v>25</v>
      </c>
      <c r="M13" s="35">
        <f t="shared" si="3"/>
        <v>0</v>
      </c>
      <c r="N13" s="35">
        <f t="shared" si="4"/>
        <v>40.5</v>
      </c>
      <c r="O13" s="35">
        <v>14716.76</v>
      </c>
      <c r="P13" s="131">
        <v>84.98</v>
      </c>
      <c r="Q13" s="132">
        <f t="shared" si="5"/>
        <v>9.1811847959640254E-5</v>
      </c>
      <c r="R13" s="38">
        <f t="shared" si="6"/>
        <v>3.7183798423654304E-3</v>
      </c>
    </row>
    <row r="14" spans="1:18">
      <c r="A14" s="36">
        <f t="shared" si="7"/>
        <v>6</v>
      </c>
      <c r="B14" s="35" t="s">
        <v>669</v>
      </c>
      <c r="C14" s="130">
        <v>45422</v>
      </c>
      <c r="D14" s="287">
        <v>9149776369</v>
      </c>
      <c r="E14" s="130">
        <v>45447</v>
      </c>
      <c r="F14" s="130" t="s">
        <v>670</v>
      </c>
      <c r="G14" s="130">
        <v>45447</v>
      </c>
      <c r="H14" s="130">
        <v>45422</v>
      </c>
      <c r="I14" s="130">
        <v>45422</v>
      </c>
      <c r="J14" s="130">
        <f t="shared" si="0"/>
        <v>45422</v>
      </c>
      <c r="K14" s="263">
        <f t="shared" si="1"/>
        <v>0.5</v>
      </c>
      <c r="L14" s="35">
        <f t="shared" si="2"/>
        <v>25</v>
      </c>
      <c r="M14" s="35">
        <f t="shared" si="3"/>
        <v>0</v>
      </c>
      <c r="N14" s="35">
        <f t="shared" si="4"/>
        <v>25.5</v>
      </c>
      <c r="O14" s="35">
        <v>449.35</v>
      </c>
      <c r="P14" s="131">
        <v>182.95</v>
      </c>
      <c r="Q14" s="132">
        <f t="shared" si="5"/>
        <v>1.9765800875754511E-4</v>
      </c>
      <c r="R14" s="38">
        <f t="shared" si="6"/>
        <v>5.0402792233174001E-3</v>
      </c>
    </row>
    <row r="15" spans="1:18">
      <c r="A15" s="36">
        <f t="shared" si="7"/>
        <v>7</v>
      </c>
      <c r="B15" s="35" t="s">
        <v>669</v>
      </c>
      <c r="C15" s="130">
        <v>45351</v>
      </c>
      <c r="D15" s="287">
        <v>5506298860</v>
      </c>
      <c r="E15" s="130">
        <v>45376</v>
      </c>
      <c r="F15" s="130" t="s">
        <v>668</v>
      </c>
      <c r="G15" s="130">
        <v>45385</v>
      </c>
      <c r="H15" s="130">
        <v>45323</v>
      </c>
      <c r="I15" s="130">
        <v>45351</v>
      </c>
      <c r="J15" s="130">
        <f t="shared" si="0"/>
        <v>45337</v>
      </c>
      <c r="K15" s="263">
        <f t="shared" si="1"/>
        <v>14.5</v>
      </c>
      <c r="L15" s="35">
        <f t="shared" si="2"/>
        <v>25</v>
      </c>
      <c r="M15" s="35">
        <f t="shared" si="3"/>
        <v>9</v>
      </c>
      <c r="N15" s="35">
        <f t="shared" si="4"/>
        <v>48.5</v>
      </c>
      <c r="O15" s="35">
        <v>22082.23</v>
      </c>
      <c r="P15" s="131">
        <v>94.21</v>
      </c>
      <c r="Q15" s="132">
        <f t="shared" si="5"/>
        <v>1.0178388086935406E-4</v>
      </c>
      <c r="R15" s="38">
        <f t="shared" si="6"/>
        <v>4.936518222163672E-3</v>
      </c>
    </row>
    <row r="16" spans="1:18">
      <c r="A16" s="36">
        <f t="shared" si="7"/>
        <v>8</v>
      </c>
      <c r="B16" s="35" t="s">
        <v>669</v>
      </c>
      <c r="C16" s="130">
        <v>45199</v>
      </c>
      <c r="D16" s="287">
        <v>5502434762</v>
      </c>
      <c r="E16" s="130">
        <v>45224</v>
      </c>
      <c r="F16" s="130" t="s">
        <v>671</v>
      </c>
      <c r="G16" s="130">
        <v>45224</v>
      </c>
      <c r="H16" s="130">
        <v>45170</v>
      </c>
      <c r="I16" s="130">
        <v>45199</v>
      </c>
      <c r="J16" s="130">
        <f t="shared" si="0"/>
        <v>45184.5</v>
      </c>
      <c r="K16" s="263">
        <f t="shared" si="1"/>
        <v>15</v>
      </c>
      <c r="L16" s="35">
        <f t="shared" si="2"/>
        <v>25</v>
      </c>
      <c r="M16" s="35">
        <f t="shared" si="3"/>
        <v>0</v>
      </c>
      <c r="N16" s="35">
        <f t="shared" si="4"/>
        <v>40</v>
      </c>
      <c r="O16" s="35">
        <v>19679.77</v>
      </c>
      <c r="P16" s="131">
        <v>81.13</v>
      </c>
      <c r="Q16" s="132">
        <f t="shared" si="5"/>
        <v>8.7652332607267744E-5</v>
      </c>
      <c r="R16" s="38">
        <f t="shared" si="6"/>
        <v>3.5060933042907099E-3</v>
      </c>
    </row>
    <row r="17" spans="1:18">
      <c r="A17" s="36">
        <f t="shared" si="7"/>
        <v>9</v>
      </c>
      <c r="B17" s="35" t="s">
        <v>669</v>
      </c>
      <c r="C17" s="130">
        <v>45287</v>
      </c>
      <c r="D17" s="287">
        <v>9145368936</v>
      </c>
      <c r="E17" s="130">
        <v>45313</v>
      </c>
      <c r="F17" s="130" t="s">
        <v>668</v>
      </c>
      <c r="G17" s="130">
        <v>45321</v>
      </c>
      <c r="H17" s="130">
        <v>45287</v>
      </c>
      <c r="I17" s="130">
        <v>45287</v>
      </c>
      <c r="J17" s="130">
        <f t="shared" si="0"/>
        <v>45287</v>
      </c>
      <c r="K17" s="263">
        <f t="shared" si="1"/>
        <v>0.5</v>
      </c>
      <c r="L17" s="35">
        <f t="shared" si="2"/>
        <v>26</v>
      </c>
      <c r="M17" s="35">
        <f t="shared" si="3"/>
        <v>8</v>
      </c>
      <c r="N17" s="35">
        <f t="shared" si="4"/>
        <v>34.5</v>
      </c>
      <c r="O17" s="35">
        <v>351.82</v>
      </c>
      <c r="P17" s="131">
        <v>92.38</v>
      </c>
      <c r="Q17" s="132">
        <f t="shared" si="5"/>
        <v>9.98067605849796E-5</v>
      </c>
      <c r="R17" s="38">
        <f t="shared" si="6"/>
        <v>3.4433332401817961E-3</v>
      </c>
    </row>
    <row r="18" spans="1:18">
      <c r="A18" s="36">
        <f t="shared" si="7"/>
        <v>10</v>
      </c>
      <c r="B18" s="35" t="s">
        <v>669</v>
      </c>
      <c r="C18" s="130">
        <v>45379</v>
      </c>
      <c r="D18" s="287">
        <v>9148322882</v>
      </c>
      <c r="E18" s="130">
        <v>45404</v>
      </c>
      <c r="F18" s="130" t="s">
        <v>670</v>
      </c>
      <c r="G18" s="130">
        <v>45404</v>
      </c>
      <c r="H18" s="130">
        <v>45379</v>
      </c>
      <c r="I18" s="130">
        <v>45379</v>
      </c>
      <c r="J18" s="130">
        <f t="shared" si="0"/>
        <v>45379</v>
      </c>
      <c r="K18" s="263">
        <f t="shared" si="1"/>
        <v>0.5</v>
      </c>
      <c r="L18" s="35">
        <f t="shared" si="2"/>
        <v>25</v>
      </c>
      <c r="M18" s="35">
        <f t="shared" si="3"/>
        <v>0</v>
      </c>
      <c r="N18" s="35">
        <f t="shared" si="4"/>
        <v>25.5</v>
      </c>
      <c r="O18" s="35">
        <v>3637.43</v>
      </c>
      <c r="P18" s="131">
        <v>430.28</v>
      </c>
      <c r="Q18" s="132">
        <f t="shared" si="5"/>
        <v>4.6487175735554254E-4</v>
      </c>
      <c r="R18" s="38">
        <f t="shared" si="6"/>
        <v>1.1854229812566335E-2</v>
      </c>
    </row>
    <row r="19" spans="1:18">
      <c r="A19" s="36">
        <f t="shared" si="7"/>
        <v>11</v>
      </c>
      <c r="B19" s="35" t="s">
        <v>672</v>
      </c>
      <c r="C19" s="130">
        <v>45260</v>
      </c>
      <c r="D19" s="287">
        <v>9752747</v>
      </c>
      <c r="E19" s="130">
        <v>45287</v>
      </c>
      <c r="F19" s="130" t="s">
        <v>668</v>
      </c>
      <c r="G19" s="130">
        <v>45296</v>
      </c>
      <c r="H19" s="130">
        <v>45231</v>
      </c>
      <c r="I19" s="130">
        <v>45260</v>
      </c>
      <c r="J19" s="130">
        <f t="shared" si="0"/>
        <v>45245.5</v>
      </c>
      <c r="K19" s="263">
        <f t="shared" si="1"/>
        <v>15</v>
      </c>
      <c r="L19" s="35">
        <f t="shared" si="2"/>
        <v>27</v>
      </c>
      <c r="M19" s="35">
        <f t="shared" si="3"/>
        <v>9</v>
      </c>
      <c r="N19" s="35">
        <f t="shared" si="4"/>
        <v>51</v>
      </c>
      <c r="O19" s="35">
        <v>155.47999999999999</v>
      </c>
      <c r="P19" s="131">
        <v>103.04</v>
      </c>
      <c r="Q19" s="132">
        <f t="shared" si="5"/>
        <v>1.1132375633986035E-4</v>
      </c>
      <c r="R19" s="38">
        <f t="shared" si="6"/>
        <v>5.6775115733328774E-3</v>
      </c>
    </row>
    <row r="20" spans="1:18">
      <c r="A20" s="36">
        <f t="shared" si="7"/>
        <v>12</v>
      </c>
      <c r="B20" s="35" t="s">
        <v>673</v>
      </c>
      <c r="C20" s="130">
        <v>45418</v>
      </c>
      <c r="D20" s="287">
        <v>43293</v>
      </c>
      <c r="E20" s="130">
        <v>45446</v>
      </c>
      <c r="F20" s="130" t="s">
        <v>668</v>
      </c>
      <c r="G20" s="130">
        <v>45454</v>
      </c>
      <c r="H20" s="130">
        <v>45381</v>
      </c>
      <c r="I20" s="130">
        <v>45408</v>
      </c>
      <c r="J20" s="130">
        <f t="shared" si="0"/>
        <v>45394.5</v>
      </c>
      <c r="K20" s="263">
        <f t="shared" si="1"/>
        <v>14</v>
      </c>
      <c r="L20" s="35">
        <f t="shared" si="2"/>
        <v>28</v>
      </c>
      <c r="M20" s="35">
        <f t="shared" si="3"/>
        <v>8</v>
      </c>
      <c r="N20" s="35">
        <f t="shared" si="4"/>
        <v>50</v>
      </c>
      <c r="O20" s="35">
        <v>1114.07</v>
      </c>
      <c r="P20" s="131">
        <v>1114.07</v>
      </c>
      <c r="Q20" s="132">
        <f t="shared" si="5"/>
        <v>1.2036340957448388E-3</v>
      </c>
      <c r="R20" s="38">
        <f t="shared" si="6"/>
        <v>6.0181704787241941E-2</v>
      </c>
    </row>
    <row r="21" spans="1:18">
      <c r="A21" s="36">
        <f t="shared" si="7"/>
        <v>13</v>
      </c>
      <c r="B21" s="35" t="s">
        <v>674</v>
      </c>
      <c r="C21" s="130">
        <v>45170</v>
      </c>
      <c r="D21" s="287" t="s">
        <v>675</v>
      </c>
      <c r="E21" s="130">
        <v>45182</v>
      </c>
      <c r="F21" s="130" t="s">
        <v>668</v>
      </c>
      <c r="G21" s="130">
        <v>45188</v>
      </c>
      <c r="H21" s="130">
        <v>45139</v>
      </c>
      <c r="I21" s="130">
        <v>45170</v>
      </c>
      <c r="J21" s="130">
        <f t="shared" si="0"/>
        <v>45154.5</v>
      </c>
      <c r="K21" s="263">
        <f t="shared" si="1"/>
        <v>16</v>
      </c>
      <c r="L21" s="35">
        <f t="shared" si="2"/>
        <v>12</v>
      </c>
      <c r="M21" s="35">
        <f t="shared" si="3"/>
        <v>6</v>
      </c>
      <c r="N21" s="35">
        <f t="shared" si="4"/>
        <v>34</v>
      </c>
      <c r="O21" s="35">
        <v>103863.51</v>
      </c>
      <c r="P21" s="131">
        <v>3868.19</v>
      </c>
      <c r="Q21" s="132">
        <f t="shared" si="5"/>
        <v>4.1791677119204619E-3</v>
      </c>
      <c r="R21" s="38">
        <f t="shared" si="6"/>
        <v>0.14209170220529571</v>
      </c>
    </row>
    <row r="22" spans="1:18">
      <c r="A22" s="36">
        <f t="shared" si="7"/>
        <v>14</v>
      </c>
      <c r="B22" s="35" t="s">
        <v>676</v>
      </c>
      <c r="C22" s="130">
        <v>45394</v>
      </c>
      <c r="D22" s="287" t="s">
        <v>677</v>
      </c>
      <c r="E22" s="130">
        <v>45413</v>
      </c>
      <c r="F22" s="130" t="s">
        <v>668</v>
      </c>
      <c r="G22" s="130">
        <v>45421</v>
      </c>
      <c r="H22" s="130">
        <v>45363</v>
      </c>
      <c r="I22" s="130">
        <v>45394</v>
      </c>
      <c r="J22" s="130">
        <f t="shared" si="0"/>
        <v>45378.5</v>
      </c>
      <c r="K22" s="263">
        <f t="shared" si="1"/>
        <v>16</v>
      </c>
      <c r="L22" s="35">
        <f t="shared" si="2"/>
        <v>19</v>
      </c>
      <c r="M22" s="35">
        <f t="shared" si="3"/>
        <v>8</v>
      </c>
      <c r="N22" s="35">
        <f t="shared" si="4"/>
        <v>43</v>
      </c>
      <c r="O22" s="35">
        <v>206386.45</v>
      </c>
      <c r="P22" s="131">
        <v>6442.72</v>
      </c>
      <c r="Q22" s="132">
        <f t="shared" si="5"/>
        <v>6.9606734418278821E-3</v>
      </c>
      <c r="R22" s="38">
        <f t="shared" si="6"/>
        <v>0.29930895799859891</v>
      </c>
    </row>
    <row r="23" spans="1:18">
      <c r="A23" s="36">
        <f t="shared" si="7"/>
        <v>15</v>
      </c>
      <c r="B23" s="35" t="s">
        <v>678</v>
      </c>
      <c r="C23" s="130">
        <v>45268</v>
      </c>
      <c r="D23" s="287" t="s">
        <v>679</v>
      </c>
      <c r="E23" s="130">
        <v>45271</v>
      </c>
      <c r="F23" s="130" t="s">
        <v>671</v>
      </c>
      <c r="G23" s="130">
        <v>45271</v>
      </c>
      <c r="H23" s="130">
        <v>45217</v>
      </c>
      <c r="I23" s="130">
        <v>45245</v>
      </c>
      <c r="J23" s="130">
        <f t="shared" si="0"/>
        <v>45231</v>
      </c>
      <c r="K23" s="263">
        <f t="shared" si="1"/>
        <v>14.5</v>
      </c>
      <c r="L23" s="35">
        <f t="shared" si="2"/>
        <v>3</v>
      </c>
      <c r="M23" s="35">
        <f t="shared" si="3"/>
        <v>0</v>
      </c>
      <c r="N23" s="35">
        <f t="shared" si="4"/>
        <v>17.5</v>
      </c>
      <c r="O23" s="35">
        <v>16983.939999999999</v>
      </c>
      <c r="P23" s="131">
        <v>57.91</v>
      </c>
      <c r="Q23" s="132">
        <f t="shared" si="5"/>
        <v>6.2565593261270494E-5</v>
      </c>
      <c r="R23" s="38">
        <f t="shared" si="6"/>
        <v>1.0948978820722337E-3</v>
      </c>
    </row>
    <row r="24" spans="1:18">
      <c r="A24" s="36">
        <f t="shared" si="7"/>
        <v>16</v>
      </c>
      <c r="B24" s="35" t="s">
        <v>678</v>
      </c>
      <c r="C24" s="130">
        <v>45177</v>
      </c>
      <c r="D24" s="287" t="s">
        <v>680</v>
      </c>
      <c r="E24" s="130">
        <v>45180</v>
      </c>
      <c r="F24" s="130" t="s">
        <v>671</v>
      </c>
      <c r="G24" s="130">
        <v>45180</v>
      </c>
      <c r="H24" s="130">
        <v>45126</v>
      </c>
      <c r="I24" s="130">
        <v>45154</v>
      </c>
      <c r="J24" s="130">
        <f t="shared" si="0"/>
        <v>45140</v>
      </c>
      <c r="K24" s="263">
        <f t="shared" si="1"/>
        <v>14.5</v>
      </c>
      <c r="L24" s="35">
        <f t="shared" si="2"/>
        <v>3</v>
      </c>
      <c r="M24" s="35">
        <f t="shared" si="3"/>
        <v>0</v>
      </c>
      <c r="N24" s="35">
        <f t="shared" si="4"/>
        <v>17.5</v>
      </c>
      <c r="O24" s="35">
        <v>6898.32</v>
      </c>
      <c r="P24" s="131">
        <v>26.92</v>
      </c>
      <c r="Q24" s="132">
        <f t="shared" si="5"/>
        <v>2.9084195658666929E-5</v>
      </c>
      <c r="R24" s="38">
        <f t="shared" si="6"/>
        <v>5.0897342402667122E-4</v>
      </c>
    </row>
    <row r="25" spans="1:18">
      <c r="A25" s="36">
        <f t="shared" si="7"/>
        <v>17</v>
      </c>
      <c r="B25" s="35" t="s">
        <v>678</v>
      </c>
      <c r="C25" s="130">
        <v>45301</v>
      </c>
      <c r="D25" s="287" t="s">
        <v>681</v>
      </c>
      <c r="E25" s="130">
        <v>45303</v>
      </c>
      <c r="F25" s="130" t="s">
        <v>671</v>
      </c>
      <c r="G25" s="130">
        <v>45303</v>
      </c>
      <c r="H25" s="130">
        <v>45234</v>
      </c>
      <c r="I25" s="130">
        <v>45265</v>
      </c>
      <c r="J25" s="130">
        <f t="shared" si="0"/>
        <v>45249.5</v>
      </c>
      <c r="K25" s="263">
        <f t="shared" si="1"/>
        <v>16</v>
      </c>
      <c r="L25" s="35">
        <f t="shared" si="2"/>
        <v>2</v>
      </c>
      <c r="M25" s="35">
        <f t="shared" si="3"/>
        <v>0</v>
      </c>
      <c r="N25" s="35">
        <f t="shared" si="4"/>
        <v>18</v>
      </c>
      <c r="O25" s="35">
        <v>17825.400000000001</v>
      </c>
      <c r="P25" s="131">
        <v>28.74</v>
      </c>
      <c r="Q25" s="132">
        <f t="shared" si="5"/>
        <v>3.1050512007061202E-5</v>
      </c>
      <c r="R25" s="38">
        <f t="shared" si="6"/>
        <v>5.5890921612710169E-4</v>
      </c>
    </row>
    <row r="26" spans="1:18">
      <c r="A26" s="36">
        <f t="shared" si="7"/>
        <v>18</v>
      </c>
      <c r="B26" s="35" t="s">
        <v>678</v>
      </c>
      <c r="C26" s="130">
        <v>45392</v>
      </c>
      <c r="D26" s="287" t="s">
        <v>682</v>
      </c>
      <c r="E26" s="130">
        <v>45397</v>
      </c>
      <c r="F26" s="130" t="s">
        <v>670</v>
      </c>
      <c r="G26" s="130">
        <v>45397</v>
      </c>
      <c r="H26" s="130">
        <v>45328</v>
      </c>
      <c r="I26" s="130">
        <v>45356</v>
      </c>
      <c r="J26" s="130">
        <f t="shared" si="0"/>
        <v>45342</v>
      </c>
      <c r="K26" s="263">
        <f t="shared" si="1"/>
        <v>14.5</v>
      </c>
      <c r="L26" s="35">
        <f t="shared" si="2"/>
        <v>5</v>
      </c>
      <c r="M26" s="35">
        <f t="shared" si="3"/>
        <v>0</v>
      </c>
      <c r="N26" s="35">
        <f t="shared" si="4"/>
        <v>19.5</v>
      </c>
      <c r="O26" s="35">
        <v>29523.24</v>
      </c>
      <c r="P26" s="131">
        <v>39.299999999999997</v>
      </c>
      <c r="Q26" s="132">
        <f t="shared" si="5"/>
        <v>4.2459468402140054E-5</v>
      </c>
      <c r="R26" s="38">
        <f t="shared" si="6"/>
        <v>8.2795963384173102E-4</v>
      </c>
    </row>
    <row r="27" spans="1:18">
      <c r="A27" s="36">
        <f t="shared" si="7"/>
        <v>19</v>
      </c>
      <c r="B27" s="35" t="s">
        <v>678</v>
      </c>
      <c r="C27" s="130">
        <v>45177</v>
      </c>
      <c r="D27" s="287" t="s">
        <v>683</v>
      </c>
      <c r="E27" s="130">
        <v>45180</v>
      </c>
      <c r="F27" s="130" t="s">
        <v>671</v>
      </c>
      <c r="G27" s="130">
        <v>45180</v>
      </c>
      <c r="H27" s="130">
        <v>45121</v>
      </c>
      <c r="I27" s="130">
        <v>45149</v>
      </c>
      <c r="J27" s="130">
        <f t="shared" si="0"/>
        <v>45135</v>
      </c>
      <c r="K27" s="263">
        <f t="shared" si="1"/>
        <v>14.5</v>
      </c>
      <c r="L27" s="35">
        <f t="shared" si="2"/>
        <v>3</v>
      </c>
      <c r="M27" s="35">
        <f t="shared" si="3"/>
        <v>0</v>
      </c>
      <c r="N27" s="35">
        <f t="shared" si="4"/>
        <v>17.5</v>
      </c>
      <c r="O27" s="35">
        <v>6898.32</v>
      </c>
      <c r="P27" s="131">
        <v>0.34</v>
      </c>
      <c r="Q27" s="132">
        <f t="shared" si="5"/>
        <v>3.6733382332640255E-7</v>
      </c>
      <c r="R27" s="38">
        <f t="shared" si="6"/>
        <v>6.4283419082120444E-6</v>
      </c>
    </row>
    <row r="28" spans="1:18">
      <c r="A28" s="36">
        <f t="shared" si="7"/>
        <v>20</v>
      </c>
      <c r="B28" s="35" t="s">
        <v>678</v>
      </c>
      <c r="C28" s="130">
        <v>45177</v>
      </c>
      <c r="D28" s="287" t="s">
        <v>684</v>
      </c>
      <c r="E28" s="130">
        <v>45180</v>
      </c>
      <c r="F28" s="130" t="s">
        <v>671</v>
      </c>
      <c r="G28" s="130">
        <v>45180</v>
      </c>
      <c r="H28" s="130">
        <v>45114</v>
      </c>
      <c r="I28" s="130">
        <v>45141</v>
      </c>
      <c r="J28" s="130">
        <f t="shared" si="0"/>
        <v>45127.5</v>
      </c>
      <c r="K28" s="263">
        <f t="shared" si="1"/>
        <v>14</v>
      </c>
      <c r="L28" s="35">
        <f t="shared" si="2"/>
        <v>3</v>
      </c>
      <c r="M28" s="35">
        <f t="shared" si="3"/>
        <v>0</v>
      </c>
      <c r="N28" s="35">
        <f t="shared" si="4"/>
        <v>17</v>
      </c>
      <c r="O28" s="35">
        <v>6898.32</v>
      </c>
      <c r="P28" s="131">
        <v>4.4000000000000004</v>
      </c>
      <c r="Q28" s="132">
        <f t="shared" si="5"/>
        <v>4.7537318312828563E-6</v>
      </c>
      <c r="R28" s="38">
        <f t="shared" si="6"/>
        <v>8.0813441131808559E-5</v>
      </c>
    </row>
    <row r="29" spans="1:18">
      <c r="A29" s="36">
        <f t="shared" si="7"/>
        <v>21</v>
      </c>
      <c r="B29" s="35" t="s">
        <v>678</v>
      </c>
      <c r="C29" s="130">
        <v>45240</v>
      </c>
      <c r="D29" s="287" t="s">
        <v>685</v>
      </c>
      <c r="E29" s="130">
        <v>45243</v>
      </c>
      <c r="F29" s="130" t="s">
        <v>671</v>
      </c>
      <c r="G29" s="130">
        <v>45243</v>
      </c>
      <c r="H29" s="130">
        <v>45188</v>
      </c>
      <c r="I29" s="130">
        <v>45216</v>
      </c>
      <c r="J29" s="130">
        <f t="shared" si="0"/>
        <v>45202</v>
      </c>
      <c r="K29" s="263">
        <f t="shared" si="1"/>
        <v>14.5</v>
      </c>
      <c r="L29" s="35">
        <f t="shared" si="2"/>
        <v>3</v>
      </c>
      <c r="M29" s="35">
        <f t="shared" si="3"/>
        <v>0</v>
      </c>
      <c r="N29" s="35">
        <f t="shared" si="4"/>
        <v>17.5</v>
      </c>
      <c r="O29" s="35">
        <v>7166.29</v>
      </c>
      <c r="P29" s="131">
        <v>10.5</v>
      </c>
      <c r="Q29" s="132">
        <f t="shared" si="5"/>
        <v>1.1344132779197725E-5</v>
      </c>
      <c r="R29" s="38">
        <f t="shared" si="6"/>
        <v>1.985223236359602E-4</v>
      </c>
    </row>
    <row r="30" spans="1:18">
      <c r="A30" s="36">
        <f t="shared" si="7"/>
        <v>22</v>
      </c>
      <c r="B30" s="35" t="s">
        <v>678</v>
      </c>
      <c r="C30" s="130">
        <v>45117</v>
      </c>
      <c r="D30" s="287" t="s">
        <v>686</v>
      </c>
      <c r="E30" s="130">
        <v>45119</v>
      </c>
      <c r="F30" s="130" t="s">
        <v>671</v>
      </c>
      <c r="G30" s="130">
        <v>45119</v>
      </c>
      <c r="H30" s="130">
        <v>45063</v>
      </c>
      <c r="I30" s="130">
        <v>45093</v>
      </c>
      <c r="J30" s="130">
        <f t="shared" si="0"/>
        <v>45078</v>
      </c>
      <c r="K30" s="263">
        <f t="shared" si="1"/>
        <v>15.5</v>
      </c>
      <c r="L30" s="35">
        <f t="shared" si="2"/>
        <v>2</v>
      </c>
      <c r="M30" s="35">
        <f t="shared" si="3"/>
        <v>0</v>
      </c>
      <c r="N30" s="35">
        <f t="shared" si="4"/>
        <v>17.5</v>
      </c>
      <c r="O30" s="35">
        <v>7866.31</v>
      </c>
      <c r="P30" s="131">
        <v>12.27</v>
      </c>
      <c r="Q30" s="132">
        <f t="shared" si="5"/>
        <v>1.3256429447691055E-5</v>
      </c>
      <c r="R30" s="38">
        <f t="shared" si="6"/>
        <v>2.3198751533459345E-4</v>
      </c>
    </row>
    <row r="31" spans="1:18">
      <c r="A31" s="36">
        <f t="shared" si="7"/>
        <v>23</v>
      </c>
      <c r="B31" s="35" t="s">
        <v>687</v>
      </c>
      <c r="C31" s="130">
        <v>45229</v>
      </c>
      <c r="D31" s="287" t="s">
        <v>688</v>
      </c>
      <c r="E31" s="130">
        <v>45237</v>
      </c>
      <c r="F31" s="130" t="s">
        <v>671</v>
      </c>
      <c r="G31" s="130">
        <v>45237</v>
      </c>
      <c r="H31" s="130">
        <v>45225</v>
      </c>
      <c r="I31" s="130">
        <v>45225</v>
      </c>
      <c r="J31" s="130">
        <f t="shared" si="0"/>
        <v>45225</v>
      </c>
      <c r="K31" s="263">
        <f t="shared" si="1"/>
        <v>0.5</v>
      </c>
      <c r="L31" s="35">
        <f t="shared" si="2"/>
        <v>8</v>
      </c>
      <c r="M31" s="35">
        <f t="shared" si="3"/>
        <v>0</v>
      </c>
      <c r="N31" s="35">
        <f t="shared" si="4"/>
        <v>8.5</v>
      </c>
      <c r="O31" s="35">
        <v>401.42</v>
      </c>
      <c r="P31" s="131">
        <v>401.42</v>
      </c>
      <c r="Q31" s="132">
        <f t="shared" si="5"/>
        <v>4.3369159811671912E-4</v>
      </c>
      <c r="R31" s="38">
        <f t="shared" si="6"/>
        <v>3.6863785839921126E-3</v>
      </c>
    </row>
    <row r="32" spans="1:18">
      <c r="A32" s="36">
        <f t="shared" si="7"/>
        <v>24</v>
      </c>
      <c r="B32" s="35" t="s">
        <v>689</v>
      </c>
      <c r="C32" s="130">
        <v>45383</v>
      </c>
      <c r="D32" s="287" t="s">
        <v>690</v>
      </c>
      <c r="E32" s="130">
        <v>45399</v>
      </c>
      <c r="F32" s="130" t="s">
        <v>668</v>
      </c>
      <c r="G32" s="130">
        <v>45407</v>
      </c>
      <c r="H32" s="130">
        <v>45352</v>
      </c>
      <c r="I32" s="130">
        <v>45382</v>
      </c>
      <c r="J32" s="130">
        <f t="shared" si="0"/>
        <v>45367</v>
      </c>
      <c r="K32" s="263">
        <f t="shared" si="1"/>
        <v>15.5</v>
      </c>
      <c r="L32" s="35">
        <f t="shared" si="2"/>
        <v>16</v>
      </c>
      <c r="M32" s="35">
        <f t="shared" si="3"/>
        <v>8</v>
      </c>
      <c r="N32" s="35">
        <f t="shared" si="4"/>
        <v>39.5</v>
      </c>
      <c r="O32" s="35">
        <v>4512839.82</v>
      </c>
      <c r="P32" s="131">
        <v>136136.09666666668</v>
      </c>
      <c r="Q32" s="132">
        <f t="shared" si="5"/>
        <v>0.14708056729793939</v>
      </c>
      <c r="R32" s="38">
        <f t="shared" si="6"/>
        <v>5.809682408268606</v>
      </c>
    </row>
    <row r="33" spans="1:18">
      <c r="A33" s="36">
        <f t="shared" si="7"/>
        <v>25</v>
      </c>
      <c r="B33" s="35" t="s">
        <v>691</v>
      </c>
      <c r="C33" s="130">
        <v>45117</v>
      </c>
      <c r="D33" s="287" t="s">
        <v>692</v>
      </c>
      <c r="E33" s="130">
        <v>45119</v>
      </c>
      <c r="F33" s="130" t="s">
        <v>671</v>
      </c>
      <c r="G33" s="130">
        <v>45119</v>
      </c>
      <c r="H33" s="130">
        <v>45078</v>
      </c>
      <c r="I33" s="130">
        <v>45107</v>
      </c>
      <c r="J33" s="130">
        <f t="shared" si="0"/>
        <v>45092.5</v>
      </c>
      <c r="K33" s="263">
        <f t="shared" si="1"/>
        <v>15</v>
      </c>
      <c r="L33" s="35">
        <f t="shared" si="2"/>
        <v>2</v>
      </c>
      <c r="M33" s="35">
        <f t="shared" si="3"/>
        <v>0</v>
      </c>
      <c r="N33" s="35">
        <f t="shared" si="4"/>
        <v>17</v>
      </c>
      <c r="O33" s="35">
        <v>4114371.12</v>
      </c>
      <c r="P33" s="131">
        <v>266866.25333333336</v>
      </c>
      <c r="Q33" s="132">
        <f t="shared" si="5"/>
        <v>0.28832059162860485</v>
      </c>
      <c r="R33" s="38">
        <f t="shared" si="6"/>
        <v>4.9014500576862821</v>
      </c>
    </row>
    <row r="34" spans="1:18">
      <c r="A34" s="36">
        <f t="shared" si="7"/>
        <v>26</v>
      </c>
      <c r="B34" s="35" t="s">
        <v>693</v>
      </c>
      <c r="C34" s="130">
        <v>45373</v>
      </c>
      <c r="D34" s="287">
        <v>4835</v>
      </c>
      <c r="E34" s="130">
        <v>45399</v>
      </c>
      <c r="F34" s="130" t="s">
        <v>668</v>
      </c>
      <c r="G34" s="130">
        <v>45411</v>
      </c>
      <c r="H34" s="130">
        <v>45373</v>
      </c>
      <c r="I34" s="130">
        <v>45373</v>
      </c>
      <c r="J34" s="130">
        <f t="shared" si="0"/>
        <v>45373</v>
      </c>
      <c r="K34" s="263">
        <f t="shared" si="1"/>
        <v>0.5</v>
      </c>
      <c r="L34" s="35">
        <f t="shared" si="2"/>
        <v>26</v>
      </c>
      <c r="M34" s="35">
        <f t="shared" si="3"/>
        <v>12</v>
      </c>
      <c r="N34" s="35">
        <f t="shared" si="4"/>
        <v>38.5</v>
      </c>
      <c r="O34" s="35">
        <v>1810.76</v>
      </c>
      <c r="P34" s="131">
        <v>1810.76</v>
      </c>
      <c r="Q34" s="132">
        <f t="shared" si="5"/>
        <v>1.9563335115485784E-3</v>
      </c>
      <c r="R34" s="38">
        <f t="shared" si="6"/>
        <v>7.5318840194620276E-2</v>
      </c>
    </row>
    <row r="35" spans="1:18">
      <c r="A35" s="36">
        <f t="shared" si="7"/>
        <v>27</v>
      </c>
      <c r="B35" s="35" t="s">
        <v>694</v>
      </c>
      <c r="C35" s="130">
        <v>45459</v>
      </c>
      <c r="D35" s="287" t="s">
        <v>695</v>
      </c>
      <c r="E35" s="130">
        <v>45471</v>
      </c>
      <c r="F35" s="130" t="s">
        <v>696</v>
      </c>
      <c r="G35" s="130">
        <v>45471</v>
      </c>
      <c r="H35" s="130">
        <v>45429</v>
      </c>
      <c r="I35" s="130">
        <v>45453</v>
      </c>
      <c r="J35" s="130">
        <f t="shared" si="0"/>
        <v>45441</v>
      </c>
      <c r="K35" s="263">
        <f t="shared" si="1"/>
        <v>12.5</v>
      </c>
      <c r="L35" s="35">
        <f t="shared" si="2"/>
        <v>12</v>
      </c>
      <c r="M35" s="35">
        <f t="shared" si="3"/>
        <v>0</v>
      </c>
      <c r="N35" s="35">
        <f t="shared" si="4"/>
        <v>24.5</v>
      </c>
      <c r="O35" s="35">
        <v>709092.54</v>
      </c>
      <c r="P35" s="131">
        <v>1486.95</v>
      </c>
      <c r="Q35" s="132">
        <f t="shared" si="5"/>
        <v>1.6064912605741007E-3</v>
      </c>
      <c r="R35" s="38">
        <f t="shared" si="6"/>
        <v>3.9359035884065467E-2</v>
      </c>
    </row>
    <row r="36" spans="1:18">
      <c r="A36" s="36">
        <f t="shared" si="7"/>
        <v>28</v>
      </c>
      <c r="B36" s="35" t="s">
        <v>694</v>
      </c>
      <c r="C36" s="130">
        <v>45398</v>
      </c>
      <c r="D36" s="287" t="s">
        <v>697</v>
      </c>
      <c r="E36" s="130">
        <v>45412</v>
      </c>
      <c r="F36" s="130" t="s">
        <v>696</v>
      </c>
      <c r="G36" s="130">
        <v>45412</v>
      </c>
      <c r="H36" s="130">
        <v>45366</v>
      </c>
      <c r="I36" s="130">
        <v>45395</v>
      </c>
      <c r="J36" s="130">
        <f t="shared" si="0"/>
        <v>45380.5</v>
      </c>
      <c r="K36" s="263">
        <f t="shared" si="1"/>
        <v>15</v>
      </c>
      <c r="L36" s="35">
        <f t="shared" si="2"/>
        <v>14</v>
      </c>
      <c r="M36" s="35">
        <f t="shared" si="3"/>
        <v>0</v>
      </c>
      <c r="N36" s="35">
        <f t="shared" si="4"/>
        <v>29</v>
      </c>
      <c r="O36" s="35">
        <v>721437.7</v>
      </c>
      <c r="P36" s="131">
        <v>1331.7</v>
      </c>
      <c r="Q36" s="132">
        <f t="shared" si="5"/>
        <v>1.4387601544816771E-3</v>
      </c>
      <c r="R36" s="38">
        <f t="shared" si="6"/>
        <v>4.1724044479968636E-2</v>
      </c>
    </row>
    <row r="37" spans="1:18">
      <c r="A37" s="36">
        <f t="shared" si="7"/>
        <v>29</v>
      </c>
      <c r="B37" s="35" t="s">
        <v>694</v>
      </c>
      <c r="C37" s="130">
        <v>45338</v>
      </c>
      <c r="D37" s="287" t="s">
        <v>698</v>
      </c>
      <c r="E37" s="130">
        <v>45351</v>
      </c>
      <c r="F37" s="130" t="s">
        <v>696</v>
      </c>
      <c r="G37" s="130">
        <v>45351</v>
      </c>
      <c r="H37" s="130">
        <v>45309</v>
      </c>
      <c r="I37" s="130">
        <v>45337</v>
      </c>
      <c r="J37" s="130">
        <f t="shared" si="0"/>
        <v>45323</v>
      </c>
      <c r="K37" s="263">
        <f t="shared" si="1"/>
        <v>14.5</v>
      </c>
      <c r="L37" s="35">
        <f t="shared" si="2"/>
        <v>13</v>
      </c>
      <c r="M37" s="35">
        <f t="shared" si="3"/>
        <v>0</v>
      </c>
      <c r="N37" s="35">
        <f t="shared" si="4"/>
        <v>27.5</v>
      </c>
      <c r="O37" s="35">
        <v>802703.69</v>
      </c>
      <c r="P37" s="131">
        <v>1620.77</v>
      </c>
      <c r="Q37" s="132">
        <f t="shared" si="5"/>
        <v>1.7510695318609805E-3</v>
      </c>
      <c r="R37" s="38">
        <f t="shared" si="6"/>
        <v>4.8154412126176965E-2</v>
      </c>
    </row>
    <row r="38" spans="1:18">
      <c r="A38" s="36">
        <f t="shared" si="7"/>
        <v>30</v>
      </c>
      <c r="B38" s="35" t="s">
        <v>694</v>
      </c>
      <c r="C38" s="130">
        <v>45428</v>
      </c>
      <c r="D38" s="287" t="s">
        <v>699</v>
      </c>
      <c r="E38" s="130">
        <v>45442</v>
      </c>
      <c r="F38" s="130" t="s">
        <v>696</v>
      </c>
      <c r="G38" s="130">
        <v>45442</v>
      </c>
      <c r="H38" s="130">
        <v>45402</v>
      </c>
      <c r="I38" s="130">
        <v>45421</v>
      </c>
      <c r="J38" s="130">
        <f t="shared" si="0"/>
        <v>45411.5</v>
      </c>
      <c r="K38" s="263">
        <f t="shared" si="1"/>
        <v>10</v>
      </c>
      <c r="L38" s="35">
        <f t="shared" si="2"/>
        <v>14</v>
      </c>
      <c r="M38" s="35">
        <f t="shared" si="3"/>
        <v>0</v>
      </c>
      <c r="N38" s="35">
        <f t="shared" si="4"/>
        <v>24</v>
      </c>
      <c r="O38" s="35">
        <v>792952.19</v>
      </c>
      <c r="P38" s="131">
        <v>1991.82</v>
      </c>
      <c r="Q38" s="132">
        <f t="shared" si="5"/>
        <v>2.1519495764058677E-3</v>
      </c>
      <c r="R38" s="38">
        <f t="shared" si="6"/>
        <v>5.1646789833740825E-2</v>
      </c>
    </row>
    <row r="39" spans="1:18">
      <c r="A39" s="36">
        <f t="shared" si="7"/>
        <v>31</v>
      </c>
      <c r="B39" s="35" t="s">
        <v>694</v>
      </c>
      <c r="C39" s="130">
        <v>45185</v>
      </c>
      <c r="D39" s="287" t="s">
        <v>700</v>
      </c>
      <c r="E39" s="130">
        <v>45198</v>
      </c>
      <c r="F39" s="130" t="s">
        <v>696</v>
      </c>
      <c r="G39" s="130">
        <v>45198</v>
      </c>
      <c r="H39" s="130">
        <v>45163</v>
      </c>
      <c r="I39" s="130">
        <v>45168</v>
      </c>
      <c r="J39" s="130">
        <f t="shared" si="0"/>
        <v>45165.5</v>
      </c>
      <c r="K39" s="263">
        <f t="shared" si="1"/>
        <v>3</v>
      </c>
      <c r="L39" s="35">
        <f t="shared" si="2"/>
        <v>13</v>
      </c>
      <c r="M39" s="35">
        <f t="shared" si="3"/>
        <v>0</v>
      </c>
      <c r="N39" s="35">
        <f t="shared" si="4"/>
        <v>16</v>
      </c>
      <c r="O39" s="35">
        <v>614311.01</v>
      </c>
      <c r="P39" s="131">
        <v>962.63</v>
      </c>
      <c r="Q39" s="132">
        <f t="shared" si="5"/>
        <v>1.0400192892608671E-3</v>
      </c>
      <c r="R39" s="38">
        <f t="shared" si="6"/>
        <v>1.6640308628173874E-2</v>
      </c>
    </row>
    <row r="40" spans="1:18">
      <c r="A40" s="36">
        <f t="shared" si="7"/>
        <v>32</v>
      </c>
      <c r="B40" s="35" t="s">
        <v>694</v>
      </c>
      <c r="C40" s="130">
        <v>45367</v>
      </c>
      <c r="D40" s="287" t="s">
        <v>701</v>
      </c>
      <c r="E40" s="130">
        <v>45380</v>
      </c>
      <c r="F40" s="130" t="s">
        <v>696</v>
      </c>
      <c r="G40" s="130">
        <v>45380</v>
      </c>
      <c r="H40" s="130">
        <v>45337</v>
      </c>
      <c r="I40" s="130">
        <v>45357</v>
      </c>
      <c r="J40" s="130">
        <f t="shared" si="0"/>
        <v>45347</v>
      </c>
      <c r="K40" s="263">
        <f t="shared" si="1"/>
        <v>10.5</v>
      </c>
      <c r="L40" s="35">
        <f t="shared" si="2"/>
        <v>13</v>
      </c>
      <c r="M40" s="35">
        <f t="shared" si="3"/>
        <v>0</v>
      </c>
      <c r="N40" s="35">
        <f t="shared" si="4"/>
        <v>23.5</v>
      </c>
      <c r="O40" s="35">
        <v>689219.2</v>
      </c>
      <c r="P40" s="131">
        <v>670.05</v>
      </c>
      <c r="Q40" s="132">
        <f t="shared" si="5"/>
        <v>7.2391773035251764E-4</v>
      </c>
      <c r="R40" s="38">
        <f t="shared" si="6"/>
        <v>1.7012066663284163E-2</v>
      </c>
    </row>
    <row r="41" spans="1:18">
      <c r="A41" s="36">
        <f t="shared" si="7"/>
        <v>33</v>
      </c>
      <c r="B41" s="35" t="s">
        <v>694</v>
      </c>
      <c r="C41" s="130">
        <v>45185</v>
      </c>
      <c r="D41" s="287" t="s">
        <v>702</v>
      </c>
      <c r="E41" s="130">
        <v>45198</v>
      </c>
      <c r="F41" s="130" t="s">
        <v>696</v>
      </c>
      <c r="G41" s="130">
        <v>45198</v>
      </c>
      <c r="H41" s="130">
        <v>45153</v>
      </c>
      <c r="I41" s="130">
        <v>45162</v>
      </c>
      <c r="J41" s="130">
        <f t="shared" si="0"/>
        <v>45157.5</v>
      </c>
      <c r="K41" s="263">
        <f t="shared" si="1"/>
        <v>5</v>
      </c>
      <c r="L41" s="35">
        <f t="shared" si="2"/>
        <v>13</v>
      </c>
      <c r="M41" s="35">
        <f t="shared" si="3"/>
        <v>0</v>
      </c>
      <c r="N41" s="35">
        <f t="shared" si="4"/>
        <v>18</v>
      </c>
      <c r="O41" s="35">
        <v>614311.01</v>
      </c>
      <c r="P41" s="131">
        <v>885.17</v>
      </c>
      <c r="Q41" s="132">
        <f t="shared" si="5"/>
        <v>9.5633200115832848E-4</v>
      </c>
      <c r="R41" s="38">
        <f t="shared" si="6"/>
        <v>1.7213976020849911E-2</v>
      </c>
    </row>
    <row r="42" spans="1:18">
      <c r="A42" s="36">
        <f t="shared" si="7"/>
        <v>34</v>
      </c>
      <c r="B42" s="35" t="s">
        <v>694</v>
      </c>
      <c r="C42" s="130">
        <v>45307</v>
      </c>
      <c r="D42" s="287" t="s">
        <v>703</v>
      </c>
      <c r="E42" s="130">
        <v>45322</v>
      </c>
      <c r="F42" s="130" t="s">
        <v>696</v>
      </c>
      <c r="G42" s="130">
        <v>45322</v>
      </c>
      <c r="H42" s="130">
        <v>45294</v>
      </c>
      <c r="I42" s="130">
        <v>45301</v>
      </c>
      <c r="J42" s="130">
        <f t="shared" si="0"/>
        <v>45297.5</v>
      </c>
      <c r="K42" s="263">
        <f t="shared" si="1"/>
        <v>4</v>
      </c>
      <c r="L42" s="35">
        <f t="shared" si="2"/>
        <v>15</v>
      </c>
      <c r="M42" s="35">
        <f t="shared" si="3"/>
        <v>0</v>
      </c>
      <c r="N42" s="35">
        <f t="shared" si="4"/>
        <v>19</v>
      </c>
      <c r="O42" s="35">
        <v>577784.27</v>
      </c>
      <c r="P42" s="131">
        <v>36.03</v>
      </c>
      <c r="Q42" s="132">
        <f t="shared" si="5"/>
        <v>3.8926581336618478E-5</v>
      </c>
      <c r="R42" s="38">
        <f t="shared" si="6"/>
        <v>7.3960504539575113E-4</v>
      </c>
    </row>
    <row r="43" spans="1:18">
      <c r="A43" s="36">
        <f t="shared" si="7"/>
        <v>35</v>
      </c>
      <c r="B43" s="35" t="s">
        <v>694</v>
      </c>
      <c r="C43" s="130">
        <v>45215</v>
      </c>
      <c r="D43" s="287" t="s">
        <v>704</v>
      </c>
      <c r="E43" s="130">
        <v>45231</v>
      </c>
      <c r="F43" s="130" t="s">
        <v>696</v>
      </c>
      <c r="G43" s="130">
        <v>45231</v>
      </c>
      <c r="H43" s="130">
        <v>45187</v>
      </c>
      <c r="I43" s="130">
        <v>45202</v>
      </c>
      <c r="J43" s="130">
        <f t="shared" si="0"/>
        <v>45194.5</v>
      </c>
      <c r="K43" s="263">
        <f t="shared" si="1"/>
        <v>8</v>
      </c>
      <c r="L43" s="35">
        <f t="shared" si="2"/>
        <v>16</v>
      </c>
      <c r="M43" s="35">
        <f t="shared" si="3"/>
        <v>0</v>
      </c>
      <c r="N43" s="35">
        <f t="shared" si="4"/>
        <v>24</v>
      </c>
      <c r="O43" s="35">
        <v>621809.21</v>
      </c>
      <c r="P43" s="131">
        <v>24.36</v>
      </c>
      <c r="Q43" s="132">
        <f t="shared" si="5"/>
        <v>2.6318388047738722E-5</v>
      </c>
      <c r="R43" s="38">
        <f t="shared" si="6"/>
        <v>6.3164131314572935E-4</v>
      </c>
    </row>
    <row r="44" spans="1:18">
      <c r="A44" s="36">
        <f t="shared" si="7"/>
        <v>36</v>
      </c>
      <c r="B44" s="35" t="s">
        <v>694</v>
      </c>
      <c r="C44" s="130">
        <v>45185</v>
      </c>
      <c r="D44" s="287" t="s">
        <v>705</v>
      </c>
      <c r="E44" s="130">
        <v>45198</v>
      </c>
      <c r="F44" s="130" t="s">
        <v>696</v>
      </c>
      <c r="G44" s="130">
        <v>45198</v>
      </c>
      <c r="H44" s="130">
        <v>45168</v>
      </c>
      <c r="I44" s="130">
        <v>45168</v>
      </c>
      <c r="J44" s="130">
        <f t="shared" si="0"/>
        <v>45168</v>
      </c>
      <c r="K44" s="263">
        <f t="shared" si="1"/>
        <v>0.5</v>
      </c>
      <c r="L44" s="35">
        <f t="shared" si="2"/>
        <v>13</v>
      </c>
      <c r="M44" s="35">
        <f t="shared" si="3"/>
        <v>0</v>
      </c>
      <c r="N44" s="35">
        <f t="shared" si="4"/>
        <v>13.5</v>
      </c>
      <c r="O44" s="35">
        <v>614311.01</v>
      </c>
      <c r="P44" s="131">
        <v>190.79</v>
      </c>
      <c r="Q44" s="132">
        <f t="shared" si="5"/>
        <v>2.0612829456601275E-4</v>
      </c>
      <c r="R44" s="38">
        <f t="shared" si="6"/>
        <v>2.7827319766411721E-3</v>
      </c>
    </row>
    <row r="45" spans="1:18">
      <c r="A45" s="36">
        <f t="shared" si="7"/>
        <v>37</v>
      </c>
      <c r="B45" s="35" t="s">
        <v>694</v>
      </c>
      <c r="C45" s="130">
        <v>45276</v>
      </c>
      <c r="D45" s="287" t="s">
        <v>706</v>
      </c>
      <c r="E45" s="130">
        <v>45289</v>
      </c>
      <c r="F45" s="130" t="s">
        <v>696</v>
      </c>
      <c r="G45" s="130">
        <v>45289</v>
      </c>
      <c r="H45" s="130">
        <v>45273</v>
      </c>
      <c r="I45" s="130">
        <v>45273</v>
      </c>
      <c r="J45" s="130">
        <f t="shared" si="0"/>
        <v>45273</v>
      </c>
      <c r="K45" s="263">
        <f t="shared" si="1"/>
        <v>0.5</v>
      </c>
      <c r="L45" s="35">
        <f t="shared" si="2"/>
        <v>13</v>
      </c>
      <c r="M45" s="35">
        <f t="shared" si="3"/>
        <v>0</v>
      </c>
      <c r="N45" s="35">
        <f t="shared" si="4"/>
        <v>13.5</v>
      </c>
      <c r="O45" s="35">
        <v>607405.88</v>
      </c>
      <c r="P45" s="131">
        <v>16.920000000000002</v>
      </c>
      <c r="Q45" s="132">
        <f t="shared" si="5"/>
        <v>1.8280259678478622E-5</v>
      </c>
      <c r="R45" s="38">
        <f t="shared" si="6"/>
        <v>2.4678350565946139E-4</v>
      </c>
    </row>
    <row r="46" spans="1:18">
      <c r="A46" s="36">
        <f t="shared" si="7"/>
        <v>38</v>
      </c>
      <c r="B46" s="35" t="s">
        <v>694</v>
      </c>
      <c r="C46" s="130">
        <v>45123</v>
      </c>
      <c r="D46" s="287" t="s">
        <v>707</v>
      </c>
      <c r="E46" s="130">
        <v>45138</v>
      </c>
      <c r="F46" s="130" t="s">
        <v>696</v>
      </c>
      <c r="G46" s="130">
        <v>45138</v>
      </c>
      <c r="H46" s="130">
        <v>45096</v>
      </c>
      <c r="I46" s="130">
        <v>45096</v>
      </c>
      <c r="J46" s="130">
        <f t="shared" si="0"/>
        <v>45096</v>
      </c>
      <c r="K46" s="263">
        <f t="shared" si="1"/>
        <v>0.5</v>
      </c>
      <c r="L46" s="35">
        <f t="shared" si="2"/>
        <v>15</v>
      </c>
      <c r="M46" s="35">
        <f t="shared" si="3"/>
        <v>0</v>
      </c>
      <c r="N46" s="35">
        <f t="shared" si="4"/>
        <v>15.5</v>
      </c>
      <c r="O46" s="35">
        <v>550660.96</v>
      </c>
      <c r="P46" s="131">
        <v>45.25</v>
      </c>
      <c r="Q46" s="132">
        <f t="shared" si="5"/>
        <v>4.8887810310352096E-5</v>
      </c>
      <c r="R46" s="38">
        <f t="shared" si="6"/>
        <v>7.577610598104575E-4</v>
      </c>
    </row>
    <row r="47" spans="1:18">
      <c r="A47" s="36">
        <f t="shared" si="7"/>
        <v>39</v>
      </c>
      <c r="B47" s="35" t="s">
        <v>694</v>
      </c>
      <c r="C47" s="130">
        <v>45307</v>
      </c>
      <c r="D47" s="287" t="s">
        <v>708</v>
      </c>
      <c r="E47" s="130">
        <v>45322</v>
      </c>
      <c r="F47" s="130" t="s">
        <v>696</v>
      </c>
      <c r="G47" s="130">
        <v>45322</v>
      </c>
      <c r="H47" s="130">
        <v>45301</v>
      </c>
      <c r="I47" s="130">
        <v>45303</v>
      </c>
      <c r="J47" s="130">
        <f t="shared" si="0"/>
        <v>45302</v>
      </c>
      <c r="K47" s="263">
        <f t="shared" si="1"/>
        <v>1.5</v>
      </c>
      <c r="L47" s="35">
        <f t="shared" si="2"/>
        <v>15</v>
      </c>
      <c r="M47" s="35">
        <f t="shared" si="3"/>
        <v>0</v>
      </c>
      <c r="N47" s="35">
        <f t="shared" si="4"/>
        <v>16.5</v>
      </c>
      <c r="O47" s="35">
        <v>577784.27</v>
      </c>
      <c r="P47" s="131">
        <v>103.77</v>
      </c>
      <c r="Q47" s="132">
        <f t="shared" si="5"/>
        <v>1.1211244366641407E-4</v>
      </c>
      <c r="R47" s="38">
        <f t="shared" si="6"/>
        <v>1.8498553204958322E-3</v>
      </c>
    </row>
    <row r="48" spans="1:18">
      <c r="A48" s="36">
        <f t="shared" si="7"/>
        <v>40</v>
      </c>
      <c r="B48" s="35" t="s">
        <v>694</v>
      </c>
      <c r="C48" s="130">
        <v>45246</v>
      </c>
      <c r="D48" s="287" t="s">
        <v>709</v>
      </c>
      <c r="E48" s="130">
        <v>45260</v>
      </c>
      <c r="F48" s="130" t="s">
        <v>696</v>
      </c>
      <c r="G48" s="130">
        <v>45260</v>
      </c>
      <c r="H48" s="130">
        <v>45219</v>
      </c>
      <c r="I48" s="130">
        <v>45219</v>
      </c>
      <c r="J48" s="130">
        <f t="shared" si="0"/>
        <v>45219</v>
      </c>
      <c r="K48" s="263">
        <f t="shared" si="1"/>
        <v>0.5</v>
      </c>
      <c r="L48" s="35">
        <f t="shared" si="2"/>
        <v>14</v>
      </c>
      <c r="M48" s="35">
        <f t="shared" si="3"/>
        <v>0</v>
      </c>
      <c r="N48" s="35">
        <f t="shared" si="4"/>
        <v>14.5</v>
      </c>
      <c r="O48" s="35">
        <v>742486.18</v>
      </c>
      <c r="P48" s="131">
        <v>153.65</v>
      </c>
      <c r="Q48" s="132">
        <f t="shared" si="5"/>
        <v>1.6600247633559337E-4</v>
      </c>
      <c r="R48" s="38">
        <f t="shared" si="6"/>
        <v>2.407035906866104E-3</v>
      </c>
    </row>
    <row r="49" spans="1:18">
      <c r="A49" s="36">
        <f t="shared" si="7"/>
        <v>41</v>
      </c>
      <c r="B49" s="35" t="s">
        <v>694</v>
      </c>
      <c r="C49" s="130">
        <v>45338</v>
      </c>
      <c r="D49" s="287" t="s">
        <v>710</v>
      </c>
      <c r="E49" s="130">
        <v>45351</v>
      </c>
      <c r="F49" s="130" t="s">
        <v>696</v>
      </c>
      <c r="G49" s="130">
        <v>45351</v>
      </c>
      <c r="H49" s="130">
        <v>45335</v>
      </c>
      <c r="I49" s="130">
        <v>45335</v>
      </c>
      <c r="J49" s="130">
        <f t="shared" si="0"/>
        <v>45335</v>
      </c>
      <c r="K49" s="263">
        <f t="shared" si="1"/>
        <v>0.5</v>
      </c>
      <c r="L49" s="35">
        <f t="shared" si="2"/>
        <v>13</v>
      </c>
      <c r="M49" s="35">
        <f t="shared" si="3"/>
        <v>0</v>
      </c>
      <c r="N49" s="35">
        <f t="shared" si="4"/>
        <v>13.5</v>
      </c>
      <c r="O49" s="35">
        <v>802703.69</v>
      </c>
      <c r="P49" s="131">
        <v>70.39</v>
      </c>
      <c r="Q49" s="132">
        <f t="shared" si="5"/>
        <v>7.6048905364545515E-5</v>
      </c>
      <c r="R49" s="38">
        <f t="shared" si="6"/>
        <v>1.0266602224213645E-3</v>
      </c>
    </row>
    <row r="50" spans="1:18">
      <c r="A50" s="36">
        <f t="shared" si="7"/>
        <v>42</v>
      </c>
      <c r="B50" s="35" t="s">
        <v>694</v>
      </c>
      <c r="C50" s="130">
        <v>45338</v>
      </c>
      <c r="D50" s="287" t="s">
        <v>711</v>
      </c>
      <c r="E50" s="130">
        <v>45351</v>
      </c>
      <c r="F50" s="130" t="s">
        <v>696</v>
      </c>
      <c r="G50" s="130">
        <v>45351</v>
      </c>
      <c r="H50" s="130">
        <v>45309</v>
      </c>
      <c r="I50" s="130">
        <v>45337</v>
      </c>
      <c r="J50" s="130">
        <f t="shared" si="0"/>
        <v>45323</v>
      </c>
      <c r="K50" s="263">
        <f t="shared" si="1"/>
        <v>14.5</v>
      </c>
      <c r="L50" s="35">
        <f t="shared" si="2"/>
        <v>13</v>
      </c>
      <c r="M50" s="35">
        <f t="shared" si="3"/>
        <v>0</v>
      </c>
      <c r="N50" s="35">
        <f t="shared" si="4"/>
        <v>27.5</v>
      </c>
      <c r="O50" s="35">
        <v>802703.69</v>
      </c>
      <c r="P50" s="131">
        <v>29.34</v>
      </c>
      <c r="Q50" s="132">
        <f t="shared" si="5"/>
        <v>3.1698748165872497E-5</v>
      </c>
      <c r="R50" s="38">
        <f t="shared" si="6"/>
        <v>8.7171557456149366E-4</v>
      </c>
    </row>
    <row r="51" spans="1:18">
      <c r="A51" s="36">
        <f t="shared" si="7"/>
        <v>43</v>
      </c>
      <c r="B51" s="35" t="s">
        <v>694</v>
      </c>
      <c r="C51" s="130">
        <v>45154</v>
      </c>
      <c r="D51" s="287" t="s">
        <v>712</v>
      </c>
      <c r="E51" s="130">
        <v>45169</v>
      </c>
      <c r="F51" s="130" t="s">
        <v>696</v>
      </c>
      <c r="G51" s="130">
        <v>45169</v>
      </c>
      <c r="H51" s="130">
        <v>45151</v>
      </c>
      <c r="I51" s="130">
        <v>45154</v>
      </c>
      <c r="J51" s="130">
        <f t="shared" si="0"/>
        <v>45152.5</v>
      </c>
      <c r="K51" s="263">
        <f t="shared" si="1"/>
        <v>2</v>
      </c>
      <c r="L51" s="35">
        <f t="shared" si="2"/>
        <v>15</v>
      </c>
      <c r="M51" s="35">
        <f t="shared" si="3"/>
        <v>0</v>
      </c>
      <c r="N51" s="35">
        <f t="shared" si="4"/>
        <v>17</v>
      </c>
      <c r="O51" s="35">
        <v>681080.54</v>
      </c>
      <c r="P51" s="131">
        <v>47.69</v>
      </c>
      <c r="Q51" s="132">
        <f t="shared" si="5"/>
        <v>5.1523970689518044E-5</v>
      </c>
      <c r="R51" s="38">
        <f t="shared" si="6"/>
        <v>8.7590750172180677E-4</v>
      </c>
    </row>
    <row r="52" spans="1:18">
      <c r="A52" s="36">
        <f t="shared" si="7"/>
        <v>44</v>
      </c>
      <c r="B52" s="35" t="s">
        <v>694</v>
      </c>
      <c r="C52" s="130">
        <v>45154</v>
      </c>
      <c r="D52" s="287" t="s">
        <v>713</v>
      </c>
      <c r="E52" s="130">
        <v>45169</v>
      </c>
      <c r="F52" s="130" t="s">
        <v>696</v>
      </c>
      <c r="G52" s="130">
        <v>45169</v>
      </c>
      <c r="H52" s="130">
        <v>45127</v>
      </c>
      <c r="I52" s="130">
        <v>45127</v>
      </c>
      <c r="J52" s="130">
        <f t="shared" si="0"/>
        <v>45127</v>
      </c>
      <c r="K52" s="263">
        <f t="shared" si="1"/>
        <v>0.5</v>
      </c>
      <c r="L52" s="35">
        <f t="shared" si="2"/>
        <v>15</v>
      </c>
      <c r="M52" s="35">
        <f t="shared" si="3"/>
        <v>0</v>
      </c>
      <c r="N52" s="35">
        <f t="shared" si="4"/>
        <v>15.5</v>
      </c>
      <c r="O52" s="35">
        <v>681080.54</v>
      </c>
      <c r="P52" s="131">
        <v>20</v>
      </c>
      <c r="Q52" s="132">
        <f t="shared" si="5"/>
        <v>2.1607871960376619E-5</v>
      </c>
      <c r="R52" s="38">
        <f t="shared" si="6"/>
        <v>3.349220153858376E-4</v>
      </c>
    </row>
    <row r="53" spans="1:18">
      <c r="A53" s="36">
        <f t="shared" si="7"/>
        <v>45</v>
      </c>
      <c r="B53" s="35" t="s">
        <v>694</v>
      </c>
      <c r="C53" s="130">
        <v>45398</v>
      </c>
      <c r="D53" s="287" t="s">
        <v>714</v>
      </c>
      <c r="E53" s="130">
        <v>45412</v>
      </c>
      <c r="F53" s="130" t="s">
        <v>696</v>
      </c>
      <c r="G53" s="130">
        <v>45412</v>
      </c>
      <c r="H53" s="130">
        <v>45373</v>
      </c>
      <c r="I53" s="130">
        <v>45391</v>
      </c>
      <c r="J53" s="130">
        <f t="shared" si="0"/>
        <v>45382</v>
      </c>
      <c r="K53" s="263">
        <f t="shared" si="1"/>
        <v>9.5</v>
      </c>
      <c r="L53" s="35">
        <f t="shared" si="2"/>
        <v>14</v>
      </c>
      <c r="M53" s="35">
        <f t="shared" si="3"/>
        <v>0</v>
      </c>
      <c r="N53" s="35">
        <f t="shared" si="4"/>
        <v>23.5</v>
      </c>
      <c r="O53" s="35">
        <v>721437.7</v>
      </c>
      <c r="P53" s="131">
        <v>29.66</v>
      </c>
      <c r="Q53" s="132">
        <f t="shared" si="5"/>
        <v>3.2044474117238525E-5</v>
      </c>
      <c r="R53" s="38">
        <f t="shared" si="6"/>
        <v>7.5304514175510531E-4</v>
      </c>
    </row>
    <row r="54" spans="1:18">
      <c r="A54" s="36">
        <f t="shared" si="7"/>
        <v>46</v>
      </c>
      <c r="B54" s="35" t="s">
        <v>694</v>
      </c>
      <c r="C54" s="130">
        <v>45307</v>
      </c>
      <c r="D54" s="287" t="s">
        <v>715</v>
      </c>
      <c r="E54" s="130">
        <v>45322</v>
      </c>
      <c r="F54" s="130" t="s">
        <v>696</v>
      </c>
      <c r="G54" s="130">
        <v>45322</v>
      </c>
      <c r="H54" s="130">
        <v>45280</v>
      </c>
      <c r="I54" s="130">
        <v>45280</v>
      </c>
      <c r="J54" s="130">
        <f t="shared" si="0"/>
        <v>45280</v>
      </c>
      <c r="K54" s="263">
        <f t="shared" si="1"/>
        <v>0.5</v>
      </c>
      <c r="L54" s="35">
        <f t="shared" si="2"/>
        <v>15</v>
      </c>
      <c r="M54" s="35">
        <f t="shared" si="3"/>
        <v>0</v>
      </c>
      <c r="N54" s="35">
        <f t="shared" si="4"/>
        <v>15.5</v>
      </c>
      <c r="O54" s="35">
        <v>577784.27</v>
      </c>
      <c r="P54" s="131">
        <v>20.63</v>
      </c>
      <c r="Q54" s="132">
        <f t="shared" si="5"/>
        <v>2.2288519927128481E-5</v>
      </c>
      <c r="R54" s="38">
        <f t="shared" si="6"/>
        <v>3.4547205887049148E-4</v>
      </c>
    </row>
    <row r="55" spans="1:18">
      <c r="A55" s="36">
        <f t="shared" si="7"/>
        <v>47</v>
      </c>
      <c r="B55" s="35" t="s">
        <v>694</v>
      </c>
      <c r="C55" s="130">
        <v>45367</v>
      </c>
      <c r="D55" s="287" t="s">
        <v>716</v>
      </c>
      <c r="E55" s="130">
        <v>45380</v>
      </c>
      <c r="F55" s="130" t="s">
        <v>696</v>
      </c>
      <c r="G55" s="130">
        <v>45380</v>
      </c>
      <c r="H55" s="130">
        <v>45338</v>
      </c>
      <c r="I55" s="130">
        <v>45364</v>
      </c>
      <c r="J55" s="130">
        <f t="shared" si="0"/>
        <v>45351</v>
      </c>
      <c r="K55" s="263">
        <f t="shared" si="1"/>
        <v>13.5</v>
      </c>
      <c r="L55" s="35">
        <f t="shared" si="2"/>
        <v>13</v>
      </c>
      <c r="M55" s="35">
        <f t="shared" si="3"/>
        <v>0</v>
      </c>
      <c r="N55" s="35">
        <f t="shared" si="4"/>
        <v>26.5</v>
      </c>
      <c r="O55" s="35">
        <v>689219.2</v>
      </c>
      <c r="P55" s="131">
        <v>33.299999999999997</v>
      </c>
      <c r="Q55" s="132">
        <f t="shared" si="5"/>
        <v>3.5977106814027063E-5</v>
      </c>
      <c r="R55" s="38">
        <f t="shared" si="6"/>
        <v>9.5339333057171721E-4</v>
      </c>
    </row>
    <row r="56" spans="1:18">
      <c r="A56" s="36">
        <f t="shared" si="7"/>
        <v>48</v>
      </c>
      <c r="B56" s="35" t="s">
        <v>694</v>
      </c>
      <c r="C56" s="130">
        <v>45338</v>
      </c>
      <c r="D56" s="287" t="s">
        <v>717</v>
      </c>
      <c r="E56" s="130">
        <v>45351</v>
      </c>
      <c r="F56" s="130" t="s">
        <v>696</v>
      </c>
      <c r="G56" s="130">
        <v>45351</v>
      </c>
      <c r="H56" s="130">
        <v>45309</v>
      </c>
      <c r="I56" s="130">
        <v>45309</v>
      </c>
      <c r="J56" s="130">
        <f t="shared" si="0"/>
        <v>45309</v>
      </c>
      <c r="K56" s="263">
        <f t="shared" si="1"/>
        <v>0.5</v>
      </c>
      <c r="L56" s="35">
        <f t="shared" si="2"/>
        <v>13</v>
      </c>
      <c r="M56" s="35">
        <f t="shared" si="3"/>
        <v>0</v>
      </c>
      <c r="N56" s="35">
        <f t="shared" si="4"/>
        <v>13.5</v>
      </c>
      <c r="O56" s="35">
        <v>802703.69</v>
      </c>
      <c r="P56" s="131">
        <v>66</v>
      </c>
      <c r="Q56" s="132">
        <f t="shared" si="5"/>
        <v>7.1305977469242844E-5</v>
      </c>
      <c r="R56" s="38">
        <f t="shared" si="6"/>
        <v>9.6263069583477838E-4</v>
      </c>
    </row>
    <row r="57" spans="1:18">
      <c r="A57" s="36">
        <f t="shared" si="7"/>
        <v>49</v>
      </c>
      <c r="B57" s="35" t="s">
        <v>694</v>
      </c>
      <c r="C57" s="130">
        <v>45338</v>
      </c>
      <c r="D57" s="287" t="s">
        <v>718</v>
      </c>
      <c r="E57" s="130">
        <v>45351</v>
      </c>
      <c r="F57" s="130" t="s">
        <v>696</v>
      </c>
      <c r="G57" s="130">
        <v>45351</v>
      </c>
      <c r="H57" s="130">
        <v>45318</v>
      </c>
      <c r="I57" s="130">
        <v>45328</v>
      </c>
      <c r="J57" s="130">
        <f t="shared" si="0"/>
        <v>45323</v>
      </c>
      <c r="K57" s="263">
        <f t="shared" si="1"/>
        <v>5.5</v>
      </c>
      <c r="L57" s="35">
        <f t="shared" si="2"/>
        <v>13</v>
      </c>
      <c r="M57" s="35">
        <f t="shared" si="3"/>
        <v>0</v>
      </c>
      <c r="N57" s="35">
        <f t="shared" si="4"/>
        <v>18.5</v>
      </c>
      <c r="O57" s="35">
        <v>802703.69</v>
      </c>
      <c r="P57" s="131">
        <v>70.010000000000005</v>
      </c>
      <c r="Q57" s="132">
        <f t="shared" si="5"/>
        <v>7.5638355797298358E-5</v>
      </c>
      <c r="R57" s="38">
        <f t="shared" si="6"/>
        <v>1.3993095822500195E-3</v>
      </c>
    </row>
    <row r="58" spans="1:18">
      <c r="A58" s="36">
        <f t="shared" si="7"/>
        <v>50</v>
      </c>
      <c r="B58" s="35" t="s">
        <v>694</v>
      </c>
      <c r="C58" s="130">
        <v>45246</v>
      </c>
      <c r="D58" s="287" t="s">
        <v>719</v>
      </c>
      <c r="E58" s="130">
        <v>45260</v>
      </c>
      <c r="F58" s="130" t="s">
        <v>696</v>
      </c>
      <c r="G58" s="130">
        <v>45260</v>
      </c>
      <c r="H58" s="130">
        <v>45239</v>
      </c>
      <c r="I58" s="130">
        <v>45239</v>
      </c>
      <c r="J58" s="130">
        <f t="shared" si="0"/>
        <v>45239</v>
      </c>
      <c r="K58" s="263">
        <f t="shared" si="1"/>
        <v>0.5</v>
      </c>
      <c r="L58" s="35">
        <f t="shared" si="2"/>
        <v>14</v>
      </c>
      <c r="M58" s="35">
        <f t="shared" si="3"/>
        <v>0</v>
      </c>
      <c r="N58" s="35">
        <f t="shared" si="4"/>
        <v>14.5</v>
      </c>
      <c r="O58" s="35">
        <v>742486.18</v>
      </c>
      <c r="P58" s="131">
        <v>36.46</v>
      </c>
      <c r="Q58" s="132">
        <f t="shared" si="5"/>
        <v>3.9391150583766576E-5</v>
      </c>
      <c r="R58" s="38">
        <f t="shared" si="6"/>
        <v>5.711716834646154E-4</v>
      </c>
    </row>
    <row r="59" spans="1:18">
      <c r="A59" s="36">
        <f t="shared" si="7"/>
        <v>51</v>
      </c>
      <c r="B59" s="35" t="s">
        <v>694</v>
      </c>
      <c r="C59" s="130">
        <v>45185</v>
      </c>
      <c r="D59" s="287" t="s">
        <v>720</v>
      </c>
      <c r="E59" s="130">
        <v>45198</v>
      </c>
      <c r="F59" s="130" t="s">
        <v>696</v>
      </c>
      <c r="G59" s="130">
        <v>45198</v>
      </c>
      <c r="H59" s="130">
        <v>45176</v>
      </c>
      <c r="I59" s="130">
        <v>45176</v>
      </c>
      <c r="J59" s="130">
        <f t="shared" si="0"/>
        <v>45176</v>
      </c>
      <c r="K59" s="263">
        <f t="shared" si="1"/>
        <v>0.5</v>
      </c>
      <c r="L59" s="35">
        <f t="shared" si="2"/>
        <v>13</v>
      </c>
      <c r="M59" s="35">
        <f t="shared" si="3"/>
        <v>0</v>
      </c>
      <c r="N59" s="35">
        <f t="shared" si="4"/>
        <v>13.5</v>
      </c>
      <c r="O59" s="35">
        <v>614311.01</v>
      </c>
      <c r="P59" s="131">
        <v>95.8</v>
      </c>
      <c r="Q59" s="132">
        <f t="shared" si="5"/>
        <v>1.0350170669020399E-4</v>
      </c>
      <c r="R59" s="38">
        <f t="shared" si="6"/>
        <v>1.397273040317754E-3</v>
      </c>
    </row>
    <row r="60" spans="1:18">
      <c r="A60" s="36">
        <f t="shared" si="7"/>
        <v>52</v>
      </c>
      <c r="B60" s="35" t="s">
        <v>694</v>
      </c>
      <c r="C60" s="130">
        <v>45154</v>
      </c>
      <c r="D60" s="287" t="s">
        <v>721</v>
      </c>
      <c r="E60" s="130">
        <v>45169</v>
      </c>
      <c r="F60" s="130" t="s">
        <v>696</v>
      </c>
      <c r="G60" s="130">
        <v>45169</v>
      </c>
      <c r="H60" s="130">
        <v>45123</v>
      </c>
      <c r="I60" s="130">
        <v>45134</v>
      </c>
      <c r="J60" s="130">
        <f t="shared" si="0"/>
        <v>45128.5</v>
      </c>
      <c r="K60" s="263">
        <f t="shared" si="1"/>
        <v>6</v>
      </c>
      <c r="L60" s="35">
        <f t="shared" si="2"/>
        <v>15</v>
      </c>
      <c r="M60" s="35">
        <f t="shared" si="3"/>
        <v>0</v>
      </c>
      <c r="N60" s="35">
        <f t="shared" si="4"/>
        <v>21</v>
      </c>
      <c r="O60" s="35">
        <v>681080.54</v>
      </c>
      <c r="P60" s="131">
        <v>27</v>
      </c>
      <c r="Q60" s="132">
        <f t="shared" si="5"/>
        <v>2.9170627146508435E-5</v>
      </c>
      <c r="R60" s="38">
        <f t="shared" si="6"/>
        <v>6.1258317007667712E-4</v>
      </c>
    </row>
    <row r="61" spans="1:18">
      <c r="A61" s="36">
        <f t="shared" si="7"/>
        <v>53</v>
      </c>
      <c r="B61" s="35" t="s">
        <v>694</v>
      </c>
      <c r="C61" s="130">
        <v>45215</v>
      </c>
      <c r="D61" s="287" t="s">
        <v>722</v>
      </c>
      <c r="E61" s="130">
        <v>45231</v>
      </c>
      <c r="F61" s="130" t="s">
        <v>696</v>
      </c>
      <c r="G61" s="130">
        <v>45231</v>
      </c>
      <c r="H61" s="130">
        <v>45198</v>
      </c>
      <c r="I61" s="130">
        <v>45198</v>
      </c>
      <c r="J61" s="130">
        <f t="shared" si="0"/>
        <v>45198</v>
      </c>
      <c r="K61" s="263">
        <f t="shared" si="1"/>
        <v>0.5</v>
      </c>
      <c r="L61" s="35">
        <f t="shared" si="2"/>
        <v>16</v>
      </c>
      <c r="M61" s="35">
        <f t="shared" si="3"/>
        <v>0</v>
      </c>
      <c r="N61" s="35">
        <f t="shared" si="4"/>
        <v>16.5</v>
      </c>
      <c r="O61" s="35">
        <v>621809.21</v>
      </c>
      <c r="P61" s="131">
        <v>78.150000000000006</v>
      </c>
      <c r="Q61" s="132">
        <f t="shared" si="5"/>
        <v>8.4432759685171643E-5</v>
      </c>
      <c r="R61" s="38">
        <f t="shared" si="6"/>
        <v>1.3931405348053321E-3</v>
      </c>
    </row>
    <row r="62" spans="1:18">
      <c r="A62" s="36">
        <f t="shared" si="7"/>
        <v>54</v>
      </c>
      <c r="B62" s="35" t="s">
        <v>694</v>
      </c>
      <c r="C62" s="130">
        <v>45459</v>
      </c>
      <c r="D62" s="287" t="s">
        <v>723</v>
      </c>
      <c r="E62" s="130">
        <v>45471</v>
      </c>
      <c r="F62" s="130" t="s">
        <v>696</v>
      </c>
      <c r="G62" s="130">
        <v>45471</v>
      </c>
      <c r="H62" s="130">
        <v>45448</v>
      </c>
      <c r="I62" s="130">
        <v>45453</v>
      </c>
      <c r="J62" s="130">
        <f t="shared" si="0"/>
        <v>45450.5</v>
      </c>
      <c r="K62" s="263">
        <f t="shared" si="1"/>
        <v>3</v>
      </c>
      <c r="L62" s="35">
        <f t="shared" si="2"/>
        <v>12</v>
      </c>
      <c r="M62" s="35">
        <f t="shared" si="3"/>
        <v>0</v>
      </c>
      <c r="N62" s="35">
        <f t="shared" si="4"/>
        <v>15</v>
      </c>
      <c r="O62" s="35">
        <v>709092.54</v>
      </c>
      <c r="P62" s="131">
        <v>83.28</v>
      </c>
      <c r="Q62" s="132">
        <f t="shared" si="5"/>
        <v>8.9975178843008238E-5</v>
      </c>
      <c r="R62" s="38">
        <f t="shared" si="6"/>
        <v>1.3496276826451235E-3</v>
      </c>
    </row>
    <row r="63" spans="1:18">
      <c r="A63" s="36">
        <f t="shared" si="7"/>
        <v>55</v>
      </c>
      <c r="B63" s="35" t="s">
        <v>694</v>
      </c>
      <c r="C63" s="130">
        <v>45185</v>
      </c>
      <c r="D63" s="287" t="s">
        <v>724</v>
      </c>
      <c r="E63" s="130">
        <v>45198</v>
      </c>
      <c r="F63" s="130" t="s">
        <v>696</v>
      </c>
      <c r="G63" s="130">
        <v>45198</v>
      </c>
      <c r="H63" s="130">
        <v>45160</v>
      </c>
      <c r="I63" s="130">
        <v>45167</v>
      </c>
      <c r="J63" s="130">
        <f t="shared" si="0"/>
        <v>45163.5</v>
      </c>
      <c r="K63" s="263">
        <f t="shared" si="1"/>
        <v>4</v>
      </c>
      <c r="L63" s="35">
        <f t="shared" si="2"/>
        <v>13</v>
      </c>
      <c r="M63" s="35">
        <f t="shared" si="3"/>
        <v>0</v>
      </c>
      <c r="N63" s="35">
        <f t="shared" si="4"/>
        <v>17</v>
      </c>
      <c r="O63" s="35">
        <v>614311.01</v>
      </c>
      <c r="P63" s="131">
        <v>105.87</v>
      </c>
      <c r="Q63" s="132">
        <f t="shared" si="5"/>
        <v>1.1438127022225363E-4</v>
      </c>
      <c r="R63" s="38">
        <f t="shared" si="6"/>
        <v>1.9444815937783117E-3</v>
      </c>
    </row>
    <row r="64" spans="1:18">
      <c r="A64" s="36">
        <f t="shared" si="7"/>
        <v>56</v>
      </c>
      <c r="B64" s="35" t="s">
        <v>694</v>
      </c>
      <c r="C64" s="130">
        <v>45185</v>
      </c>
      <c r="D64" s="287" t="s">
        <v>725</v>
      </c>
      <c r="E64" s="130">
        <v>45198</v>
      </c>
      <c r="F64" s="130" t="s">
        <v>696</v>
      </c>
      <c r="G64" s="130">
        <v>45198</v>
      </c>
      <c r="H64" s="130">
        <v>45167</v>
      </c>
      <c r="I64" s="130">
        <v>45167</v>
      </c>
      <c r="J64" s="130">
        <f t="shared" si="0"/>
        <v>45167</v>
      </c>
      <c r="K64" s="263">
        <f t="shared" si="1"/>
        <v>0.5</v>
      </c>
      <c r="L64" s="35">
        <f t="shared" si="2"/>
        <v>13</v>
      </c>
      <c r="M64" s="35">
        <f t="shared" si="3"/>
        <v>0</v>
      </c>
      <c r="N64" s="35">
        <f t="shared" si="4"/>
        <v>13.5</v>
      </c>
      <c r="O64" s="35">
        <v>614311.01</v>
      </c>
      <c r="P64" s="131">
        <v>88.89</v>
      </c>
      <c r="Q64" s="132">
        <f t="shared" si="5"/>
        <v>9.6036186927893886E-5</v>
      </c>
      <c r="R64" s="38">
        <f t="shared" si="6"/>
        <v>1.2964885235265675E-3</v>
      </c>
    </row>
    <row r="65" spans="1:18">
      <c r="A65" s="36">
        <f t="shared" si="7"/>
        <v>57</v>
      </c>
      <c r="B65" s="35" t="s">
        <v>694</v>
      </c>
      <c r="C65" s="130">
        <v>45246</v>
      </c>
      <c r="D65" s="287" t="s">
        <v>726</v>
      </c>
      <c r="E65" s="130">
        <v>45260</v>
      </c>
      <c r="F65" s="130" t="s">
        <v>696</v>
      </c>
      <c r="G65" s="130">
        <v>45260</v>
      </c>
      <c r="H65" s="130">
        <v>45244</v>
      </c>
      <c r="I65" s="130">
        <v>45245</v>
      </c>
      <c r="J65" s="130">
        <f t="shared" si="0"/>
        <v>45244.5</v>
      </c>
      <c r="K65" s="263">
        <f t="shared" si="1"/>
        <v>1</v>
      </c>
      <c r="L65" s="35">
        <f t="shared" si="2"/>
        <v>14</v>
      </c>
      <c r="M65" s="35">
        <f t="shared" si="3"/>
        <v>0</v>
      </c>
      <c r="N65" s="35">
        <f t="shared" si="4"/>
        <v>15</v>
      </c>
      <c r="O65" s="35">
        <v>742486.18</v>
      </c>
      <c r="P65" s="131">
        <v>105.96</v>
      </c>
      <c r="Q65" s="132">
        <f t="shared" si="5"/>
        <v>1.1447850564607531E-4</v>
      </c>
      <c r="R65" s="38">
        <f t="shared" si="6"/>
        <v>1.7171775846911298E-3</v>
      </c>
    </row>
    <row r="66" spans="1:18">
      <c r="A66" s="36">
        <f t="shared" si="7"/>
        <v>58</v>
      </c>
      <c r="B66" s="35" t="s">
        <v>694</v>
      </c>
      <c r="C66" s="130">
        <v>45428</v>
      </c>
      <c r="D66" s="287" t="s">
        <v>727</v>
      </c>
      <c r="E66" s="130">
        <v>45442</v>
      </c>
      <c r="F66" s="130" t="s">
        <v>696</v>
      </c>
      <c r="G66" s="130">
        <v>45442</v>
      </c>
      <c r="H66" s="130">
        <v>45401</v>
      </c>
      <c r="I66" s="130">
        <v>45411</v>
      </c>
      <c r="J66" s="130">
        <f t="shared" si="0"/>
        <v>45406</v>
      </c>
      <c r="K66" s="263">
        <f t="shared" si="1"/>
        <v>5.5</v>
      </c>
      <c r="L66" s="35">
        <f t="shared" si="2"/>
        <v>14</v>
      </c>
      <c r="M66" s="35">
        <f t="shared" si="3"/>
        <v>0</v>
      </c>
      <c r="N66" s="35">
        <f t="shared" si="4"/>
        <v>19.5</v>
      </c>
      <c r="O66" s="35">
        <v>792952.19</v>
      </c>
      <c r="P66" s="131">
        <v>176.19</v>
      </c>
      <c r="Q66" s="132">
        <f t="shared" si="5"/>
        <v>1.9035454803493783E-4</v>
      </c>
      <c r="R66" s="38">
        <f t="shared" si="6"/>
        <v>3.7119136866812876E-3</v>
      </c>
    </row>
    <row r="67" spans="1:18">
      <c r="A67" s="36">
        <f t="shared" si="7"/>
        <v>59</v>
      </c>
      <c r="B67" s="35" t="s">
        <v>694</v>
      </c>
      <c r="C67" s="130">
        <v>45367</v>
      </c>
      <c r="D67" s="287" t="s">
        <v>728</v>
      </c>
      <c r="E67" s="130">
        <v>45380</v>
      </c>
      <c r="F67" s="130" t="s">
        <v>696</v>
      </c>
      <c r="G67" s="130">
        <v>45380</v>
      </c>
      <c r="H67" s="130">
        <v>45342</v>
      </c>
      <c r="I67" s="130">
        <v>45359</v>
      </c>
      <c r="J67" s="130">
        <f t="shared" si="0"/>
        <v>45350.5</v>
      </c>
      <c r="K67" s="263">
        <f t="shared" si="1"/>
        <v>9</v>
      </c>
      <c r="L67" s="35">
        <f t="shared" si="2"/>
        <v>13</v>
      </c>
      <c r="M67" s="35">
        <f t="shared" si="3"/>
        <v>0</v>
      </c>
      <c r="N67" s="35">
        <f t="shared" si="4"/>
        <v>22</v>
      </c>
      <c r="O67" s="35">
        <v>689219.2</v>
      </c>
      <c r="P67" s="131">
        <v>669.2</v>
      </c>
      <c r="Q67" s="132">
        <f t="shared" si="5"/>
        <v>7.2299939579420166E-4</v>
      </c>
      <c r="R67" s="38">
        <f t="shared" si="6"/>
        <v>1.5905986707472435E-2</v>
      </c>
    </row>
    <row r="68" spans="1:18">
      <c r="A68" s="36">
        <f t="shared" si="7"/>
        <v>60</v>
      </c>
      <c r="B68" s="35" t="s">
        <v>694</v>
      </c>
      <c r="C68" s="130">
        <v>45276</v>
      </c>
      <c r="D68" s="287" t="s">
        <v>729</v>
      </c>
      <c r="E68" s="130">
        <v>45289</v>
      </c>
      <c r="F68" s="130" t="s">
        <v>696</v>
      </c>
      <c r="G68" s="130">
        <v>45289</v>
      </c>
      <c r="H68" s="130">
        <v>45268</v>
      </c>
      <c r="I68" s="130">
        <v>45268</v>
      </c>
      <c r="J68" s="130">
        <f t="shared" si="0"/>
        <v>45268</v>
      </c>
      <c r="K68" s="263">
        <f t="shared" si="1"/>
        <v>0.5</v>
      </c>
      <c r="L68" s="35">
        <f t="shared" si="2"/>
        <v>13</v>
      </c>
      <c r="M68" s="35">
        <f t="shared" si="3"/>
        <v>0</v>
      </c>
      <c r="N68" s="35">
        <f t="shared" si="4"/>
        <v>13.5</v>
      </c>
      <c r="O68" s="35">
        <v>607405.88</v>
      </c>
      <c r="P68" s="131">
        <v>80.39</v>
      </c>
      <c r="Q68" s="132">
        <f t="shared" si="5"/>
        <v>8.6852841344733819E-5</v>
      </c>
      <c r="R68" s="38">
        <f t="shared" si="6"/>
        <v>1.1725133581539065E-3</v>
      </c>
    </row>
    <row r="69" spans="1:18">
      <c r="A69" s="36">
        <f t="shared" si="7"/>
        <v>61</v>
      </c>
      <c r="B69" s="35" t="s">
        <v>694</v>
      </c>
      <c r="C69" s="130">
        <v>45215</v>
      </c>
      <c r="D69" s="287" t="s">
        <v>730</v>
      </c>
      <c r="E69" s="130">
        <v>45231</v>
      </c>
      <c r="F69" s="130" t="s">
        <v>696</v>
      </c>
      <c r="G69" s="130">
        <v>45231</v>
      </c>
      <c r="H69" s="130">
        <v>45203</v>
      </c>
      <c r="I69" s="130">
        <v>45208</v>
      </c>
      <c r="J69" s="130">
        <f t="shared" si="0"/>
        <v>45205.5</v>
      </c>
      <c r="K69" s="263">
        <f t="shared" si="1"/>
        <v>3</v>
      </c>
      <c r="L69" s="35">
        <f t="shared" si="2"/>
        <v>16</v>
      </c>
      <c r="M69" s="35">
        <f t="shared" si="3"/>
        <v>0</v>
      </c>
      <c r="N69" s="35">
        <f t="shared" si="4"/>
        <v>19</v>
      </c>
      <c r="O69" s="35">
        <v>621809.21</v>
      </c>
      <c r="P69" s="131">
        <v>57.05</v>
      </c>
      <c r="Q69" s="132">
        <f t="shared" si="5"/>
        <v>6.1636454766974299E-5</v>
      </c>
      <c r="R69" s="38">
        <f t="shared" si="6"/>
        <v>1.1710926405725116E-3</v>
      </c>
    </row>
    <row r="70" spans="1:18">
      <c r="A70" s="36">
        <f t="shared" si="7"/>
        <v>62</v>
      </c>
      <c r="B70" s="35" t="s">
        <v>694</v>
      </c>
      <c r="C70" s="130">
        <v>45367</v>
      </c>
      <c r="D70" s="287" t="s">
        <v>731</v>
      </c>
      <c r="E70" s="130">
        <v>45380</v>
      </c>
      <c r="F70" s="130" t="s">
        <v>696</v>
      </c>
      <c r="G70" s="130">
        <v>45380</v>
      </c>
      <c r="H70" s="130">
        <v>45344</v>
      </c>
      <c r="I70" s="130">
        <v>45350</v>
      </c>
      <c r="J70" s="130">
        <f t="shared" si="0"/>
        <v>45347</v>
      </c>
      <c r="K70" s="263">
        <f t="shared" si="1"/>
        <v>3.5</v>
      </c>
      <c r="L70" s="35">
        <f t="shared" si="2"/>
        <v>13</v>
      </c>
      <c r="M70" s="35">
        <f t="shared" si="3"/>
        <v>0</v>
      </c>
      <c r="N70" s="35">
        <f t="shared" si="4"/>
        <v>16.5</v>
      </c>
      <c r="O70" s="35">
        <v>689219.2</v>
      </c>
      <c r="P70" s="131">
        <v>495.79</v>
      </c>
      <c r="Q70" s="132">
        <f t="shared" si="5"/>
        <v>5.3564834196175623E-4</v>
      </c>
      <c r="R70" s="38">
        <f t="shared" si="6"/>
        <v>8.8381976423689782E-3</v>
      </c>
    </row>
    <row r="71" spans="1:18">
      <c r="A71" s="36">
        <f t="shared" si="7"/>
        <v>63</v>
      </c>
      <c r="B71" s="35" t="s">
        <v>694</v>
      </c>
      <c r="C71" s="130">
        <v>45398</v>
      </c>
      <c r="D71" s="287" t="s">
        <v>732</v>
      </c>
      <c r="E71" s="130">
        <v>45412</v>
      </c>
      <c r="F71" s="130" t="s">
        <v>696</v>
      </c>
      <c r="G71" s="130">
        <v>45412</v>
      </c>
      <c r="H71" s="130">
        <v>45368</v>
      </c>
      <c r="I71" s="130">
        <v>45397</v>
      </c>
      <c r="J71" s="130">
        <f t="shared" si="0"/>
        <v>45382.5</v>
      </c>
      <c r="K71" s="263">
        <f t="shared" si="1"/>
        <v>15</v>
      </c>
      <c r="L71" s="35">
        <f t="shared" si="2"/>
        <v>14</v>
      </c>
      <c r="M71" s="35">
        <f t="shared" si="3"/>
        <v>0</v>
      </c>
      <c r="N71" s="35">
        <f t="shared" si="4"/>
        <v>29</v>
      </c>
      <c r="O71" s="35">
        <v>721437.7</v>
      </c>
      <c r="P71" s="131">
        <v>287.93</v>
      </c>
      <c r="Q71" s="132">
        <f t="shared" si="5"/>
        <v>3.1107772867756196E-4</v>
      </c>
      <c r="R71" s="38">
        <f t="shared" si="6"/>
        <v>9.0212541316492968E-3</v>
      </c>
    </row>
    <row r="72" spans="1:18">
      <c r="A72" s="36">
        <f t="shared" si="7"/>
        <v>64</v>
      </c>
      <c r="B72" s="35" t="s">
        <v>694</v>
      </c>
      <c r="C72" s="130">
        <v>45276</v>
      </c>
      <c r="D72" s="287" t="s">
        <v>733</v>
      </c>
      <c r="E72" s="130">
        <v>45289</v>
      </c>
      <c r="F72" s="130" t="s">
        <v>696</v>
      </c>
      <c r="G72" s="130">
        <v>45289</v>
      </c>
      <c r="H72" s="130">
        <v>45247</v>
      </c>
      <c r="I72" s="130">
        <v>45257</v>
      </c>
      <c r="J72" s="130">
        <f t="shared" si="0"/>
        <v>45252</v>
      </c>
      <c r="K72" s="263">
        <f t="shared" si="1"/>
        <v>5.5</v>
      </c>
      <c r="L72" s="35">
        <f t="shared" si="2"/>
        <v>13</v>
      </c>
      <c r="M72" s="35">
        <f t="shared" si="3"/>
        <v>0</v>
      </c>
      <c r="N72" s="35">
        <f t="shared" si="4"/>
        <v>18.5</v>
      </c>
      <c r="O72" s="35">
        <v>607405.88</v>
      </c>
      <c r="P72" s="131">
        <v>354.25</v>
      </c>
      <c r="Q72" s="132">
        <f t="shared" si="5"/>
        <v>3.8272943209817083E-4</v>
      </c>
      <c r="R72" s="38">
        <f t="shared" si="6"/>
        <v>7.0804944938161604E-3</v>
      </c>
    </row>
    <row r="73" spans="1:18">
      <c r="A73" s="36">
        <f t="shared" si="7"/>
        <v>65</v>
      </c>
      <c r="B73" s="35" t="s">
        <v>694</v>
      </c>
      <c r="C73" s="130">
        <v>45398</v>
      </c>
      <c r="D73" s="287" t="s">
        <v>734</v>
      </c>
      <c r="E73" s="130">
        <v>45412</v>
      </c>
      <c r="F73" s="130" t="s">
        <v>696</v>
      </c>
      <c r="G73" s="130">
        <v>45412</v>
      </c>
      <c r="H73" s="130">
        <v>45371</v>
      </c>
      <c r="I73" s="130">
        <v>45392</v>
      </c>
      <c r="J73" s="130">
        <f t="shared" ref="J73:J136" si="8">IF(I73&lt;1," ",(((I73-H73)/2)+H73))</f>
        <v>45381.5</v>
      </c>
      <c r="K73" s="263">
        <f t="shared" ref="K73:K136" si="9">(I73-H73+1)/2</f>
        <v>11</v>
      </c>
      <c r="L73" s="35">
        <f t="shared" ref="L73:L136" si="10">E73-C73</f>
        <v>14</v>
      </c>
      <c r="M73" s="35">
        <f t="shared" ref="M73:M136" si="11">G73-E73</f>
        <v>0</v>
      </c>
      <c r="N73" s="35">
        <f t="shared" ref="N73:N136" si="12">M73+L73+K73</f>
        <v>25</v>
      </c>
      <c r="O73" s="35">
        <v>721437.7</v>
      </c>
      <c r="P73" s="131">
        <v>264.36</v>
      </c>
      <c r="Q73" s="132">
        <f t="shared" ref="Q73:Q136" si="13">P73/$P$422</f>
        <v>2.8561285157225816E-4</v>
      </c>
      <c r="R73" s="38">
        <f t="shared" ref="R73:R136" si="14">Q73*N73</f>
        <v>7.1403212893064536E-3</v>
      </c>
    </row>
    <row r="74" spans="1:18">
      <c r="A74" s="36">
        <f t="shared" ref="A74:A137" si="15">1+A73</f>
        <v>66</v>
      </c>
      <c r="B74" s="35" t="s">
        <v>694</v>
      </c>
      <c r="C74" s="130">
        <v>45246</v>
      </c>
      <c r="D74" s="287" t="s">
        <v>735</v>
      </c>
      <c r="E74" s="130">
        <v>45260</v>
      </c>
      <c r="F74" s="130" t="s">
        <v>696</v>
      </c>
      <c r="G74" s="130">
        <v>45260</v>
      </c>
      <c r="H74" s="130">
        <v>45229</v>
      </c>
      <c r="I74" s="130">
        <v>45244</v>
      </c>
      <c r="J74" s="130">
        <f t="shared" si="8"/>
        <v>45236.5</v>
      </c>
      <c r="K74" s="263">
        <f t="shared" si="9"/>
        <v>8</v>
      </c>
      <c r="L74" s="35">
        <f t="shared" si="10"/>
        <v>14</v>
      </c>
      <c r="M74" s="35">
        <f t="shared" si="11"/>
        <v>0</v>
      </c>
      <c r="N74" s="35">
        <f t="shared" si="12"/>
        <v>22</v>
      </c>
      <c r="O74" s="35">
        <v>742486.18</v>
      </c>
      <c r="P74" s="131">
        <v>93.42</v>
      </c>
      <c r="Q74" s="132">
        <f t="shared" si="13"/>
        <v>1.0093036992691919E-4</v>
      </c>
      <c r="R74" s="38">
        <f t="shared" si="14"/>
        <v>2.2204681383922219E-3</v>
      </c>
    </row>
    <row r="75" spans="1:18">
      <c r="A75" s="36">
        <f t="shared" si="15"/>
        <v>67</v>
      </c>
      <c r="B75" s="35" t="s">
        <v>694</v>
      </c>
      <c r="C75" s="130">
        <v>45246</v>
      </c>
      <c r="D75" s="287" t="s">
        <v>736</v>
      </c>
      <c r="E75" s="130">
        <v>45260</v>
      </c>
      <c r="F75" s="130" t="s">
        <v>696</v>
      </c>
      <c r="G75" s="130">
        <v>45260</v>
      </c>
      <c r="H75" s="130">
        <v>45222</v>
      </c>
      <c r="I75" s="130">
        <v>45244</v>
      </c>
      <c r="J75" s="130">
        <f t="shared" si="8"/>
        <v>45233</v>
      </c>
      <c r="K75" s="263">
        <f t="shared" si="9"/>
        <v>11.5</v>
      </c>
      <c r="L75" s="35">
        <f t="shared" si="10"/>
        <v>14</v>
      </c>
      <c r="M75" s="35">
        <f t="shared" si="11"/>
        <v>0</v>
      </c>
      <c r="N75" s="35">
        <f t="shared" si="12"/>
        <v>25.5</v>
      </c>
      <c r="O75" s="35">
        <v>742486.18</v>
      </c>
      <c r="P75" s="131">
        <v>244.56</v>
      </c>
      <c r="Q75" s="132">
        <f t="shared" si="13"/>
        <v>2.6422105833148529E-4</v>
      </c>
      <c r="R75" s="38">
        <f t="shared" si="14"/>
        <v>6.7376369874528746E-3</v>
      </c>
    </row>
    <row r="76" spans="1:18">
      <c r="A76" s="36">
        <f t="shared" si="15"/>
        <v>68</v>
      </c>
      <c r="B76" s="35" t="s">
        <v>694</v>
      </c>
      <c r="C76" s="130">
        <v>45154</v>
      </c>
      <c r="D76" s="287" t="s">
        <v>737</v>
      </c>
      <c r="E76" s="130">
        <v>45169</v>
      </c>
      <c r="F76" s="130" t="s">
        <v>696</v>
      </c>
      <c r="G76" s="130">
        <v>45169</v>
      </c>
      <c r="H76" s="130">
        <v>45133</v>
      </c>
      <c r="I76" s="130">
        <v>45145</v>
      </c>
      <c r="J76" s="130">
        <f t="shared" si="8"/>
        <v>45139</v>
      </c>
      <c r="K76" s="263">
        <f t="shared" si="9"/>
        <v>6.5</v>
      </c>
      <c r="L76" s="35">
        <f t="shared" si="10"/>
        <v>15</v>
      </c>
      <c r="M76" s="35">
        <f t="shared" si="11"/>
        <v>0</v>
      </c>
      <c r="N76" s="35">
        <f t="shared" si="12"/>
        <v>21.5</v>
      </c>
      <c r="O76" s="35">
        <v>681080.54</v>
      </c>
      <c r="P76" s="131">
        <v>291.26</v>
      </c>
      <c r="Q76" s="132">
        <f t="shared" si="13"/>
        <v>3.1467543935896467E-4</v>
      </c>
      <c r="R76" s="38">
        <f t="shared" si="14"/>
        <v>6.7655219462177405E-3</v>
      </c>
    </row>
    <row r="77" spans="1:18">
      <c r="A77" s="36">
        <f t="shared" si="15"/>
        <v>69</v>
      </c>
      <c r="B77" s="35" t="s">
        <v>694</v>
      </c>
      <c r="C77" s="130">
        <v>45428</v>
      </c>
      <c r="D77" s="287" t="s">
        <v>738</v>
      </c>
      <c r="E77" s="130">
        <v>45442</v>
      </c>
      <c r="F77" s="130" t="s">
        <v>696</v>
      </c>
      <c r="G77" s="130">
        <v>45442</v>
      </c>
      <c r="H77" s="130">
        <v>45408</v>
      </c>
      <c r="I77" s="130">
        <v>45427</v>
      </c>
      <c r="J77" s="130">
        <f t="shared" si="8"/>
        <v>45417.5</v>
      </c>
      <c r="K77" s="263">
        <f t="shared" si="9"/>
        <v>10</v>
      </c>
      <c r="L77" s="35">
        <f t="shared" si="10"/>
        <v>14</v>
      </c>
      <c r="M77" s="35">
        <f t="shared" si="11"/>
        <v>0</v>
      </c>
      <c r="N77" s="35">
        <f t="shared" si="12"/>
        <v>24</v>
      </c>
      <c r="O77" s="35">
        <v>792952.19</v>
      </c>
      <c r="P77" s="131">
        <v>88.52</v>
      </c>
      <c r="Q77" s="132">
        <f t="shared" si="13"/>
        <v>9.5636441296626903E-5</v>
      </c>
      <c r="R77" s="38">
        <f t="shared" si="14"/>
        <v>2.2952745911190456E-3</v>
      </c>
    </row>
    <row r="78" spans="1:18">
      <c r="A78" s="36">
        <f t="shared" si="15"/>
        <v>70</v>
      </c>
      <c r="B78" s="35" t="s">
        <v>694</v>
      </c>
      <c r="C78" s="130">
        <v>45398</v>
      </c>
      <c r="D78" s="287" t="s">
        <v>739</v>
      </c>
      <c r="E78" s="130">
        <v>45412</v>
      </c>
      <c r="F78" s="130" t="s">
        <v>696</v>
      </c>
      <c r="G78" s="130">
        <v>45412</v>
      </c>
      <c r="H78" s="130">
        <v>45387</v>
      </c>
      <c r="I78" s="130">
        <v>45394</v>
      </c>
      <c r="J78" s="130">
        <f t="shared" si="8"/>
        <v>45390.5</v>
      </c>
      <c r="K78" s="263">
        <f t="shared" si="9"/>
        <v>4</v>
      </c>
      <c r="L78" s="35">
        <f t="shared" si="10"/>
        <v>14</v>
      </c>
      <c r="M78" s="35">
        <f t="shared" si="11"/>
        <v>0</v>
      </c>
      <c r="N78" s="35">
        <f t="shared" si="12"/>
        <v>18</v>
      </c>
      <c r="O78" s="35">
        <v>721437.7</v>
      </c>
      <c r="P78" s="131">
        <v>914.18</v>
      </c>
      <c r="Q78" s="132">
        <f t="shared" si="13"/>
        <v>9.8767421943685477E-4</v>
      </c>
      <c r="R78" s="38">
        <f t="shared" si="14"/>
        <v>1.7778135949863386E-2</v>
      </c>
    </row>
    <row r="79" spans="1:18">
      <c r="A79" s="36">
        <f t="shared" si="15"/>
        <v>71</v>
      </c>
      <c r="B79" s="35" t="s">
        <v>694</v>
      </c>
      <c r="C79" s="130">
        <v>45338</v>
      </c>
      <c r="D79" s="287" t="s">
        <v>740</v>
      </c>
      <c r="E79" s="130">
        <v>45351</v>
      </c>
      <c r="F79" s="130" t="s">
        <v>696</v>
      </c>
      <c r="G79" s="130">
        <v>45351</v>
      </c>
      <c r="H79" s="130">
        <v>45313</v>
      </c>
      <c r="I79" s="130">
        <v>45336</v>
      </c>
      <c r="J79" s="130">
        <f t="shared" si="8"/>
        <v>45324.5</v>
      </c>
      <c r="K79" s="263">
        <f t="shared" si="9"/>
        <v>12</v>
      </c>
      <c r="L79" s="35">
        <f t="shared" si="10"/>
        <v>13</v>
      </c>
      <c r="M79" s="35">
        <f t="shared" si="11"/>
        <v>0</v>
      </c>
      <c r="N79" s="35">
        <f t="shared" si="12"/>
        <v>25</v>
      </c>
      <c r="O79" s="35">
        <v>802703.69</v>
      </c>
      <c r="P79" s="131">
        <v>693.42</v>
      </c>
      <c r="Q79" s="132">
        <f t="shared" si="13"/>
        <v>7.4916652873821771E-4</v>
      </c>
      <c r="R79" s="38">
        <f t="shared" si="14"/>
        <v>1.8729163218455441E-2</v>
      </c>
    </row>
    <row r="80" spans="1:18">
      <c r="A80" s="36">
        <f t="shared" si="15"/>
        <v>72</v>
      </c>
      <c r="B80" s="35" t="s">
        <v>694</v>
      </c>
      <c r="C80" s="130">
        <v>45338</v>
      </c>
      <c r="D80" s="287" t="s">
        <v>741</v>
      </c>
      <c r="E80" s="130">
        <v>45351</v>
      </c>
      <c r="F80" s="130" t="s">
        <v>696</v>
      </c>
      <c r="G80" s="130">
        <v>45351</v>
      </c>
      <c r="H80" s="130">
        <v>45308</v>
      </c>
      <c r="I80" s="130">
        <v>45329</v>
      </c>
      <c r="J80" s="130">
        <f t="shared" si="8"/>
        <v>45318.5</v>
      </c>
      <c r="K80" s="263">
        <f t="shared" si="9"/>
        <v>11</v>
      </c>
      <c r="L80" s="35">
        <f t="shared" si="10"/>
        <v>13</v>
      </c>
      <c r="M80" s="35">
        <f t="shared" si="11"/>
        <v>0</v>
      </c>
      <c r="N80" s="35">
        <f t="shared" si="12"/>
        <v>24</v>
      </c>
      <c r="O80" s="35">
        <v>802703.69</v>
      </c>
      <c r="P80" s="131">
        <v>241.91</v>
      </c>
      <c r="Q80" s="132">
        <f t="shared" si="13"/>
        <v>2.613580152967354E-4</v>
      </c>
      <c r="R80" s="38">
        <f t="shared" si="14"/>
        <v>6.2725923671216495E-3</v>
      </c>
    </row>
    <row r="81" spans="1:18">
      <c r="A81" s="36">
        <f t="shared" si="15"/>
        <v>73</v>
      </c>
      <c r="B81" s="35" t="s">
        <v>694</v>
      </c>
      <c r="C81" s="130">
        <v>45246</v>
      </c>
      <c r="D81" s="287" t="s">
        <v>742</v>
      </c>
      <c r="E81" s="130">
        <v>45260</v>
      </c>
      <c r="F81" s="130" t="s">
        <v>696</v>
      </c>
      <c r="G81" s="130">
        <v>45260</v>
      </c>
      <c r="H81" s="130">
        <v>45216</v>
      </c>
      <c r="I81" s="130">
        <v>45239</v>
      </c>
      <c r="J81" s="130">
        <f t="shared" si="8"/>
        <v>45227.5</v>
      </c>
      <c r="K81" s="263">
        <f t="shared" si="9"/>
        <v>12</v>
      </c>
      <c r="L81" s="35">
        <f t="shared" si="10"/>
        <v>14</v>
      </c>
      <c r="M81" s="35">
        <f t="shared" si="11"/>
        <v>0</v>
      </c>
      <c r="N81" s="35">
        <f t="shared" si="12"/>
        <v>26</v>
      </c>
      <c r="O81" s="35">
        <v>742486.18</v>
      </c>
      <c r="P81" s="131">
        <v>527.22</v>
      </c>
      <c r="Q81" s="132">
        <f t="shared" si="13"/>
        <v>5.6960511274748804E-4</v>
      </c>
      <c r="R81" s="38">
        <f t="shared" si="14"/>
        <v>1.4809732931434689E-2</v>
      </c>
    </row>
    <row r="82" spans="1:18">
      <c r="A82" s="36">
        <f t="shared" si="15"/>
        <v>74</v>
      </c>
      <c r="B82" s="35" t="s">
        <v>694</v>
      </c>
      <c r="C82" s="130">
        <v>45276</v>
      </c>
      <c r="D82" s="287" t="s">
        <v>743</v>
      </c>
      <c r="E82" s="130">
        <v>45289</v>
      </c>
      <c r="F82" s="130" t="s">
        <v>696</v>
      </c>
      <c r="G82" s="130">
        <v>45289</v>
      </c>
      <c r="H82" s="130">
        <v>45264</v>
      </c>
      <c r="I82" s="130">
        <v>45273</v>
      </c>
      <c r="J82" s="130">
        <f t="shared" si="8"/>
        <v>45268.5</v>
      </c>
      <c r="K82" s="263">
        <f t="shared" si="9"/>
        <v>5</v>
      </c>
      <c r="L82" s="35">
        <f t="shared" si="10"/>
        <v>13</v>
      </c>
      <c r="M82" s="35">
        <f t="shared" si="11"/>
        <v>0</v>
      </c>
      <c r="N82" s="35">
        <f t="shared" si="12"/>
        <v>18</v>
      </c>
      <c r="O82" s="35">
        <v>607405.88</v>
      </c>
      <c r="P82" s="131">
        <v>749.2</v>
      </c>
      <c r="Q82" s="132">
        <f t="shared" si="13"/>
        <v>8.094308836357082E-4</v>
      </c>
      <c r="R82" s="38">
        <f t="shared" si="14"/>
        <v>1.4569755905442747E-2</v>
      </c>
    </row>
    <row r="83" spans="1:18">
      <c r="A83" s="36">
        <f t="shared" si="15"/>
        <v>75</v>
      </c>
      <c r="B83" s="35" t="s">
        <v>694</v>
      </c>
      <c r="C83" s="130">
        <v>45185</v>
      </c>
      <c r="D83" s="287" t="s">
        <v>744</v>
      </c>
      <c r="E83" s="130">
        <v>45198</v>
      </c>
      <c r="F83" s="130" t="s">
        <v>696</v>
      </c>
      <c r="G83" s="130">
        <v>45198</v>
      </c>
      <c r="H83" s="130">
        <v>45159</v>
      </c>
      <c r="I83" s="130">
        <v>45163</v>
      </c>
      <c r="J83" s="130">
        <f t="shared" si="8"/>
        <v>45161</v>
      </c>
      <c r="K83" s="263">
        <f t="shared" si="9"/>
        <v>2.5</v>
      </c>
      <c r="L83" s="35">
        <f t="shared" si="10"/>
        <v>13</v>
      </c>
      <c r="M83" s="35">
        <f t="shared" si="11"/>
        <v>0</v>
      </c>
      <c r="N83" s="35">
        <f t="shared" si="12"/>
        <v>15.5</v>
      </c>
      <c r="O83" s="35">
        <v>614311.01</v>
      </c>
      <c r="P83" s="131">
        <v>66.459999999999994</v>
      </c>
      <c r="Q83" s="132">
        <f t="shared" si="13"/>
        <v>7.1802958524331496E-5</v>
      </c>
      <c r="R83" s="38">
        <f t="shared" si="14"/>
        <v>1.1129458571271381E-3</v>
      </c>
    </row>
    <row r="84" spans="1:18">
      <c r="A84" s="36">
        <f t="shared" si="15"/>
        <v>76</v>
      </c>
      <c r="B84" s="35" t="s">
        <v>694</v>
      </c>
      <c r="C84" s="130">
        <v>45307</v>
      </c>
      <c r="D84" s="287" t="s">
        <v>745</v>
      </c>
      <c r="E84" s="130">
        <v>45322</v>
      </c>
      <c r="F84" s="130" t="s">
        <v>696</v>
      </c>
      <c r="G84" s="130">
        <v>45322</v>
      </c>
      <c r="H84" s="130">
        <v>45275</v>
      </c>
      <c r="I84" s="130">
        <v>45287</v>
      </c>
      <c r="J84" s="130">
        <f t="shared" si="8"/>
        <v>45281</v>
      </c>
      <c r="K84" s="263">
        <f t="shared" si="9"/>
        <v>6.5</v>
      </c>
      <c r="L84" s="35">
        <f t="shared" si="10"/>
        <v>15</v>
      </c>
      <c r="M84" s="35">
        <f t="shared" si="11"/>
        <v>0</v>
      </c>
      <c r="N84" s="35">
        <f t="shared" si="12"/>
        <v>21.5</v>
      </c>
      <c r="O84" s="35">
        <v>577784.27</v>
      </c>
      <c r="P84" s="131">
        <v>571.51</v>
      </c>
      <c r="Q84" s="132">
        <f t="shared" si="13"/>
        <v>6.1745574520374207E-4</v>
      </c>
      <c r="R84" s="38">
        <f t="shared" si="14"/>
        <v>1.3275298521880455E-2</v>
      </c>
    </row>
    <row r="85" spans="1:18">
      <c r="A85" s="36">
        <f t="shared" si="15"/>
        <v>77</v>
      </c>
      <c r="B85" s="35" t="s">
        <v>694</v>
      </c>
      <c r="C85" s="130">
        <v>45307</v>
      </c>
      <c r="D85" s="287" t="s">
        <v>746</v>
      </c>
      <c r="E85" s="130">
        <v>45322</v>
      </c>
      <c r="F85" s="130" t="s">
        <v>696</v>
      </c>
      <c r="G85" s="130">
        <v>45322</v>
      </c>
      <c r="H85" s="130">
        <v>45280</v>
      </c>
      <c r="I85" s="130">
        <v>45294</v>
      </c>
      <c r="J85" s="130">
        <f t="shared" si="8"/>
        <v>45287</v>
      </c>
      <c r="K85" s="263">
        <f t="shared" si="9"/>
        <v>7.5</v>
      </c>
      <c r="L85" s="35">
        <f t="shared" si="10"/>
        <v>15</v>
      </c>
      <c r="M85" s="35">
        <f t="shared" si="11"/>
        <v>0</v>
      </c>
      <c r="N85" s="35">
        <f t="shared" si="12"/>
        <v>22.5</v>
      </c>
      <c r="O85" s="35">
        <v>577784.27</v>
      </c>
      <c r="P85" s="131">
        <v>148.79</v>
      </c>
      <c r="Q85" s="132">
        <f t="shared" si="13"/>
        <v>1.6075176344922183E-4</v>
      </c>
      <c r="R85" s="38">
        <f t="shared" si="14"/>
        <v>3.6169146776074911E-3</v>
      </c>
    </row>
    <row r="86" spans="1:18">
      <c r="A86" s="36">
        <f t="shared" si="15"/>
        <v>78</v>
      </c>
      <c r="B86" s="35" t="s">
        <v>694</v>
      </c>
      <c r="C86" s="130">
        <v>45307</v>
      </c>
      <c r="D86" s="287" t="s">
        <v>747</v>
      </c>
      <c r="E86" s="130">
        <v>45322</v>
      </c>
      <c r="F86" s="130" t="s">
        <v>696</v>
      </c>
      <c r="G86" s="130">
        <v>45322</v>
      </c>
      <c r="H86" s="130">
        <v>45278</v>
      </c>
      <c r="I86" s="130">
        <v>45301</v>
      </c>
      <c r="J86" s="130">
        <f t="shared" si="8"/>
        <v>45289.5</v>
      </c>
      <c r="K86" s="263">
        <f t="shared" si="9"/>
        <v>12</v>
      </c>
      <c r="L86" s="35">
        <f t="shared" si="10"/>
        <v>15</v>
      </c>
      <c r="M86" s="35">
        <f t="shared" si="11"/>
        <v>0</v>
      </c>
      <c r="N86" s="35">
        <f t="shared" si="12"/>
        <v>27</v>
      </c>
      <c r="O86" s="35">
        <v>577784.27</v>
      </c>
      <c r="P86" s="131">
        <v>160.41</v>
      </c>
      <c r="Q86" s="132">
        <f t="shared" si="13"/>
        <v>1.7330593705820066E-4</v>
      </c>
      <c r="R86" s="38">
        <f t="shared" si="14"/>
        <v>4.6792603005714178E-3</v>
      </c>
    </row>
    <row r="87" spans="1:18">
      <c r="A87" s="36">
        <f t="shared" si="15"/>
        <v>79</v>
      </c>
      <c r="B87" s="35" t="s">
        <v>694</v>
      </c>
      <c r="C87" s="130">
        <v>45338</v>
      </c>
      <c r="D87" s="287" t="s">
        <v>748</v>
      </c>
      <c r="E87" s="130">
        <v>45351</v>
      </c>
      <c r="F87" s="130" t="s">
        <v>696</v>
      </c>
      <c r="G87" s="130">
        <v>45351</v>
      </c>
      <c r="H87" s="130">
        <v>45317</v>
      </c>
      <c r="I87" s="130">
        <v>45335</v>
      </c>
      <c r="J87" s="130">
        <f t="shared" si="8"/>
        <v>45326</v>
      </c>
      <c r="K87" s="263">
        <f t="shared" si="9"/>
        <v>9.5</v>
      </c>
      <c r="L87" s="35">
        <f t="shared" si="10"/>
        <v>13</v>
      </c>
      <c r="M87" s="35">
        <f t="shared" si="11"/>
        <v>0</v>
      </c>
      <c r="N87" s="35">
        <f t="shared" si="12"/>
        <v>22.5</v>
      </c>
      <c r="O87" s="35">
        <v>802703.69</v>
      </c>
      <c r="P87" s="131">
        <v>145.16999999999999</v>
      </c>
      <c r="Q87" s="132">
        <f t="shared" si="13"/>
        <v>1.5684073862439366E-4</v>
      </c>
      <c r="R87" s="38">
        <f t="shared" si="14"/>
        <v>3.5289166190488573E-3</v>
      </c>
    </row>
    <row r="88" spans="1:18">
      <c r="A88" s="36">
        <f t="shared" si="15"/>
        <v>80</v>
      </c>
      <c r="B88" s="35" t="s">
        <v>694</v>
      </c>
      <c r="C88" s="130">
        <v>45123</v>
      </c>
      <c r="D88" s="287" t="s">
        <v>749</v>
      </c>
      <c r="E88" s="130">
        <v>45138</v>
      </c>
      <c r="F88" s="130" t="s">
        <v>696</v>
      </c>
      <c r="G88" s="130">
        <v>45138</v>
      </c>
      <c r="H88" s="130">
        <v>45105</v>
      </c>
      <c r="I88" s="130">
        <v>45119</v>
      </c>
      <c r="J88" s="130">
        <f t="shared" si="8"/>
        <v>45112</v>
      </c>
      <c r="K88" s="263">
        <f t="shared" si="9"/>
        <v>7.5</v>
      </c>
      <c r="L88" s="35">
        <f t="shared" si="10"/>
        <v>15</v>
      </c>
      <c r="M88" s="35">
        <f t="shared" si="11"/>
        <v>0</v>
      </c>
      <c r="N88" s="35">
        <f t="shared" si="12"/>
        <v>22.5</v>
      </c>
      <c r="O88" s="35">
        <v>550660.96</v>
      </c>
      <c r="P88" s="131">
        <v>568.67999999999995</v>
      </c>
      <c r="Q88" s="132">
        <f t="shared" si="13"/>
        <v>6.1439823132134874E-4</v>
      </c>
      <c r="R88" s="38">
        <f t="shared" si="14"/>
        <v>1.3823960204730347E-2</v>
      </c>
    </row>
    <row r="89" spans="1:18">
      <c r="A89" s="36">
        <f t="shared" si="15"/>
        <v>81</v>
      </c>
      <c r="B89" s="35" t="s">
        <v>694</v>
      </c>
      <c r="C89" s="130">
        <v>45398</v>
      </c>
      <c r="D89" s="287" t="s">
        <v>750</v>
      </c>
      <c r="E89" s="130">
        <v>45412</v>
      </c>
      <c r="F89" s="130" t="s">
        <v>696</v>
      </c>
      <c r="G89" s="130">
        <v>45412</v>
      </c>
      <c r="H89" s="130">
        <v>45366</v>
      </c>
      <c r="I89" s="130">
        <v>45392</v>
      </c>
      <c r="J89" s="130">
        <f t="shared" si="8"/>
        <v>45379</v>
      </c>
      <c r="K89" s="263">
        <f t="shared" si="9"/>
        <v>13.5</v>
      </c>
      <c r="L89" s="35">
        <f t="shared" si="10"/>
        <v>14</v>
      </c>
      <c r="M89" s="35">
        <f t="shared" si="11"/>
        <v>0</v>
      </c>
      <c r="N89" s="35">
        <f t="shared" si="12"/>
        <v>27.5</v>
      </c>
      <c r="O89" s="35">
        <v>721437.7</v>
      </c>
      <c r="P89" s="131">
        <v>150.47999999999999</v>
      </c>
      <c r="Q89" s="132">
        <f t="shared" si="13"/>
        <v>1.6257762862987367E-4</v>
      </c>
      <c r="R89" s="38">
        <f t="shared" si="14"/>
        <v>4.4708847873215262E-3</v>
      </c>
    </row>
    <row r="90" spans="1:18">
      <c r="A90" s="36">
        <f t="shared" si="15"/>
        <v>82</v>
      </c>
      <c r="B90" s="35" t="s">
        <v>694</v>
      </c>
      <c r="C90" s="130">
        <v>45398</v>
      </c>
      <c r="D90" s="287" t="s">
        <v>751</v>
      </c>
      <c r="E90" s="130">
        <v>45412</v>
      </c>
      <c r="F90" s="130" t="s">
        <v>696</v>
      </c>
      <c r="G90" s="130">
        <v>45412</v>
      </c>
      <c r="H90" s="130">
        <v>45365</v>
      </c>
      <c r="I90" s="130">
        <v>45396</v>
      </c>
      <c r="J90" s="130">
        <f t="shared" si="8"/>
        <v>45380.5</v>
      </c>
      <c r="K90" s="263">
        <f t="shared" si="9"/>
        <v>16</v>
      </c>
      <c r="L90" s="35">
        <f t="shared" si="10"/>
        <v>14</v>
      </c>
      <c r="M90" s="35">
        <f t="shared" si="11"/>
        <v>0</v>
      </c>
      <c r="N90" s="35">
        <f t="shared" si="12"/>
        <v>30</v>
      </c>
      <c r="O90" s="35">
        <v>721437.7</v>
      </c>
      <c r="P90" s="131">
        <v>104.8</v>
      </c>
      <c r="Q90" s="132">
        <f t="shared" si="13"/>
        <v>1.1322524907237347E-4</v>
      </c>
      <c r="R90" s="38">
        <f t="shared" si="14"/>
        <v>3.3967574721712043E-3</v>
      </c>
    </row>
    <row r="91" spans="1:18">
      <c r="A91" s="36">
        <f t="shared" si="15"/>
        <v>83</v>
      </c>
      <c r="B91" s="35" t="s">
        <v>694</v>
      </c>
      <c r="C91" s="130">
        <v>45428</v>
      </c>
      <c r="D91" s="287" t="s">
        <v>752</v>
      </c>
      <c r="E91" s="130">
        <v>45442</v>
      </c>
      <c r="F91" s="130" t="s">
        <v>696</v>
      </c>
      <c r="G91" s="130">
        <v>45442</v>
      </c>
      <c r="H91" s="130">
        <v>45425</v>
      </c>
      <c r="I91" s="130">
        <v>45425</v>
      </c>
      <c r="J91" s="130">
        <f t="shared" si="8"/>
        <v>45425</v>
      </c>
      <c r="K91" s="263">
        <f t="shared" si="9"/>
        <v>0.5</v>
      </c>
      <c r="L91" s="35">
        <f t="shared" si="10"/>
        <v>14</v>
      </c>
      <c r="M91" s="35">
        <f t="shared" si="11"/>
        <v>0</v>
      </c>
      <c r="N91" s="35">
        <f t="shared" si="12"/>
        <v>14.5</v>
      </c>
      <c r="O91" s="35">
        <v>792952.19</v>
      </c>
      <c r="P91" s="131">
        <v>207.5</v>
      </c>
      <c r="Q91" s="132">
        <f t="shared" si="13"/>
        <v>2.2418167158890742E-4</v>
      </c>
      <c r="R91" s="38">
        <f t="shared" si="14"/>
        <v>3.2506342380391575E-3</v>
      </c>
    </row>
    <row r="92" spans="1:18">
      <c r="A92" s="36">
        <f t="shared" si="15"/>
        <v>84</v>
      </c>
      <c r="B92" s="35" t="s">
        <v>694</v>
      </c>
      <c r="C92" s="130">
        <v>45367</v>
      </c>
      <c r="D92" s="287" t="s">
        <v>753</v>
      </c>
      <c r="E92" s="130">
        <v>45380</v>
      </c>
      <c r="F92" s="130" t="s">
        <v>696</v>
      </c>
      <c r="G92" s="130">
        <v>45380</v>
      </c>
      <c r="H92" s="130">
        <v>45365</v>
      </c>
      <c r="I92" s="130">
        <v>45365</v>
      </c>
      <c r="J92" s="130">
        <f t="shared" si="8"/>
        <v>45365</v>
      </c>
      <c r="K92" s="263">
        <f t="shared" si="9"/>
        <v>0.5</v>
      </c>
      <c r="L92" s="35">
        <f t="shared" si="10"/>
        <v>13</v>
      </c>
      <c r="M92" s="35">
        <f t="shared" si="11"/>
        <v>0</v>
      </c>
      <c r="N92" s="35">
        <f t="shared" si="12"/>
        <v>13.5</v>
      </c>
      <c r="O92" s="35">
        <v>689219.2</v>
      </c>
      <c r="P92" s="131">
        <v>107.69</v>
      </c>
      <c r="Q92" s="132">
        <f t="shared" si="13"/>
        <v>1.163475865706479E-4</v>
      </c>
      <c r="R92" s="38">
        <f t="shared" si="14"/>
        <v>1.5706924187037466E-3</v>
      </c>
    </row>
    <row r="93" spans="1:18">
      <c r="A93" s="36">
        <f t="shared" si="15"/>
        <v>85</v>
      </c>
      <c r="B93" s="35" t="s">
        <v>694</v>
      </c>
      <c r="C93" s="130">
        <v>45246</v>
      </c>
      <c r="D93" s="287" t="s">
        <v>754</v>
      </c>
      <c r="E93" s="130">
        <v>45260</v>
      </c>
      <c r="F93" s="130" t="s">
        <v>696</v>
      </c>
      <c r="G93" s="130">
        <v>45260</v>
      </c>
      <c r="H93" s="130">
        <v>45226</v>
      </c>
      <c r="I93" s="130">
        <v>45245</v>
      </c>
      <c r="J93" s="130">
        <f t="shared" si="8"/>
        <v>45235.5</v>
      </c>
      <c r="K93" s="263">
        <f t="shared" si="9"/>
        <v>10</v>
      </c>
      <c r="L93" s="35">
        <f t="shared" si="10"/>
        <v>14</v>
      </c>
      <c r="M93" s="35">
        <f t="shared" si="11"/>
        <v>0</v>
      </c>
      <c r="N93" s="35">
        <f t="shared" si="12"/>
        <v>24</v>
      </c>
      <c r="O93" s="35">
        <v>742486.18</v>
      </c>
      <c r="P93" s="131">
        <v>168.54</v>
      </c>
      <c r="Q93" s="132">
        <f t="shared" si="13"/>
        <v>1.8208953701009375E-4</v>
      </c>
      <c r="R93" s="38">
        <f t="shared" si="14"/>
        <v>4.3701488882422496E-3</v>
      </c>
    </row>
    <row r="94" spans="1:18">
      <c r="A94" s="36">
        <f t="shared" si="15"/>
        <v>86</v>
      </c>
      <c r="B94" s="35" t="s">
        <v>694</v>
      </c>
      <c r="C94" s="130">
        <v>45428</v>
      </c>
      <c r="D94" s="287" t="s">
        <v>755</v>
      </c>
      <c r="E94" s="130">
        <v>45442</v>
      </c>
      <c r="F94" s="130" t="s">
        <v>696</v>
      </c>
      <c r="G94" s="130">
        <v>45442</v>
      </c>
      <c r="H94" s="130">
        <v>45400</v>
      </c>
      <c r="I94" s="130">
        <v>45422</v>
      </c>
      <c r="J94" s="130">
        <f t="shared" si="8"/>
        <v>45411</v>
      </c>
      <c r="K94" s="263">
        <f t="shared" si="9"/>
        <v>11.5</v>
      </c>
      <c r="L94" s="35">
        <f t="shared" si="10"/>
        <v>14</v>
      </c>
      <c r="M94" s="35">
        <f t="shared" si="11"/>
        <v>0</v>
      </c>
      <c r="N94" s="35">
        <f t="shared" si="12"/>
        <v>25.5</v>
      </c>
      <c r="O94" s="35">
        <v>792952.19</v>
      </c>
      <c r="P94" s="131">
        <v>430.43</v>
      </c>
      <c r="Q94" s="132">
        <f t="shared" si="13"/>
        <v>4.6503381639524541E-4</v>
      </c>
      <c r="R94" s="38">
        <f t="shared" si="14"/>
        <v>1.1858362318078759E-2</v>
      </c>
    </row>
    <row r="95" spans="1:18">
      <c r="A95" s="36">
        <f t="shared" si="15"/>
        <v>87</v>
      </c>
      <c r="B95" s="35" t="s">
        <v>694</v>
      </c>
      <c r="C95" s="130">
        <v>45185</v>
      </c>
      <c r="D95" s="287" t="s">
        <v>756</v>
      </c>
      <c r="E95" s="130">
        <v>45198</v>
      </c>
      <c r="F95" s="130" t="s">
        <v>696</v>
      </c>
      <c r="G95" s="130">
        <v>45198</v>
      </c>
      <c r="H95" s="130">
        <v>45180</v>
      </c>
      <c r="I95" s="130">
        <v>45183</v>
      </c>
      <c r="J95" s="130">
        <f t="shared" si="8"/>
        <v>45181.5</v>
      </c>
      <c r="K95" s="263">
        <f t="shared" si="9"/>
        <v>2</v>
      </c>
      <c r="L95" s="35">
        <f t="shared" si="10"/>
        <v>13</v>
      </c>
      <c r="M95" s="35">
        <f t="shared" si="11"/>
        <v>0</v>
      </c>
      <c r="N95" s="35">
        <f t="shared" si="12"/>
        <v>15</v>
      </c>
      <c r="O95" s="35">
        <v>614311.01</v>
      </c>
      <c r="P95" s="131">
        <v>196.47</v>
      </c>
      <c r="Q95" s="132">
        <f t="shared" si="13"/>
        <v>2.1226493020275969E-4</v>
      </c>
      <c r="R95" s="38">
        <f t="shared" si="14"/>
        <v>3.1839739530413955E-3</v>
      </c>
    </row>
    <row r="96" spans="1:18">
      <c r="A96" s="36">
        <f t="shared" si="15"/>
        <v>88</v>
      </c>
      <c r="B96" s="35" t="s">
        <v>694</v>
      </c>
      <c r="C96" s="130">
        <v>45338</v>
      </c>
      <c r="D96" s="287" t="s">
        <v>757</v>
      </c>
      <c r="E96" s="130">
        <v>45351</v>
      </c>
      <c r="F96" s="130" t="s">
        <v>696</v>
      </c>
      <c r="G96" s="130">
        <v>45351</v>
      </c>
      <c r="H96" s="130">
        <v>45335</v>
      </c>
      <c r="I96" s="130">
        <v>45335</v>
      </c>
      <c r="J96" s="130">
        <f t="shared" si="8"/>
        <v>45335</v>
      </c>
      <c r="K96" s="263">
        <f t="shared" si="9"/>
        <v>0.5</v>
      </c>
      <c r="L96" s="35">
        <f t="shared" si="10"/>
        <v>13</v>
      </c>
      <c r="M96" s="35">
        <f t="shared" si="11"/>
        <v>0</v>
      </c>
      <c r="N96" s="35">
        <f t="shared" si="12"/>
        <v>13.5</v>
      </c>
      <c r="O96" s="35">
        <v>802703.69</v>
      </c>
      <c r="P96" s="131">
        <v>218.02</v>
      </c>
      <c r="Q96" s="132">
        <f t="shared" si="13"/>
        <v>2.3554741224006553E-4</v>
      </c>
      <c r="R96" s="38">
        <f t="shared" si="14"/>
        <v>3.1798900652408846E-3</v>
      </c>
    </row>
    <row r="97" spans="1:18">
      <c r="A97" s="36">
        <f t="shared" si="15"/>
        <v>89</v>
      </c>
      <c r="B97" s="35" t="s">
        <v>694</v>
      </c>
      <c r="C97" s="130">
        <v>45367</v>
      </c>
      <c r="D97" s="287" t="s">
        <v>758</v>
      </c>
      <c r="E97" s="130">
        <v>45380</v>
      </c>
      <c r="F97" s="130" t="s">
        <v>696</v>
      </c>
      <c r="G97" s="130">
        <v>45380</v>
      </c>
      <c r="H97" s="130">
        <v>45338</v>
      </c>
      <c r="I97" s="130">
        <v>45359</v>
      </c>
      <c r="J97" s="130">
        <f t="shared" si="8"/>
        <v>45348.5</v>
      </c>
      <c r="K97" s="263">
        <f t="shared" si="9"/>
        <v>11</v>
      </c>
      <c r="L97" s="35">
        <f t="shared" si="10"/>
        <v>13</v>
      </c>
      <c r="M97" s="35">
        <f t="shared" si="11"/>
        <v>0</v>
      </c>
      <c r="N97" s="35">
        <f t="shared" si="12"/>
        <v>24</v>
      </c>
      <c r="O97" s="35">
        <v>689219.2</v>
      </c>
      <c r="P97" s="131">
        <v>452.93</v>
      </c>
      <c r="Q97" s="132">
        <f t="shared" si="13"/>
        <v>4.893426723506691E-4</v>
      </c>
      <c r="R97" s="38">
        <f t="shared" si="14"/>
        <v>1.1744224136416058E-2</v>
      </c>
    </row>
    <row r="98" spans="1:18">
      <c r="A98" s="36">
        <f t="shared" si="15"/>
        <v>90</v>
      </c>
      <c r="B98" s="35" t="s">
        <v>694</v>
      </c>
      <c r="C98" s="130">
        <v>45123</v>
      </c>
      <c r="D98" s="287" t="s">
        <v>759</v>
      </c>
      <c r="E98" s="130">
        <v>45138</v>
      </c>
      <c r="F98" s="130" t="s">
        <v>696</v>
      </c>
      <c r="G98" s="130">
        <v>45138</v>
      </c>
      <c r="H98" s="130">
        <v>45093</v>
      </c>
      <c r="I98" s="130">
        <v>45118</v>
      </c>
      <c r="J98" s="130">
        <f t="shared" si="8"/>
        <v>45105.5</v>
      </c>
      <c r="K98" s="263">
        <f t="shared" si="9"/>
        <v>13</v>
      </c>
      <c r="L98" s="35">
        <f t="shared" si="10"/>
        <v>15</v>
      </c>
      <c r="M98" s="35">
        <f t="shared" si="11"/>
        <v>0</v>
      </c>
      <c r="N98" s="35">
        <f t="shared" si="12"/>
        <v>28</v>
      </c>
      <c r="O98" s="35">
        <v>550660.96</v>
      </c>
      <c r="P98" s="131">
        <v>47.66</v>
      </c>
      <c r="Q98" s="132">
        <f t="shared" si="13"/>
        <v>5.1491558881577477E-5</v>
      </c>
      <c r="R98" s="38">
        <f t="shared" si="14"/>
        <v>1.4417636486841693E-3</v>
      </c>
    </row>
    <row r="99" spans="1:18">
      <c r="A99" s="36">
        <f t="shared" si="15"/>
        <v>91</v>
      </c>
      <c r="B99" s="35" t="s">
        <v>694</v>
      </c>
      <c r="C99" s="130">
        <v>45307</v>
      </c>
      <c r="D99" s="287" t="s">
        <v>760</v>
      </c>
      <c r="E99" s="130">
        <v>45322</v>
      </c>
      <c r="F99" s="130" t="s">
        <v>696</v>
      </c>
      <c r="G99" s="130">
        <v>45322</v>
      </c>
      <c r="H99" s="130">
        <v>45289</v>
      </c>
      <c r="I99" s="130">
        <v>45302</v>
      </c>
      <c r="J99" s="130">
        <f t="shared" si="8"/>
        <v>45295.5</v>
      </c>
      <c r="K99" s="263">
        <f t="shared" si="9"/>
        <v>7</v>
      </c>
      <c r="L99" s="35">
        <f t="shared" si="10"/>
        <v>15</v>
      </c>
      <c r="M99" s="35">
        <f t="shared" si="11"/>
        <v>0</v>
      </c>
      <c r="N99" s="35">
        <f t="shared" si="12"/>
        <v>22</v>
      </c>
      <c r="O99" s="35">
        <v>577784.27</v>
      </c>
      <c r="P99" s="131">
        <v>474.97</v>
      </c>
      <c r="Q99" s="132">
        <f t="shared" si="13"/>
        <v>5.131545472510041E-4</v>
      </c>
      <c r="R99" s="38">
        <f t="shared" si="14"/>
        <v>1.128940003952209E-2</v>
      </c>
    </row>
    <row r="100" spans="1:18">
      <c r="A100" s="36">
        <f t="shared" si="15"/>
        <v>92</v>
      </c>
      <c r="B100" s="35" t="s">
        <v>694</v>
      </c>
      <c r="C100" s="130">
        <v>45246</v>
      </c>
      <c r="D100" s="287" t="s">
        <v>761</v>
      </c>
      <c r="E100" s="130">
        <v>45260</v>
      </c>
      <c r="F100" s="130" t="s">
        <v>696</v>
      </c>
      <c r="G100" s="130">
        <v>45260</v>
      </c>
      <c r="H100" s="130">
        <v>45216</v>
      </c>
      <c r="I100" s="130">
        <v>45239</v>
      </c>
      <c r="J100" s="130">
        <f t="shared" si="8"/>
        <v>45227.5</v>
      </c>
      <c r="K100" s="263">
        <f t="shared" si="9"/>
        <v>12</v>
      </c>
      <c r="L100" s="35">
        <f t="shared" si="10"/>
        <v>14</v>
      </c>
      <c r="M100" s="35">
        <f t="shared" si="11"/>
        <v>0</v>
      </c>
      <c r="N100" s="35">
        <f t="shared" si="12"/>
        <v>26</v>
      </c>
      <c r="O100" s="35">
        <v>742486.18</v>
      </c>
      <c r="P100" s="131">
        <v>1175.7</v>
      </c>
      <c r="Q100" s="132">
        <f t="shared" si="13"/>
        <v>1.2702187531907396E-3</v>
      </c>
      <c r="R100" s="38">
        <f t="shared" si="14"/>
        <v>3.3025687582959228E-2</v>
      </c>
    </row>
    <row r="101" spans="1:18">
      <c r="A101" s="36">
        <f t="shared" si="15"/>
        <v>93</v>
      </c>
      <c r="B101" s="35" t="s">
        <v>694</v>
      </c>
      <c r="C101" s="130">
        <v>45398</v>
      </c>
      <c r="D101" s="287" t="s">
        <v>762</v>
      </c>
      <c r="E101" s="130">
        <v>45412</v>
      </c>
      <c r="F101" s="130" t="s">
        <v>696</v>
      </c>
      <c r="G101" s="130">
        <v>45412</v>
      </c>
      <c r="H101" s="130">
        <v>45372</v>
      </c>
      <c r="I101" s="130">
        <v>45394</v>
      </c>
      <c r="J101" s="130">
        <f t="shared" si="8"/>
        <v>45383</v>
      </c>
      <c r="K101" s="263">
        <f t="shared" si="9"/>
        <v>11.5</v>
      </c>
      <c r="L101" s="35">
        <f t="shared" si="10"/>
        <v>14</v>
      </c>
      <c r="M101" s="35">
        <f t="shared" si="11"/>
        <v>0</v>
      </c>
      <c r="N101" s="35">
        <f t="shared" si="12"/>
        <v>25.5</v>
      </c>
      <c r="O101" s="35">
        <v>721437.7</v>
      </c>
      <c r="P101" s="131">
        <v>394.74</v>
      </c>
      <c r="Q101" s="132">
        <f t="shared" si="13"/>
        <v>4.264745688819533E-4</v>
      </c>
      <c r="R101" s="38">
        <f t="shared" si="14"/>
        <v>1.087510150648981E-2</v>
      </c>
    </row>
    <row r="102" spans="1:18">
      <c r="A102" s="36">
        <f t="shared" si="15"/>
        <v>94</v>
      </c>
      <c r="B102" s="35" t="s">
        <v>694</v>
      </c>
      <c r="C102" s="130">
        <v>45459</v>
      </c>
      <c r="D102" s="287" t="s">
        <v>763</v>
      </c>
      <c r="E102" s="130">
        <v>45471</v>
      </c>
      <c r="F102" s="130" t="s">
        <v>696</v>
      </c>
      <c r="G102" s="130">
        <v>45471</v>
      </c>
      <c r="H102" s="130">
        <v>45433</v>
      </c>
      <c r="I102" s="130">
        <v>45449</v>
      </c>
      <c r="J102" s="130">
        <f t="shared" si="8"/>
        <v>45441</v>
      </c>
      <c r="K102" s="263">
        <f t="shared" si="9"/>
        <v>8.5</v>
      </c>
      <c r="L102" s="35">
        <f t="shared" si="10"/>
        <v>12</v>
      </c>
      <c r="M102" s="35">
        <f t="shared" si="11"/>
        <v>0</v>
      </c>
      <c r="N102" s="35">
        <f t="shared" si="12"/>
        <v>20.5</v>
      </c>
      <c r="O102" s="35">
        <v>709092.54</v>
      </c>
      <c r="P102" s="131">
        <v>437.59</v>
      </c>
      <c r="Q102" s="132">
        <f t="shared" si="13"/>
        <v>4.727694345570602E-4</v>
      </c>
      <c r="R102" s="38">
        <f t="shared" si="14"/>
        <v>9.6917734084197345E-3</v>
      </c>
    </row>
    <row r="103" spans="1:18">
      <c r="A103" s="36">
        <f t="shared" si="15"/>
        <v>95</v>
      </c>
      <c r="B103" s="35" t="s">
        <v>694</v>
      </c>
      <c r="C103" s="130">
        <v>45123</v>
      </c>
      <c r="D103" s="287" t="s">
        <v>764</v>
      </c>
      <c r="E103" s="130">
        <v>45138</v>
      </c>
      <c r="F103" s="130" t="s">
        <v>696</v>
      </c>
      <c r="G103" s="130">
        <v>45138</v>
      </c>
      <c r="H103" s="130">
        <v>45106</v>
      </c>
      <c r="I103" s="130">
        <v>45120</v>
      </c>
      <c r="J103" s="130">
        <f t="shared" si="8"/>
        <v>45113</v>
      </c>
      <c r="K103" s="263">
        <f t="shared" si="9"/>
        <v>7.5</v>
      </c>
      <c r="L103" s="35">
        <f t="shared" si="10"/>
        <v>15</v>
      </c>
      <c r="M103" s="35">
        <f t="shared" si="11"/>
        <v>0</v>
      </c>
      <c r="N103" s="35">
        <f t="shared" si="12"/>
        <v>22.5</v>
      </c>
      <c r="O103" s="35">
        <v>550660.96</v>
      </c>
      <c r="P103" s="131">
        <v>1254.25</v>
      </c>
      <c r="Q103" s="132">
        <f t="shared" si="13"/>
        <v>1.3550836703151187E-3</v>
      </c>
      <c r="R103" s="38">
        <f t="shared" si="14"/>
        <v>3.048938258209017E-2</v>
      </c>
    </row>
    <row r="104" spans="1:18">
      <c r="A104" s="36">
        <f t="shared" si="15"/>
        <v>96</v>
      </c>
      <c r="B104" s="35" t="s">
        <v>694</v>
      </c>
      <c r="C104" s="130">
        <v>45338</v>
      </c>
      <c r="D104" s="287" t="s">
        <v>765</v>
      </c>
      <c r="E104" s="130">
        <v>45351</v>
      </c>
      <c r="F104" s="130" t="s">
        <v>696</v>
      </c>
      <c r="G104" s="130">
        <v>45351</v>
      </c>
      <c r="H104" s="130">
        <v>45307</v>
      </c>
      <c r="I104" s="130">
        <v>45332</v>
      </c>
      <c r="J104" s="130">
        <f t="shared" si="8"/>
        <v>45319.5</v>
      </c>
      <c r="K104" s="263">
        <f t="shared" si="9"/>
        <v>13</v>
      </c>
      <c r="L104" s="35">
        <f t="shared" si="10"/>
        <v>13</v>
      </c>
      <c r="M104" s="35">
        <f t="shared" si="11"/>
        <v>0</v>
      </c>
      <c r="N104" s="35">
        <f t="shared" si="12"/>
        <v>26</v>
      </c>
      <c r="O104" s="35">
        <v>802703.69</v>
      </c>
      <c r="P104" s="131">
        <v>1094.71</v>
      </c>
      <c r="Q104" s="132">
        <f t="shared" si="13"/>
        <v>1.1827176756871944E-3</v>
      </c>
      <c r="R104" s="38">
        <f t="shared" si="14"/>
        <v>3.0750659567867052E-2</v>
      </c>
    </row>
    <row r="105" spans="1:18">
      <c r="A105" s="36">
        <f t="shared" si="15"/>
        <v>97</v>
      </c>
      <c r="B105" s="35" t="s">
        <v>694</v>
      </c>
      <c r="C105" s="130">
        <v>45428</v>
      </c>
      <c r="D105" s="287" t="s">
        <v>766</v>
      </c>
      <c r="E105" s="130">
        <v>45442</v>
      </c>
      <c r="F105" s="130" t="s">
        <v>696</v>
      </c>
      <c r="G105" s="130">
        <v>45442</v>
      </c>
      <c r="H105" s="130">
        <v>45398</v>
      </c>
      <c r="I105" s="130">
        <v>45426</v>
      </c>
      <c r="J105" s="130">
        <f t="shared" si="8"/>
        <v>45412</v>
      </c>
      <c r="K105" s="263">
        <f t="shared" si="9"/>
        <v>14.5</v>
      </c>
      <c r="L105" s="35">
        <f t="shared" si="10"/>
        <v>14</v>
      </c>
      <c r="M105" s="35">
        <f t="shared" si="11"/>
        <v>0</v>
      </c>
      <c r="N105" s="35">
        <f t="shared" si="12"/>
        <v>28.5</v>
      </c>
      <c r="O105" s="35">
        <v>792952.19</v>
      </c>
      <c r="P105" s="131">
        <v>987.45</v>
      </c>
      <c r="Q105" s="132">
        <f t="shared" si="13"/>
        <v>1.0668346583636947E-3</v>
      </c>
      <c r="R105" s="38">
        <f t="shared" si="14"/>
        <v>3.0404787763365301E-2</v>
      </c>
    </row>
    <row r="106" spans="1:18">
      <c r="A106" s="36">
        <f t="shared" si="15"/>
        <v>98</v>
      </c>
      <c r="B106" s="35" t="s">
        <v>694</v>
      </c>
      <c r="C106" s="130">
        <v>45185</v>
      </c>
      <c r="D106" s="287" t="s">
        <v>767</v>
      </c>
      <c r="E106" s="130">
        <v>45198</v>
      </c>
      <c r="F106" s="130" t="s">
        <v>696</v>
      </c>
      <c r="G106" s="130">
        <v>45198</v>
      </c>
      <c r="H106" s="130">
        <v>45168</v>
      </c>
      <c r="I106" s="130">
        <v>45168</v>
      </c>
      <c r="J106" s="130">
        <f t="shared" si="8"/>
        <v>45168</v>
      </c>
      <c r="K106" s="263">
        <f t="shared" si="9"/>
        <v>0.5</v>
      </c>
      <c r="L106" s="35">
        <f t="shared" si="10"/>
        <v>13</v>
      </c>
      <c r="M106" s="35">
        <f t="shared" si="11"/>
        <v>0</v>
      </c>
      <c r="N106" s="35">
        <f t="shared" si="12"/>
        <v>13.5</v>
      </c>
      <c r="O106" s="35">
        <v>614311.01</v>
      </c>
      <c r="P106" s="131">
        <v>15</v>
      </c>
      <c r="Q106" s="132">
        <f t="shared" si="13"/>
        <v>1.6205903970282463E-5</v>
      </c>
      <c r="R106" s="38">
        <f t="shared" si="14"/>
        <v>2.1877970359881325E-4</v>
      </c>
    </row>
    <row r="107" spans="1:18">
      <c r="A107" s="36">
        <f t="shared" si="15"/>
        <v>99</v>
      </c>
      <c r="B107" s="35" t="s">
        <v>694</v>
      </c>
      <c r="C107" s="130">
        <v>45246</v>
      </c>
      <c r="D107" s="287" t="s">
        <v>768</v>
      </c>
      <c r="E107" s="130">
        <v>45260</v>
      </c>
      <c r="F107" s="130" t="s">
        <v>696</v>
      </c>
      <c r="G107" s="130">
        <v>45260</v>
      </c>
      <c r="H107" s="130">
        <v>45222</v>
      </c>
      <c r="I107" s="130">
        <v>45244</v>
      </c>
      <c r="J107" s="130">
        <f t="shared" si="8"/>
        <v>45233</v>
      </c>
      <c r="K107" s="263">
        <f t="shared" si="9"/>
        <v>11.5</v>
      </c>
      <c r="L107" s="35">
        <f t="shared" si="10"/>
        <v>14</v>
      </c>
      <c r="M107" s="35">
        <f t="shared" si="11"/>
        <v>0</v>
      </c>
      <c r="N107" s="35">
        <f t="shared" si="12"/>
        <v>25.5</v>
      </c>
      <c r="O107" s="35">
        <v>742486.18</v>
      </c>
      <c r="P107" s="131">
        <v>337.09</v>
      </c>
      <c r="Q107" s="132">
        <f t="shared" si="13"/>
        <v>3.6418987795616768E-4</v>
      </c>
      <c r="R107" s="38">
        <f t="shared" si="14"/>
        <v>9.2868418878822752E-3</v>
      </c>
    </row>
    <row r="108" spans="1:18">
      <c r="A108" s="36">
        <f t="shared" si="15"/>
        <v>100</v>
      </c>
      <c r="B108" s="35" t="s">
        <v>694</v>
      </c>
      <c r="C108" s="130">
        <v>45123</v>
      </c>
      <c r="D108" s="287" t="s">
        <v>769</v>
      </c>
      <c r="E108" s="130">
        <v>45138</v>
      </c>
      <c r="F108" s="130" t="s">
        <v>696</v>
      </c>
      <c r="G108" s="130">
        <v>45138</v>
      </c>
      <c r="H108" s="130">
        <v>45093</v>
      </c>
      <c r="I108" s="130">
        <v>45114</v>
      </c>
      <c r="J108" s="130">
        <f t="shared" si="8"/>
        <v>45103.5</v>
      </c>
      <c r="K108" s="263">
        <f t="shared" si="9"/>
        <v>11</v>
      </c>
      <c r="L108" s="35">
        <f t="shared" si="10"/>
        <v>15</v>
      </c>
      <c r="M108" s="35">
        <f t="shared" si="11"/>
        <v>0</v>
      </c>
      <c r="N108" s="35">
        <f t="shared" si="12"/>
        <v>26</v>
      </c>
      <c r="O108" s="35">
        <v>550660.96</v>
      </c>
      <c r="P108" s="131">
        <v>937.03</v>
      </c>
      <c r="Q108" s="132">
        <f t="shared" si="13"/>
        <v>1.0123612131515852E-3</v>
      </c>
      <c r="R108" s="38">
        <f t="shared" si="14"/>
        <v>2.6321391541941214E-2</v>
      </c>
    </row>
    <row r="109" spans="1:18">
      <c r="A109" s="36">
        <f t="shared" si="15"/>
        <v>101</v>
      </c>
      <c r="B109" s="35" t="s">
        <v>694</v>
      </c>
      <c r="C109" s="130">
        <v>45215</v>
      </c>
      <c r="D109" s="287" t="s">
        <v>770</v>
      </c>
      <c r="E109" s="130">
        <v>45231</v>
      </c>
      <c r="F109" s="130" t="s">
        <v>696</v>
      </c>
      <c r="G109" s="130">
        <v>45231</v>
      </c>
      <c r="H109" s="130">
        <v>45184</v>
      </c>
      <c r="I109" s="130">
        <v>45208</v>
      </c>
      <c r="J109" s="130">
        <f t="shared" si="8"/>
        <v>45196</v>
      </c>
      <c r="K109" s="263">
        <f t="shared" si="9"/>
        <v>12.5</v>
      </c>
      <c r="L109" s="35">
        <f t="shared" si="10"/>
        <v>16</v>
      </c>
      <c r="M109" s="35">
        <f t="shared" si="11"/>
        <v>0</v>
      </c>
      <c r="N109" s="35">
        <f t="shared" si="12"/>
        <v>28.5</v>
      </c>
      <c r="O109" s="35">
        <v>621809.21</v>
      </c>
      <c r="P109" s="131">
        <v>299.91000000000003</v>
      </c>
      <c r="Q109" s="132">
        <f t="shared" si="13"/>
        <v>3.2402084398182763E-4</v>
      </c>
      <c r="R109" s="38">
        <f t="shared" si="14"/>
        <v>9.2345940534820873E-3</v>
      </c>
    </row>
    <row r="110" spans="1:18">
      <c r="A110" s="36">
        <f t="shared" si="15"/>
        <v>102</v>
      </c>
      <c r="B110" s="35" t="s">
        <v>694</v>
      </c>
      <c r="C110" s="130">
        <v>45276</v>
      </c>
      <c r="D110" s="287" t="s">
        <v>771</v>
      </c>
      <c r="E110" s="130">
        <v>45289</v>
      </c>
      <c r="F110" s="130" t="s">
        <v>696</v>
      </c>
      <c r="G110" s="130">
        <v>45289</v>
      </c>
      <c r="H110" s="130">
        <v>45250</v>
      </c>
      <c r="I110" s="130">
        <v>45274</v>
      </c>
      <c r="J110" s="130">
        <f t="shared" si="8"/>
        <v>45262</v>
      </c>
      <c r="K110" s="263">
        <f t="shared" si="9"/>
        <v>12.5</v>
      </c>
      <c r="L110" s="35">
        <f t="shared" si="10"/>
        <v>13</v>
      </c>
      <c r="M110" s="35">
        <f t="shared" si="11"/>
        <v>0</v>
      </c>
      <c r="N110" s="35">
        <f t="shared" si="12"/>
        <v>25.5</v>
      </c>
      <c r="O110" s="35">
        <v>607405.88</v>
      </c>
      <c r="P110" s="131">
        <v>4903.83</v>
      </c>
      <c r="Q110" s="132">
        <f t="shared" si="13"/>
        <v>5.2980665377726837E-3</v>
      </c>
      <c r="R110" s="38">
        <f t="shared" si="14"/>
        <v>0.13510069671320343</v>
      </c>
    </row>
    <row r="111" spans="1:18">
      <c r="A111" s="36">
        <f t="shared" si="15"/>
        <v>103</v>
      </c>
      <c r="B111" s="35" t="s">
        <v>694</v>
      </c>
      <c r="C111" s="130">
        <v>45154</v>
      </c>
      <c r="D111" s="287" t="s">
        <v>772</v>
      </c>
      <c r="E111" s="130">
        <v>45169</v>
      </c>
      <c r="F111" s="130" t="s">
        <v>696</v>
      </c>
      <c r="G111" s="130">
        <v>45169</v>
      </c>
      <c r="H111" s="130">
        <v>45135</v>
      </c>
      <c r="I111" s="130">
        <v>45135</v>
      </c>
      <c r="J111" s="130">
        <f t="shared" si="8"/>
        <v>45135</v>
      </c>
      <c r="K111" s="263">
        <f t="shared" si="9"/>
        <v>0.5</v>
      </c>
      <c r="L111" s="35">
        <f t="shared" si="10"/>
        <v>15</v>
      </c>
      <c r="M111" s="35">
        <f t="shared" si="11"/>
        <v>0</v>
      </c>
      <c r="N111" s="35">
        <f t="shared" si="12"/>
        <v>15.5</v>
      </c>
      <c r="O111" s="35">
        <v>681080.54</v>
      </c>
      <c r="P111" s="131">
        <v>241.05</v>
      </c>
      <c r="Q111" s="132">
        <f t="shared" si="13"/>
        <v>2.6042887680243919E-4</v>
      </c>
      <c r="R111" s="38">
        <f t="shared" si="14"/>
        <v>4.0366475904378071E-3</v>
      </c>
    </row>
    <row r="112" spans="1:18">
      <c r="A112" s="36">
        <f t="shared" si="15"/>
        <v>104</v>
      </c>
      <c r="B112" s="35" t="s">
        <v>694</v>
      </c>
      <c r="C112" s="130">
        <v>45123</v>
      </c>
      <c r="D112" s="287" t="s">
        <v>773</v>
      </c>
      <c r="E112" s="130">
        <v>45138</v>
      </c>
      <c r="F112" s="130" t="s">
        <v>696</v>
      </c>
      <c r="G112" s="130">
        <v>45138</v>
      </c>
      <c r="H112" s="130">
        <v>45093</v>
      </c>
      <c r="I112" s="130">
        <v>45119</v>
      </c>
      <c r="J112" s="130">
        <f t="shared" si="8"/>
        <v>45106</v>
      </c>
      <c r="K112" s="263">
        <f t="shared" si="9"/>
        <v>13.5</v>
      </c>
      <c r="L112" s="35">
        <f t="shared" si="10"/>
        <v>15</v>
      </c>
      <c r="M112" s="35">
        <f t="shared" si="11"/>
        <v>0</v>
      </c>
      <c r="N112" s="35">
        <f t="shared" si="12"/>
        <v>28.5</v>
      </c>
      <c r="O112" s="35">
        <v>550660.96</v>
      </c>
      <c r="P112" s="131">
        <v>787.3</v>
      </c>
      <c r="Q112" s="132">
        <f t="shared" si="13"/>
        <v>8.5059387972022556E-4</v>
      </c>
      <c r="R112" s="38">
        <f t="shared" si="14"/>
        <v>2.4241925572026427E-2</v>
      </c>
    </row>
    <row r="113" spans="1:18">
      <c r="A113" s="36">
        <f t="shared" si="15"/>
        <v>105</v>
      </c>
      <c r="B113" s="35" t="s">
        <v>694</v>
      </c>
      <c r="C113" s="130">
        <v>45398</v>
      </c>
      <c r="D113" s="287" t="s">
        <v>774</v>
      </c>
      <c r="E113" s="130">
        <v>45412</v>
      </c>
      <c r="F113" s="130" t="s">
        <v>696</v>
      </c>
      <c r="G113" s="130">
        <v>45412</v>
      </c>
      <c r="H113" s="130">
        <v>45364</v>
      </c>
      <c r="I113" s="130">
        <v>45393</v>
      </c>
      <c r="J113" s="130">
        <f t="shared" si="8"/>
        <v>45378.5</v>
      </c>
      <c r="K113" s="263">
        <f t="shared" si="9"/>
        <v>15</v>
      </c>
      <c r="L113" s="35">
        <f t="shared" si="10"/>
        <v>14</v>
      </c>
      <c r="M113" s="35">
        <f t="shared" si="11"/>
        <v>0</v>
      </c>
      <c r="N113" s="35">
        <f t="shared" si="12"/>
        <v>29</v>
      </c>
      <c r="O113" s="35">
        <v>721437.7</v>
      </c>
      <c r="P113" s="131">
        <v>793.48</v>
      </c>
      <c r="Q113" s="132">
        <f t="shared" si="13"/>
        <v>8.5727071215598201E-4</v>
      </c>
      <c r="R113" s="38">
        <f t="shared" si="14"/>
        <v>2.4860850652523477E-2</v>
      </c>
    </row>
    <row r="114" spans="1:18">
      <c r="A114" s="36">
        <f t="shared" si="15"/>
        <v>106</v>
      </c>
      <c r="B114" s="35" t="s">
        <v>694</v>
      </c>
      <c r="C114" s="130">
        <v>45246</v>
      </c>
      <c r="D114" s="287" t="s">
        <v>775</v>
      </c>
      <c r="E114" s="130">
        <v>45260</v>
      </c>
      <c r="F114" s="130" t="s">
        <v>696</v>
      </c>
      <c r="G114" s="130">
        <v>45260</v>
      </c>
      <c r="H114" s="130">
        <v>45219</v>
      </c>
      <c r="I114" s="130">
        <v>45244</v>
      </c>
      <c r="J114" s="130">
        <f t="shared" si="8"/>
        <v>45231.5</v>
      </c>
      <c r="K114" s="263">
        <f t="shared" si="9"/>
        <v>13</v>
      </c>
      <c r="L114" s="35">
        <f t="shared" si="10"/>
        <v>14</v>
      </c>
      <c r="M114" s="35">
        <f t="shared" si="11"/>
        <v>0</v>
      </c>
      <c r="N114" s="35">
        <f t="shared" si="12"/>
        <v>27</v>
      </c>
      <c r="O114" s="35">
        <v>742486.18</v>
      </c>
      <c r="P114" s="131">
        <v>599.89</v>
      </c>
      <c r="Q114" s="132">
        <f t="shared" si="13"/>
        <v>6.4811731551551641E-4</v>
      </c>
      <c r="R114" s="38">
        <f t="shared" si="14"/>
        <v>1.7499167518918942E-2</v>
      </c>
    </row>
    <row r="115" spans="1:18">
      <c r="A115" s="36">
        <f t="shared" si="15"/>
        <v>107</v>
      </c>
      <c r="B115" s="35" t="s">
        <v>694</v>
      </c>
      <c r="C115" s="130">
        <v>45185</v>
      </c>
      <c r="D115" s="287" t="s">
        <v>776</v>
      </c>
      <c r="E115" s="130">
        <v>45198</v>
      </c>
      <c r="F115" s="130" t="s">
        <v>696</v>
      </c>
      <c r="G115" s="130">
        <v>45198</v>
      </c>
      <c r="H115" s="130">
        <v>45156</v>
      </c>
      <c r="I115" s="130">
        <v>45180</v>
      </c>
      <c r="J115" s="130">
        <f t="shared" si="8"/>
        <v>45168</v>
      </c>
      <c r="K115" s="263">
        <f t="shared" si="9"/>
        <v>12.5</v>
      </c>
      <c r="L115" s="35">
        <f t="shared" si="10"/>
        <v>13</v>
      </c>
      <c r="M115" s="35">
        <f t="shared" si="11"/>
        <v>0</v>
      </c>
      <c r="N115" s="35">
        <f t="shared" si="12"/>
        <v>25.5</v>
      </c>
      <c r="O115" s="35">
        <v>614311.01</v>
      </c>
      <c r="P115" s="131">
        <v>814.39</v>
      </c>
      <c r="Q115" s="132">
        <f t="shared" si="13"/>
        <v>8.7986174229055564E-4</v>
      </c>
      <c r="R115" s="38">
        <f t="shared" si="14"/>
        <v>2.2436474428409167E-2</v>
      </c>
    </row>
    <row r="116" spans="1:18">
      <c r="A116" s="36">
        <f t="shared" si="15"/>
        <v>108</v>
      </c>
      <c r="B116" s="35" t="s">
        <v>694</v>
      </c>
      <c r="C116" s="130">
        <v>45367</v>
      </c>
      <c r="D116" s="287" t="s">
        <v>777</v>
      </c>
      <c r="E116" s="130">
        <v>45380</v>
      </c>
      <c r="F116" s="130" t="s">
        <v>696</v>
      </c>
      <c r="G116" s="130">
        <v>45380</v>
      </c>
      <c r="H116" s="130">
        <v>45344</v>
      </c>
      <c r="I116" s="130">
        <v>45365</v>
      </c>
      <c r="J116" s="130">
        <f t="shared" si="8"/>
        <v>45354.5</v>
      </c>
      <c r="K116" s="263">
        <f t="shared" si="9"/>
        <v>11</v>
      </c>
      <c r="L116" s="35">
        <f t="shared" si="10"/>
        <v>13</v>
      </c>
      <c r="M116" s="35">
        <f t="shared" si="11"/>
        <v>0</v>
      </c>
      <c r="N116" s="35">
        <f t="shared" si="12"/>
        <v>24</v>
      </c>
      <c r="O116" s="35">
        <v>689219.2</v>
      </c>
      <c r="P116" s="131">
        <v>768.87</v>
      </c>
      <c r="Q116" s="132">
        <f t="shared" si="13"/>
        <v>8.306822257087385E-4</v>
      </c>
      <c r="R116" s="38">
        <f t="shared" si="14"/>
        <v>1.9936373417009726E-2</v>
      </c>
    </row>
    <row r="117" spans="1:18">
      <c r="A117" s="36">
        <f t="shared" si="15"/>
        <v>109</v>
      </c>
      <c r="B117" s="35" t="s">
        <v>694</v>
      </c>
      <c r="C117" s="130">
        <v>45154</v>
      </c>
      <c r="D117" s="287" t="s">
        <v>778</v>
      </c>
      <c r="E117" s="130">
        <v>45169</v>
      </c>
      <c r="F117" s="130" t="s">
        <v>696</v>
      </c>
      <c r="G117" s="130">
        <v>45169</v>
      </c>
      <c r="H117" s="130">
        <v>45137</v>
      </c>
      <c r="I117" s="130">
        <v>45148</v>
      </c>
      <c r="J117" s="130">
        <f t="shared" si="8"/>
        <v>45142.5</v>
      </c>
      <c r="K117" s="263">
        <f t="shared" si="9"/>
        <v>6</v>
      </c>
      <c r="L117" s="35">
        <f t="shared" si="10"/>
        <v>15</v>
      </c>
      <c r="M117" s="35">
        <f t="shared" si="11"/>
        <v>0</v>
      </c>
      <c r="N117" s="35">
        <f t="shared" si="12"/>
        <v>21</v>
      </c>
      <c r="O117" s="35">
        <v>681080.54</v>
      </c>
      <c r="P117" s="131">
        <v>254.35</v>
      </c>
      <c r="Q117" s="132">
        <f t="shared" si="13"/>
        <v>2.7479811165608963E-4</v>
      </c>
      <c r="R117" s="38">
        <f t="shared" si="14"/>
        <v>5.7707603447778822E-3</v>
      </c>
    </row>
    <row r="118" spans="1:18">
      <c r="A118" s="36">
        <f t="shared" si="15"/>
        <v>110</v>
      </c>
      <c r="B118" s="35" t="s">
        <v>779</v>
      </c>
      <c r="C118" s="130">
        <v>45147</v>
      </c>
      <c r="D118" s="287">
        <v>604085</v>
      </c>
      <c r="E118" s="130">
        <v>45175</v>
      </c>
      <c r="F118" s="130" t="s">
        <v>668</v>
      </c>
      <c r="G118" s="130">
        <v>45181</v>
      </c>
      <c r="H118" s="130">
        <v>45146</v>
      </c>
      <c r="I118" s="130">
        <v>45146</v>
      </c>
      <c r="J118" s="130">
        <f t="shared" si="8"/>
        <v>45146</v>
      </c>
      <c r="K118" s="263">
        <f t="shared" si="9"/>
        <v>0.5</v>
      </c>
      <c r="L118" s="35">
        <f t="shared" si="10"/>
        <v>28</v>
      </c>
      <c r="M118" s="35">
        <f t="shared" si="11"/>
        <v>6</v>
      </c>
      <c r="N118" s="35">
        <f t="shared" si="12"/>
        <v>34.5</v>
      </c>
      <c r="O118" s="35">
        <v>53.1</v>
      </c>
      <c r="P118" s="131">
        <v>53.1</v>
      </c>
      <c r="Q118" s="132">
        <f t="shared" si="13"/>
        <v>5.736890005479992E-5</v>
      </c>
      <c r="R118" s="38">
        <f t="shared" si="14"/>
        <v>1.9792270518905974E-3</v>
      </c>
    </row>
    <row r="119" spans="1:18">
      <c r="A119" s="36">
        <f t="shared" si="15"/>
        <v>111</v>
      </c>
      <c r="B119" s="35" t="s">
        <v>780</v>
      </c>
      <c r="C119" s="130">
        <v>45244</v>
      </c>
      <c r="D119" s="287">
        <v>24703</v>
      </c>
      <c r="E119" s="130">
        <v>45271</v>
      </c>
      <c r="F119" s="130" t="s">
        <v>671</v>
      </c>
      <c r="G119" s="130">
        <v>45271</v>
      </c>
      <c r="H119" s="130">
        <v>45236</v>
      </c>
      <c r="I119" s="130">
        <v>45236</v>
      </c>
      <c r="J119" s="130">
        <f t="shared" si="8"/>
        <v>45236</v>
      </c>
      <c r="K119" s="263">
        <f t="shared" si="9"/>
        <v>0.5</v>
      </c>
      <c r="L119" s="35">
        <f t="shared" si="10"/>
        <v>27</v>
      </c>
      <c r="M119" s="35">
        <f t="shared" si="11"/>
        <v>0</v>
      </c>
      <c r="N119" s="35">
        <f t="shared" si="12"/>
        <v>27.5</v>
      </c>
      <c r="O119" s="35">
        <v>484.31</v>
      </c>
      <c r="P119" s="131">
        <v>484.31</v>
      </c>
      <c r="Q119" s="132">
        <f t="shared" si="13"/>
        <v>5.2324542345649999E-4</v>
      </c>
      <c r="R119" s="38">
        <f t="shared" si="14"/>
        <v>1.438924914505375E-2</v>
      </c>
    </row>
    <row r="120" spans="1:18">
      <c r="A120" s="36">
        <f t="shared" si="15"/>
        <v>112</v>
      </c>
      <c r="B120" s="35" t="s">
        <v>781</v>
      </c>
      <c r="C120" s="130">
        <v>45237</v>
      </c>
      <c r="D120" s="287">
        <v>611</v>
      </c>
      <c r="E120" s="130">
        <v>45264</v>
      </c>
      <c r="F120" s="130" t="s">
        <v>671</v>
      </c>
      <c r="G120" s="130">
        <v>45264</v>
      </c>
      <c r="H120" s="130">
        <v>45237</v>
      </c>
      <c r="I120" s="130">
        <v>45237</v>
      </c>
      <c r="J120" s="130">
        <f t="shared" si="8"/>
        <v>45237</v>
      </c>
      <c r="K120" s="263">
        <f t="shared" si="9"/>
        <v>0.5</v>
      </c>
      <c r="L120" s="35">
        <f t="shared" si="10"/>
        <v>27</v>
      </c>
      <c r="M120" s="35">
        <f t="shared" si="11"/>
        <v>0</v>
      </c>
      <c r="N120" s="35">
        <f t="shared" si="12"/>
        <v>27.5</v>
      </c>
      <c r="O120" s="35">
        <v>2368.46</v>
      </c>
      <c r="P120" s="131">
        <v>1084.06</v>
      </c>
      <c r="Q120" s="132">
        <f t="shared" si="13"/>
        <v>1.1712114838682939E-3</v>
      </c>
      <c r="R120" s="38">
        <f t="shared" si="14"/>
        <v>3.2208315806378084E-2</v>
      </c>
    </row>
    <row r="121" spans="1:18">
      <c r="A121" s="36">
        <f t="shared" si="15"/>
        <v>113</v>
      </c>
      <c r="B121" s="35" t="s">
        <v>782</v>
      </c>
      <c r="C121" s="130">
        <v>45421</v>
      </c>
      <c r="D121" s="287" t="s">
        <v>783</v>
      </c>
      <c r="E121" s="130">
        <v>45421</v>
      </c>
      <c r="F121" s="130" t="s">
        <v>670</v>
      </c>
      <c r="G121" s="130">
        <v>45421</v>
      </c>
      <c r="H121" s="130">
        <v>45383</v>
      </c>
      <c r="I121" s="130">
        <v>45413</v>
      </c>
      <c r="J121" s="130">
        <f t="shared" si="8"/>
        <v>45398</v>
      </c>
      <c r="K121" s="263">
        <f t="shared" si="9"/>
        <v>15.5</v>
      </c>
      <c r="L121" s="35">
        <f t="shared" si="10"/>
        <v>0</v>
      </c>
      <c r="M121" s="35">
        <f t="shared" si="11"/>
        <v>0</v>
      </c>
      <c r="N121" s="35">
        <f t="shared" si="12"/>
        <v>15.5</v>
      </c>
      <c r="O121" s="35">
        <v>53.69</v>
      </c>
      <c r="P121" s="131">
        <v>53.69</v>
      </c>
      <c r="Q121" s="132">
        <f t="shared" si="13"/>
        <v>5.8006332277631028E-5</v>
      </c>
      <c r="R121" s="38">
        <f t="shared" si="14"/>
        <v>8.9909815030328097E-4</v>
      </c>
    </row>
    <row r="122" spans="1:18">
      <c r="A122" s="36">
        <f t="shared" si="15"/>
        <v>114</v>
      </c>
      <c r="B122" s="35" t="s">
        <v>784</v>
      </c>
      <c r="C122" s="130">
        <v>45444</v>
      </c>
      <c r="D122" s="287">
        <v>99958</v>
      </c>
      <c r="E122" s="130">
        <v>45448</v>
      </c>
      <c r="F122" s="130" t="s">
        <v>668</v>
      </c>
      <c r="G122" s="130">
        <v>45456</v>
      </c>
      <c r="H122" s="130">
        <v>45464</v>
      </c>
      <c r="I122" s="130">
        <v>45829</v>
      </c>
      <c r="J122" s="130">
        <f t="shared" si="8"/>
        <v>45646.5</v>
      </c>
      <c r="K122" s="263">
        <f t="shared" si="9"/>
        <v>183</v>
      </c>
      <c r="L122" s="35">
        <f t="shared" si="10"/>
        <v>4</v>
      </c>
      <c r="M122" s="35">
        <f t="shared" si="11"/>
        <v>8</v>
      </c>
      <c r="N122" s="35">
        <f t="shared" si="12"/>
        <v>195</v>
      </c>
      <c r="O122" s="35">
        <v>172.05</v>
      </c>
      <c r="P122" s="131">
        <v>182.37</v>
      </c>
      <c r="Q122" s="132">
        <f t="shared" si="13"/>
        <v>1.9703138047069419E-4</v>
      </c>
      <c r="R122" s="38">
        <f t="shared" si="14"/>
        <v>3.8421119191785369E-2</v>
      </c>
    </row>
    <row r="123" spans="1:18">
      <c r="A123" s="36">
        <f t="shared" si="15"/>
        <v>115</v>
      </c>
      <c r="B123" s="35" t="s">
        <v>785</v>
      </c>
      <c r="C123" s="130">
        <v>45168</v>
      </c>
      <c r="D123" s="287">
        <v>121139</v>
      </c>
      <c r="E123" s="130">
        <v>45194</v>
      </c>
      <c r="F123" s="130" t="s">
        <v>671</v>
      </c>
      <c r="G123" s="130">
        <v>45194</v>
      </c>
      <c r="H123" s="130">
        <v>45156</v>
      </c>
      <c r="I123" s="130">
        <v>45156</v>
      </c>
      <c r="J123" s="130">
        <f t="shared" si="8"/>
        <v>45156</v>
      </c>
      <c r="K123" s="263">
        <f t="shared" si="9"/>
        <v>0.5</v>
      </c>
      <c r="L123" s="35">
        <f t="shared" si="10"/>
        <v>26</v>
      </c>
      <c r="M123" s="35">
        <f t="shared" si="11"/>
        <v>0</v>
      </c>
      <c r="N123" s="35">
        <f t="shared" si="12"/>
        <v>26.5</v>
      </c>
      <c r="O123" s="35">
        <v>5334.97</v>
      </c>
      <c r="P123" s="131">
        <v>71.010000000000005</v>
      </c>
      <c r="Q123" s="132">
        <f t="shared" si="13"/>
        <v>7.6718749395317183E-5</v>
      </c>
      <c r="R123" s="38">
        <f t="shared" si="14"/>
        <v>2.0330468589759053E-3</v>
      </c>
    </row>
    <row r="124" spans="1:18">
      <c r="A124" s="36">
        <f t="shared" si="15"/>
        <v>116</v>
      </c>
      <c r="B124" s="35" t="s">
        <v>785</v>
      </c>
      <c r="C124" s="130">
        <v>45391</v>
      </c>
      <c r="D124" s="287">
        <v>126495</v>
      </c>
      <c r="E124" s="130">
        <v>45418</v>
      </c>
      <c r="F124" s="130" t="s">
        <v>670</v>
      </c>
      <c r="G124" s="130">
        <v>45418</v>
      </c>
      <c r="H124" s="130">
        <v>45365</v>
      </c>
      <c r="I124" s="130">
        <v>45377</v>
      </c>
      <c r="J124" s="130">
        <f t="shared" si="8"/>
        <v>45371</v>
      </c>
      <c r="K124" s="263">
        <f t="shared" si="9"/>
        <v>6.5</v>
      </c>
      <c r="L124" s="35">
        <f t="shared" si="10"/>
        <v>27</v>
      </c>
      <c r="M124" s="35">
        <f t="shared" si="11"/>
        <v>0</v>
      </c>
      <c r="N124" s="35">
        <f t="shared" si="12"/>
        <v>33.5</v>
      </c>
      <c r="O124" s="35">
        <v>21330.52</v>
      </c>
      <c r="P124" s="131">
        <v>180.93</v>
      </c>
      <c r="Q124" s="132">
        <f t="shared" si="13"/>
        <v>1.9547561368954709E-4</v>
      </c>
      <c r="R124" s="38">
        <f t="shared" si="14"/>
        <v>6.5484330585998275E-3</v>
      </c>
    </row>
    <row r="125" spans="1:18">
      <c r="A125" s="36">
        <f t="shared" si="15"/>
        <v>117</v>
      </c>
      <c r="B125" s="35" t="s">
        <v>785</v>
      </c>
      <c r="C125" s="130">
        <v>45182</v>
      </c>
      <c r="D125" s="287">
        <v>129668</v>
      </c>
      <c r="E125" s="130">
        <v>45209</v>
      </c>
      <c r="F125" s="130" t="s">
        <v>671</v>
      </c>
      <c r="G125" s="130">
        <v>45209</v>
      </c>
      <c r="H125" s="130">
        <v>45182</v>
      </c>
      <c r="I125" s="130">
        <v>45182</v>
      </c>
      <c r="J125" s="130">
        <f t="shared" si="8"/>
        <v>45182</v>
      </c>
      <c r="K125" s="263">
        <f t="shared" si="9"/>
        <v>0.5</v>
      </c>
      <c r="L125" s="35">
        <f t="shared" si="10"/>
        <v>27</v>
      </c>
      <c r="M125" s="35">
        <f t="shared" si="11"/>
        <v>0</v>
      </c>
      <c r="N125" s="35">
        <f t="shared" si="12"/>
        <v>27.5</v>
      </c>
      <c r="O125" s="35">
        <v>30216.84</v>
      </c>
      <c r="P125" s="131">
        <v>485.36</v>
      </c>
      <c r="Q125" s="132">
        <f t="shared" si="13"/>
        <v>5.2437983673441976E-4</v>
      </c>
      <c r="R125" s="38">
        <f t="shared" si="14"/>
        <v>1.4420445510196543E-2</v>
      </c>
    </row>
    <row r="126" spans="1:18">
      <c r="A126" s="36">
        <f t="shared" si="15"/>
        <v>118</v>
      </c>
      <c r="B126" s="35" t="s">
        <v>785</v>
      </c>
      <c r="C126" s="130">
        <v>45338</v>
      </c>
      <c r="D126" s="287">
        <v>125210</v>
      </c>
      <c r="E126" s="130">
        <v>45363</v>
      </c>
      <c r="F126" s="130" t="s">
        <v>670</v>
      </c>
      <c r="G126" s="130">
        <v>45363</v>
      </c>
      <c r="H126" s="130">
        <v>45308</v>
      </c>
      <c r="I126" s="130">
        <v>45320</v>
      </c>
      <c r="J126" s="130">
        <f t="shared" si="8"/>
        <v>45314</v>
      </c>
      <c r="K126" s="263">
        <f t="shared" si="9"/>
        <v>6.5</v>
      </c>
      <c r="L126" s="35">
        <f t="shared" si="10"/>
        <v>25</v>
      </c>
      <c r="M126" s="35">
        <f t="shared" si="11"/>
        <v>0</v>
      </c>
      <c r="N126" s="35">
        <f t="shared" si="12"/>
        <v>31.5</v>
      </c>
      <c r="O126" s="35">
        <v>6090.51</v>
      </c>
      <c r="P126" s="131">
        <v>162.02000000000001</v>
      </c>
      <c r="Q126" s="132">
        <f t="shared" si="13"/>
        <v>1.75045370751011E-4</v>
      </c>
      <c r="R126" s="38">
        <f t="shared" si="14"/>
        <v>5.513929178656847E-3</v>
      </c>
    </row>
    <row r="127" spans="1:18">
      <c r="A127" s="36">
        <f t="shared" si="15"/>
        <v>119</v>
      </c>
      <c r="B127" s="35" t="s">
        <v>785</v>
      </c>
      <c r="C127" s="130">
        <v>45124</v>
      </c>
      <c r="D127" s="287">
        <v>119532</v>
      </c>
      <c r="E127" s="130">
        <v>45149</v>
      </c>
      <c r="F127" s="130" t="s">
        <v>671</v>
      </c>
      <c r="G127" s="130">
        <v>45149</v>
      </c>
      <c r="H127" s="130">
        <v>45098</v>
      </c>
      <c r="I127" s="130">
        <v>45110</v>
      </c>
      <c r="J127" s="130">
        <f t="shared" si="8"/>
        <v>45104</v>
      </c>
      <c r="K127" s="263">
        <f t="shared" si="9"/>
        <v>6.5</v>
      </c>
      <c r="L127" s="35">
        <f t="shared" si="10"/>
        <v>25</v>
      </c>
      <c r="M127" s="35">
        <f t="shared" si="11"/>
        <v>0</v>
      </c>
      <c r="N127" s="35">
        <f t="shared" si="12"/>
        <v>31.5</v>
      </c>
      <c r="O127" s="35">
        <v>5241.21</v>
      </c>
      <c r="P127" s="131">
        <v>679.78</v>
      </c>
      <c r="Q127" s="132">
        <f t="shared" si="13"/>
        <v>7.3442996006124089E-4</v>
      </c>
      <c r="R127" s="38">
        <f t="shared" si="14"/>
        <v>2.3134543741929088E-2</v>
      </c>
    </row>
    <row r="128" spans="1:18">
      <c r="A128" s="36">
        <f t="shared" si="15"/>
        <v>120</v>
      </c>
      <c r="B128" s="35" t="s">
        <v>786</v>
      </c>
      <c r="C128" s="130">
        <v>45166</v>
      </c>
      <c r="D128" s="287" t="s">
        <v>787</v>
      </c>
      <c r="E128" s="130">
        <v>45187</v>
      </c>
      <c r="F128" s="130" t="s">
        <v>671</v>
      </c>
      <c r="G128" s="130">
        <v>45187</v>
      </c>
      <c r="H128" s="130">
        <v>45166</v>
      </c>
      <c r="I128" s="130">
        <v>45183</v>
      </c>
      <c r="J128" s="130">
        <f t="shared" si="8"/>
        <v>45174.5</v>
      </c>
      <c r="K128" s="263">
        <f t="shared" si="9"/>
        <v>9</v>
      </c>
      <c r="L128" s="35">
        <f t="shared" si="10"/>
        <v>21</v>
      </c>
      <c r="M128" s="35">
        <f t="shared" si="11"/>
        <v>0</v>
      </c>
      <c r="N128" s="35">
        <f t="shared" si="12"/>
        <v>30</v>
      </c>
      <c r="O128" s="35">
        <v>669.87</v>
      </c>
      <c r="P128" s="131">
        <v>669.87</v>
      </c>
      <c r="Q128" s="132">
        <f t="shared" si="13"/>
        <v>7.237232595048743E-4</v>
      </c>
      <c r="R128" s="38">
        <f t="shared" si="14"/>
        <v>2.1711697785146228E-2</v>
      </c>
    </row>
    <row r="129" spans="1:18">
      <c r="A129" s="36">
        <f t="shared" si="15"/>
        <v>121</v>
      </c>
      <c r="B129" s="35" t="s">
        <v>788</v>
      </c>
      <c r="C129" s="130">
        <v>45281</v>
      </c>
      <c r="D129" s="287" t="s">
        <v>789</v>
      </c>
      <c r="E129" s="130">
        <v>45281</v>
      </c>
      <c r="F129" s="130" t="s">
        <v>670</v>
      </c>
      <c r="G129" s="130">
        <v>45281</v>
      </c>
      <c r="H129" s="130">
        <v>45231</v>
      </c>
      <c r="I129" s="130">
        <v>45265</v>
      </c>
      <c r="J129" s="130">
        <f t="shared" si="8"/>
        <v>45248</v>
      </c>
      <c r="K129" s="263">
        <f t="shared" si="9"/>
        <v>17.5</v>
      </c>
      <c r="L129" s="35">
        <f t="shared" si="10"/>
        <v>0</v>
      </c>
      <c r="M129" s="35">
        <f t="shared" si="11"/>
        <v>0</v>
      </c>
      <c r="N129" s="35">
        <f t="shared" si="12"/>
        <v>17.5</v>
      </c>
      <c r="O129" s="35">
        <v>26.74</v>
      </c>
      <c r="P129" s="131">
        <v>26.74</v>
      </c>
      <c r="Q129" s="132">
        <f t="shared" si="13"/>
        <v>2.8889724811023538E-5</v>
      </c>
      <c r="R129" s="38">
        <f t="shared" si="14"/>
        <v>5.055701841929119E-4</v>
      </c>
    </row>
    <row r="130" spans="1:18">
      <c r="A130" s="36">
        <f t="shared" si="15"/>
        <v>122</v>
      </c>
      <c r="B130" s="35" t="s">
        <v>788</v>
      </c>
      <c r="C130" s="130">
        <v>45411</v>
      </c>
      <c r="D130" s="287" t="s">
        <v>790</v>
      </c>
      <c r="E130" s="130">
        <v>45411</v>
      </c>
      <c r="F130" s="130" t="s">
        <v>670</v>
      </c>
      <c r="G130" s="130">
        <v>45411</v>
      </c>
      <c r="H130" s="130">
        <v>45365</v>
      </c>
      <c r="I130" s="130">
        <v>45398</v>
      </c>
      <c r="J130" s="130">
        <f t="shared" si="8"/>
        <v>45381.5</v>
      </c>
      <c r="K130" s="263">
        <f t="shared" si="9"/>
        <v>17</v>
      </c>
      <c r="L130" s="35">
        <f t="shared" si="10"/>
        <v>0</v>
      </c>
      <c r="M130" s="35">
        <f t="shared" si="11"/>
        <v>0</v>
      </c>
      <c r="N130" s="35">
        <f t="shared" si="12"/>
        <v>17</v>
      </c>
      <c r="O130" s="35">
        <v>26.57</v>
      </c>
      <c r="P130" s="131">
        <v>26.57</v>
      </c>
      <c r="Q130" s="132">
        <f t="shared" si="13"/>
        <v>2.8706057899360337E-5</v>
      </c>
      <c r="R130" s="38">
        <f t="shared" si="14"/>
        <v>4.8800298428912576E-4</v>
      </c>
    </row>
    <row r="131" spans="1:18">
      <c r="A131" s="36">
        <f t="shared" si="15"/>
        <v>123</v>
      </c>
      <c r="B131" s="35" t="s">
        <v>788</v>
      </c>
      <c r="C131" s="130">
        <v>45282</v>
      </c>
      <c r="D131" s="287" t="s">
        <v>791</v>
      </c>
      <c r="E131" s="130">
        <v>45282</v>
      </c>
      <c r="F131" s="130" t="s">
        <v>670</v>
      </c>
      <c r="G131" s="130">
        <v>45282</v>
      </c>
      <c r="H131" s="130">
        <v>45243</v>
      </c>
      <c r="I131" s="130">
        <v>45273</v>
      </c>
      <c r="J131" s="130">
        <f t="shared" si="8"/>
        <v>45258</v>
      </c>
      <c r="K131" s="263">
        <f t="shared" si="9"/>
        <v>15.5</v>
      </c>
      <c r="L131" s="35">
        <f t="shared" si="10"/>
        <v>0</v>
      </c>
      <c r="M131" s="35">
        <f t="shared" si="11"/>
        <v>0</v>
      </c>
      <c r="N131" s="35">
        <f t="shared" si="12"/>
        <v>15.5</v>
      </c>
      <c r="O131" s="35">
        <v>26.16</v>
      </c>
      <c r="P131" s="131">
        <v>26.16</v>
      </c>
      <c r="Q131" s="132">
        <f t="shared" si="13"/>
        <v>2.8263096524172617E-5</v>
      </c>
      <c r="R131" s="38">
        <f t="shared" si="14"/>
        <v>4.3807799612467557E-4</v>
      </c>
    </row>
    <row r="132" spans="1:18">
      <c r="A132" s="36">
        <f t="shared" si="15"/>
        <v>124</v>
      </c>
      <c r="B132" s="35" t="s">
        <v>792</v>
      </c>
      <c r="C132" s="130">
        <v>45140</v>
      </c>
      <c r="D132" s="287">
        <v>12140</v>
      </c>
      <c r="E132" s="130">
        <v>45175</v>
      </c>
      <c r="F132" s="130" t="s">
        <v>668</v>
      </c>
      <c r="G132" s="130">
        <v>45182</v>
      </c>
      <c r="H132" s="130">
        <v>45108</v>
      </c>
      <c r="I132" s="130">
        <v>45138</v>
      </c>
      <c r="J132" s="130">
        <f t="shared" si="8"/>
        <v>45123</v>
      </c>
      <c r="K132" s="263">
        <f t="shared" si="9"/>
        <v>15.5</v>
      </c>
      <c r="L132" s="35">
        <f t="shared" si="10"/>
        <v>35</v>
      </c>
      <c r="M132" s="35">
        <f t="shared" si="11"/>
        <v>7</v>
      </c>
      <c r="N132" s="35">
        <f t="shared" si="12"/>
        <v>57.5</v>
      </c>
      <c r="O132" s="35">
        <v>349.8</v>
      </c>
      <c r="P132" s="131">
        <v>349.8</v>
      </c>
      <c r="Q132" s="132">
        <f t="shared" si="13"/>
        <v>3.7792168058698708E-4</v>
      </c>
      <c r="R132" s="38">
        <f t="shared" si="14"/>
        <v>2.1730496633751758E-2</v>
      </c>
    </row>
    <row r="133" spans="1:18">
      <c r="A133" s="36">
        <f t="shared" si="15"/>
        <v>125</v>
      </c>
      <c r="B133" s="35" t="s">
        <v>793</v>
      </c>
      <c r="C133" s="130">
        <v>45226</v>
      </c>
      <c r="D133" s="287" t="s">
        <v>794</v>
      </c>
      <c r="E133" s="130">
        <v>45230</v>
      </c>
      <c r="F133" s="130" t="s">
        <v>671</v>
      </c>
      <c r="G133" s="130">
        <v>45230</v>
      </c>
      <c r="H133" s="130">
        <v>45226</v>
      </c>
      <c r="I133" s="130">
        <v>45226</v>
      </c>
      <c r="J133" s="130">
        <f t="shared" si="8"/>
        <v>45226</v>
      </c>
      <c r="K133" s="263">
        <f t="shared" si="9"/>
        <v>0.5</v>
      </c>
      <c r="L133" s="35">
        <f t="shared" si="10"/>
        <v>4</v>
      </c>
      <c r="M133" s="35">
        <f t="shared" si="11"/>
        <v>0</v>
      </c>
      <c r="N133" s="35">
        <f t="shared" si="12"/>
        <v>4.5</v>
      </c>
      <c r="O133" s="35">
        <v>358.29</v>
      </c>
      <c r="P133" s="131">
        <v>68.66</v>
      </c>
      <c r="Q133" s="132">
        <f t="shared" si="13"/>
        <v>7.4179824439972924E-5</v>
      </c>
      <c r="R133" s="38">
        <f t="shared" si="14"/>
        <v>3.3380920997987817E-4</v>
      </c>
    </row>
    <row r="134" spans="1:18">
      <c r="A134" s="36">
        <f t="shared" si="15"/>
        <v>126</v>
      </c>
      <c r="B134" s="35" t="s">
        <v>795</v>
      </c>
      <c r="C134" s="130">
        <v>45113</v>
      </c>
      <c r="D134" s="287" t="s">
        <v>796</v>
      </c>
      <c r="E134" s="130">
        <v>45113</v>
      </c>
      <c r="F134" s="130" t="s">
        <v>670</v>
      </c>
      <c r="G134" s="130">
        <v>45113</v>
      </c>
      <c r="H134" s="130">
        <v>45061</v>
      </c>
      <c r="I134" s="130">
        <v>45089</v>
      </c>
      <c r="J134" s="130">
        <f t="shared" si="8"/>
        <v>45075</v>
      </c>
      <c r="K134" s="263">
        <f t="shared" si="9"/>
        <v>14.5</v>
      </c>
      <c r="L134" s="35">
        <f t="shared" si="10"/>
        <v>0</v>
      </c>
      <c r="M134" s="35">
        <f t="shared" si="11"/>
        <v>0</v>
      </c>
      <c r="N134" s="35">
        <f t="shared" si="12"/>
        <v>14.5</v>
      </c>
      <c r="O134" s="35">
        <v>27.53</v>
      </c>
      <c r="P134" s="131">
        <v>27.53</v>
      </c>
      <c r="Q134" s="132">
        <f t="shared" si="13"/>
        <v>2.9743235753458415E-5</v>
      </c>
      <c r="R134" s="38">
        <f t="shared" si="14"/>
        <v>4.3127691842514699E-4</v>
      </c>
    </row>
    <row r="135" spans="1:18">
      <c r="A135" s="36">
        <f t="shared" si="15"/>
        <v>127</v>
      </c>
      <c r="B135" s="35" t="s">
        <v>795</v>
      </c>
      <c r="C135" s="130">
        <v>45447</v>
      </c>
      <c r="D135" s="287" t="s">
        <v>797</v>
      </c>
      <c r="E135" s="130">
        <v>45471</v>
      </c>
      <c r="F135" s="130" t="s">
        <v>670</v>
      </c>
      <c r="G135" s="130">
        <v>45471</v>
      </c>
      <c r="H135" s="130">
        <v>45392</v>
      </c>
      <c r="I135" s="130">
        <v>45422</v>
      </c>
      <c r="J135" s="130">
        <f t="shared" si="8"/>
        <v>45407</v>
      </c>
      <c r="K135" s="263">
        <f t="shared" si="9"/>
        <v>15.5</v>
      </c>
      <c r="L135" s="35">
        <f t="shared" si="10"/>
        <v>24</v>
      </c>
      <c r="M135" s="35">
        <f t="shared" si="11"/>
        <v>0</v>
      </c>
      <c r="N135" s="35">
        <f t="shared" si="12"/>
        <v>39.5</v>
      </c>
      <c r="O135" s="35">
        <v>34.630000000000003</v>
      </c>
      <c r="P135" s="131">
        <v>34.630000000000003</v>
      </c>
      <c r="Q135" s="132">
        <f t="shared" si="13"/>
        <v>3.7414030299392116E-5</v>
      </c>
      <c r="R135" s="38">
        <f t="shared" si="14"/>
        <v>1.4778541968259887E-3</v>
      </c>
    </row>
    <row r="136" spans="1:18">
      <c r="A136" s="36">
        <f t="shared" si="15"/>
        <v>128</v>
      </c>
      <c r="B136" s="35" t="s">
        <v>798</v>
      </c>
      <c r="C136" s="130">
        <v>45352</v>
      </c>
      <c r="D136" s="287">
        <v>6147</v>
      </c>
      <c r="E136" s="130">
        <v>45371</v>
      </c>
      <c r="F136" s="130" t="s">
        <v>668</v>
      </c>
      <c r="G136" s="130">
        <v>45386</v>
      </c>
      <c r="H136" s="130">
        <v>45292</v>
      </c>
      <c r="I136" s="130">
        <v>45657</v>
      </c>
      <c r="J136" s="130">
        <f t="shared" si="8"/>
        <v>45474.5</v>
      </c>
      <c r="K136" s="263">
        <f t="shared" si="9"/>
        <v>183</v>
      </c>
      <c r="L136" s="35">
        <f t="shared" si="10"/>
        <v>19</v>
      </c>
      <c r="M136" s="35">
        <f t="shared" si="11"/>
        <v>15</v>
      </c>
      <c r="N136" s="35">
        <f t="shared" si="12"/>
        <v>217</v>
      </c>
      <c r="O136" s="35">
        <v>2500</v>
      </c>
      <c r="P136" s="131">
        <v>2500</v>
      </c>
      <c r="Q136" s="132">
        <f t="shared" si="13"/>
        <v>2.7009839950470774E-3</v>
      </c>
      <c r="R136" s="38">
        <f t="shared" si="14"/>
        <v>0.58611352692521579</v>
      </c>
    </row>
    <row r="137" spans="1:18">
      <c r="A137" s="36">
        <f t="shared" si="15"/>
        <v>129</v>
      </c>
      <c r="B137" s="35" t="s">
        <v>798</v>
      </c>
      <c r="C137" s="130">
        <v>45244</v>
      </c>
      <c r="D137" s="287">
        <v>84105</v>
      </c>
      <c r="E137" s="130">
        <v>45273</v>
      </c>
      <c r="F137" s="130" t="s">
        <v>668</v>
      </c>
      <c r="G137" s="130">
        <v>45280</v>
      </c>
      <c r="H137" s="130">
        <v>45244</v>
      </c>
      <c r="I137" s="130">
        <v>45610</v>
      </c>
      <c r="J137" s="130">
        <f t="shared" ref="J137:J200" si="16">IF(I137&lt;1," ",(((I137-H137)/2)+H137))</f>
        <v>45427</v>
      </c>
      <c r="K137" s="263">
        <f t="shared" ref="K137:K200" si="17">(I137-H137+1)/2</f>
        <v>183.5</v>
      </c>
      <c r="L137" s="35">
        <f t="shared" ref="L137:L200" si="18">E137-C137</f>
        <v>29</v>
      </c>
      <c r="M137" s="35">
        <f t="shared" ref="M137:M200" si="19">G137-E137</f>
        <v>7</v>
      </c>
      <c r="N137" s="35">
        <f t="shared" ref="N137:N200" si="20">M137+L137+K137</f>
        <v>219.5</v>
      </c>
      <c r="O137" s="35">
        <v>305</v>
      </c>
      <c r="P137" s="131">
        <v>305</v>
      </c>
      <c r="Q137" s="132">
        <f t="shared" ref="Q137:Q200" si="21">P137/$P$422</f>
        <v>3.2952004739574345E-4</v>
      </c>
      <c r="R137" s="38">
        <f t="shared" ref="R137:R200" si="22">Q137*N137</f>
        <v>7.2329650403365683E-2</v>
      </c>
    </row>
    <row r="138" spans="1:18">
      <c r="A138" s="36">
        <f t="shared" ref="A138:A201" si="23">1+A137</f>
        <v>130</v>
      </c>
      <c r="B138" s="35" t="s">
        <v>799</v>
      </c>
      <c r="C138" s="130">
        <v>45100</v>
      </c>
      <c r="D138" s="287">
        <v>5163924078</v>
      </c>
      <c r="E138" s="130">
        <v>45126</v>
      </c>
      <c r="F138" s="130" t="s">
        <v>668</v>
      </c>
      <c r="G138" s="130">
        <v>45132</v>
      </c>
      <c r="H138" s="130">
        <v>45100</v>
      </c>
      <c r="I138" s="130">
        <v>45100</v>
      </c>
      <c r="J138" s="130">
        <f t="shared" si="16"/>
        <v>45100</v>
      </c>
      <c r="K138" s="263">
        <f t="shared" si="17"/>
        <v>0.5</v>
      </c>
      <c r="L138" s="35">
        <f t="shared" si="18"/>
        <v>26</v>
      </c>
      <c r="M138" s="35">
        <f t="shared" si="19"/>
        <v>6</v>
      </c>
      <c r="N138" s="35">
        <f t="shared" si="20"/>
        <v>32.5</v>
      </c>
      <c r="O138" s="35">
        <v>478.47</v>
      </c>
      <c r="P138" s="131">
        <v>25.27</v>
      </c>
      <c r="Q138" s="132">
        <f t="shared" si="21"/>
        <v>2.7301546221935858E-5</v>
      </c>
      <c r="R138" s="38">
        <f t="shared" si="22"/>
        <v>8.8730025221291542E-4</v>
      </c>
    </row>
    <row r="139" spans="1:18">
      <c r="A139" s="36">
        <f t="shared" si="23"/>
        <v>131</v>
      </c>
      <c r="B139" s="35" t="s">
        <v>799</v>
      </c>
      <c r="C139" s="130">
        <v>45335</v>
      </c>
      <c r="D139" s="287">
        <v>4183135543</v>
      </c>
      <c r="E139" s="130">
        <v>45376</v>
      </c>
      <c r="F139" s="130" t="s">
        <v>668</v>
      </c>
      <c r="G139" s="130">
        <v>45387</v>
      </c>
      <c r="H139" s="130">
        <v>45335</v>
      </c>
      <c r="I139" s="130">
        <v>45335</v>
      </c>
      <c r="J139" s="130">
        <f t="shared" si="16"/>
        <v>45335</v>
      </c>
      <c r="K139" s="263">
        <f t="shared" si="17"/>
        <v>0.5</v>
      </c>
      <c r="L139" s="35">
        <f t="shared" si="18"/>
        <v>41</v>
      </c>
      <c r="M139" s="35">
        <f t="shared" si="19"/>
        <v>11</v>
      </c>
      <c r="N139" s="35">
        <f t="shared" si="20"/>
        <v>52.5</v>
      </c>
      <c r="O139" s="35">
        <v>2096.16</v>
      </c>
      <c r="P139" s="131">
        <v>119.06</v>
      </c>
      <c r="Q139" s="132">
        <f t="shared" si="21"/>
        <v>1.28631661780122E-4</v>
      </c>
      <c r="R139" s="38">
        <f t="shared" si="22"/>
        <v>6.7531622434564053E-3</v>
      </c>
    </row>
    <row r="140" spans="1:18">
      <c r="A140" s="36">
        <f t="shared" si="23"/>
        <v>132</v>
      </c>
      <c r="B140" s="35" t="s">
        <v>799</v>
      </c>
      <c r="C140" s="130">
        <v>45369</v>
      </c>
      <c r="D140" s="287">
        <v>4186628821</v>
      </c>
      <c r="E140" s="130">
        <v>45376</v>
      </c>
      <c r="F140" s="130" t="s">
        <v>668</v>
      </c>
      <c r="G140" s="130">
        <v>45387</v>
      </c>
      <c r="H140" s="130">
        <v>45369</v>
      </c>
      <c r="I140" s="130">
        <v>45369</v>
      </c>
      <c r="J140" s="130">
        <f t="shared" si="16"/>
        <v>45369</v>
      </c>
      <c r="K140" s="263">
        <f t="shared" si="17"/>
        <v>0.5</v>
      </c>
      <c r="L140" s="35">
        <f t="shared" si="18"/>
        <v>7</v>
      </c>
      <c r="M140" s="35">
        <f t="shared" si="19"/>
        <v>11</v>
      </c>
      <c r="N140" s="35">
        <f t="shared" si="20"/>
        <v>18.5</v>
      </c>
      <c r="O140" s="35">
        <v>2096.16</v>
      </c>
      <c r="P140" s="131">
        <v>173.86</v>
      </c>
      <c r="Q140" s="132">
        <f t="shared" si="21"/>
        <v>1.8783723095155397E-4</v>
      </c>
      <c r="R140" s="38">
        <f t="shared" si="22"/>
        <v>3.4749887726037484E-3</v>
      </c>
    </row>
    <row r="141" spans="1:18">
      <c r="A141" s="36">
        <f t="shared" si="23"/>
        <v>133</v>
      </c>
      <c r="B141" s="35" t="s">
        <v>799</v>
      </c>
      <c r="C141" s="130">
        <v>45083</v>
      </c>
      <c r="D141" s="287">
        <v>4157625841</v>
      </c>
      <c r="E141" s="130">
        <v>45175</v>
      </c>
      <c r="F141" s="130" t="s">
        <v>668</v>
      </c>
      <c r="G141" s="130">
        <v>45181</v>
      </c>
      <c r="H141" s="130">
        <v>45083</v>
      </c>
      <c r="I141" s="130">
        <v>45083</v>
      </c>
      <c r="J141" s="130">
        <f t="shared" si="16"/>
        <v>45083</v>
      </c>
      <c r="K141" s="263">
        <f t="shared" si="17"/>
        <v>0.5</v>
      </c>
      <c r="L141" s="35">
        <f t="shared" si="18"/>
        <v>92</v>
      </c>
      <c r="M141" s="35">
        <f t="shared" si="19"/>
        <v>6</v>
      </c>
      <c r="N141" s="35">
        <f t="shared" si="20"/>
        <v>98.5</v>
      </c>
      <c r="O141" s="35">
        <v>725.44</v>
      </c>
      <c r="P141" s="131">
        <v>119.06</v>
      </c>
      <c r="Q141" s="132">
        <f t="shared" si="21"/>
        <v>1.28631661780122E-4</v>
      </c>
      <c r="R141" s="38">
        <f t="shared" si="22"/>
        <v>1.2670218685342018E-2</v>
      </c>
    </row>
    <row r="142" spans="1:18">
      <c r="A142" s="36">
        <f t="shared" si="23"/>
        <v>134</v>
      </c>
      <c r="B142" s="35" t="s">
        <v>799</v>
      </c>
      <c r="C142" s="130">
        <v>45218</v>
      </c>
      <c r="D142" s="287">
        <v>5180584093</v>
      </c>
      <c r="E142" s="130">
        <v>45287</v>
      </c>
      <c r="F142" s="130" t="s">
        <v>668</v>
      </c>
      <c r="G142" s="130">
        <v>45294</v>
      </c>
      <c r="H142" s="130">
        <v>45218</v>
      </c>
      <c r="I142" s="130">
        <v>45218</v>
      </c>
      <c r="J142" s="130">
        <f t="shared" si="16"/>
        <v>45218</v>
      </c>
      <c r="K142" s="263">
        <f t="shared" si="17"/>
        <v>0.5</v>
      </c>
      <c r="L142" s="35">
        <f t="shared" si="18"/>
        <v>69</v>
      </c>
      <c r="M142" s="35">
        <f t="shared" si="19"/>
        <v>7</v>
      </c>
      <c r="N142" s="35">
        <f t="shared" si="20"/>
        <v>76.5</v>
      </c>
      <c r="O142" s="35">
        <v>3723.87</v>
      </c>
      <c r="P142" s="131">
        <v>49.56</v>
      </c>
      <c r="Q142" s="132">
        <f t="shared" si="21"/>
        <v>5.3544306717813265E-5</v>
      </c>
      <c r="R142" s="38">
        <f t="shared" si="22"/>
        <v>4.096139463912715E-3</v>
      </c>
    </row>
    <row r="143" spans="1:18">
      <c r="A143" s="36">
        <f t="shared" si="23"/>
        <v>135</v>
      </c>
      <c r="B143" s="35" t="s">
        <v>800</v>
      </c>
      <c r="C143" s="130">
        <v>45468</v>
      </c>
      <c r="D143" s="287" t="s">
        <v>801</v>
      </c>
      <c r="E143" s="130">
        <v>45468</v>
      </c>
      <c r="F143" s="130" t="s">
        <v>670</v>
      </c>
      <c r="G143" s="130">
        <v>45468</v>
      </c>
      <c r="H143" s="130">
        <v>45422</v>
      </c>
      <c r="I143" s="130">
        <v>45450</v>
      </c>
      <c r="J143" s="130">
        <f t="shared" si="16"/>
        <v>45436</v>
      </c>
      <c r="K143" s="263">
        <f t="shared" si="17"/>
        <v>14.5</v>
      </c>
      <c r="L143" s="35">
        <f t="shared" si="18"/>
        <v>0</v>
      </c>
      <c r="M143" s="35">
        <f t="shared" si="19"/>
        <v>0</v>
      </c>
      <c r="N143" s="35">
        <f t="shared" si="20"/>
        <v>14.5</v>
      </c>
      <c r="O143" s="35">
        <v>85.1</v>
      </c>
      <c r="P143" s="131">
        <v>24.62</v>
      </c>
      <c r="Q143" s="132">
        <f t="shared" si="21"/>
        <v>2.6599290383223618E-5</v>
      </c>
      <c r="R143" s="38">
        <f t="shared" si="22"/>
        <v>3.8568971055674245E-4</v>
      </c>
    </row>
    <row r="144" spans="1:18">
      <c r="A144" s="36">
        <f t="shared" si="23"/>
        <v>136</v>
      </c>
      <c r="B144" s="35" t="s">
        <v>802</v>
      </c>
      <c r="C144" s="130">
        <v>45315</v>
      </c>
      <c r="D144" s="287">
        <v>6300454</v>
      </c>
      <c r="E144" s="130">
        <v>45322</v>
      </c>
      <c r="F144" s="130" t="s">
        <v>668</v>
      </c>
      <c r="G144" s="130">
        <v>45331</v>
      </c>
      <c r="H144" s="130">
        <v>45315</v>
      </c>
      <c r="I144" s="130">
        <v>45315</v>
      </c>
      <c r="J144" s="130">
        <f t="shared" si="16"/>
        <v>45315</v>
      </c>
      <c r="K144" s="263">
        <f t="shared" si="17"/>
        <v>0.5</v>
      </c>
      <c r="L144" s="35">
        <f t="shared" si="18"/>
        <v>7</v>
      </c>
      <c r="M144" s="35">
        <f t="shared" si="19"/>
        <v>9</v>
      </c>
      <c r="N144" s="35">
        <f t="shared" si="20"/>
        <v>16.5</v>
      </c>
      <c r="O144" s="35">
        <v>253.45</v>
      </c>
      <c r="P144" s="131">
        <v>253.45</v>
      </c>
      <c r="Q144" s="132">
        <f t="shared" si="21"/>
        <v>2.7382575741787267E-4</v>
      </c>
      <c r="R144" s="38">
        <f t="shared" si="22"/>
        <v>4.5181249973948994E-3</v>
      </c>
    </row>
    <row r="145" spans="1:18">
      <c r="A145" s="36">
        <f t="shared" si="23"/>
        <v>137</v>
      </c>
      <c r="B145" s="35" t="s">
        <v>803</v>
      </c>
      <c r="C145" s="130">
        <v>45295</v>
      </c>
      <c r="D145" s="287" t="s">
        <v>804</v>
      </c>
      <c r="E145" s="130">
        <v>45324</v>
      </c>
      <c r="F145" s="130" t="s">
        <v>670</v>
      </c>
      <c r="G145" s="130">
        <v>45324</v>
      </c>
      <c r="H145" s="130">
        <v>45295</v>
      </c>
      <c r="I145" s="130">
        <v>45313</v>
      </c>
      <c r="J145" s="130">
        <f t="shared" si="16"/>
        <v>45304</v>
      </c>
      <c r="K145" s="263">
        <f t="shared" si="17"/>
        <v>9.5</v>
      </c>
      <c r="L145" s="35">
        <f t="shared" si="18"/>
        <v>29</v>
      </c>
      <c r="M145" s="35">
        <f t="shared" si="19"/>
        <v>0</v>
      </c>
      <c r="N145" s="35">
        <f t="shared" si="20"/>
        <v>38.5</v>
      </c>
      <c r="O145" s="35">
        <v>86.03</v>
      </c>
      <c r="P145" s="131">
        <v>86.03</v>
      </c>
      <c r="Q145" s="132">
        <f t="shared" si="21"/>
        <v>9.2946261237560027E-5</v>
      </c>
      <c r="R145" s="38">
        <f t="shared" si="22"/>
        <v>3.5784310576460611E-3</v>
      </c>
    </row>
    <row r="146" spans="1:18">
      <c r="A146" s="36">
        <f t="shared" si="23"/>
        <v>138</v>
      </c>
      <c r="B146" s="35" t="s">
        <v>805</v>
      </c>
      <c r="C146" s="130">
        <v>45420</v>
      </c>
      <c r="D146" s="287" t="s">
        <v>806</v>
      </c>
      <c r="E146" s="130">
        <v>45426</v>
      </c>
      <c r="F146" s="130" t="s">
        <v>670</v>
      </c>
      <c r="G146" s="130">
        <v>45426</v>
      </c>
      <c r="H146" s="130">
        <v>45414</v>
      </c>
      <c r="I146" s="130">
        <v>45414</v>
      </c>
      <c r="J146" s="130">
        <f t="shared" si="16"/>
        <v>45414</v>
      </c>
      <c r="K146" s="263">
        <f t="shared" si="17"/>
        <v>0.5</v>
      </c>
      <c r="L146" s="35">
        <f t="shared" si="18"/>
        <v>6</v>
      </c>
      <c r="M146" s="35">
        <f t="shared" si="19"/>
        <v>0</v>
      </c>
      <c r="N146" s="35">
        <f t="shared" si="20"/>
        <v>6.5</v>
      </c>
      <c r="O146" s="35">
        <v>241.48</v>
      </c>
      <c r="P146" s="131">
        <v>241.48</v>
      </c>
      <c r="Q146" s="132">
        <f t="shared" si="21"/>
        <v>2.6089344604958729E-4</v>
      </c>
      <c r="R146" s="38">
        <f t="shared" si="22"/>
        <v>1.6958073993223173E-3</v>
      </c>
    </row>
    <row r="147" spans="1:18">
      <c r="A147" s="36">
        <f t="shared" si="23"/>
        <v>139</v>
      </c>
      <c r="B147" s="35" t="s">
        <v>807</v>
      </c>
      <c r="C147" s="130">
        <v>45349</v>
      </c>
      <c r="D147" s="287" t="s">
        <v>808</v>
      </c>
      <c r="E147" s="130">
        <v>45369</v>
      </c>
      <c r="F147" s="130" t="s">
        <v>670</v>
      </c>
      <c r="G147" s="130">
        <v>45369</v>
      </c>
      <c r="H147" s="130">
        <v>45349</v>
      </c>
      <c r="I147" s="130">
        <v>45352</v>
      </c>
      <c r="J147" s="130">
        <f t="shared" si="16"/>
        <v>45350.5</v>
      </c>
      <c r="K147" s="263">
        <f t="shared" si="17"/>
        <v>2</v>
      </c>
      <c r="L147" s="35">
        <f t="shared" si="18"/>
        <v>20</v>
      </c>
      <c r="M147" s="35">
        <f t="shared" si="19"/>
        <v>0</v>
      </c>
      <c r="N147" s="35">
        <f t="shared" si="20"/>
        <v>22</v>
      </c>
      <c r="O147" s="35">
        <v>163.72999999999999</v>
      </c>
      <c r="P147" s="131">
        <v>163.72999999999999</v>
      </c>
      <c r="Q147" s="132">
        <f t="shared" si="21"/>
        <v>1.7689284380362317E-4</v>
      </c>
      <c r="R147" s="38">
        <f t="shared" si="22"/>
        <v>3.8916425636797095E-3</v>
      </c>
    </row>
    <row r="148" spans="1:18">
      <c r="A148" s="36">
        <f t="shared" si="23"/>
        <v>140</v>
      </c>
      <c r="B148" s="35" t="s">
        <v>809</v>
      </c>
      <c r="C148" s="130">
        <v>45314</v>
      </c>
      <c r="D148" s="287" t="s">
        <v>810</v>
      </c>
      <c r="E148" s="130">
        <v>45322</v>
      </c>
      <c r="F148" s="130" t="s">
        <v>668</v>
      </c>
      <c r="G148" s="130">
        <v>45335</v>
      </c>
      <c r="H148" s="130">
        <v>45283</v>
      </c>
      <c r="I148" s="130">
        <v>45314</v>
      </c>
      <c r="J148" s="130">
        <f t="shared" si="16"/>
        <v>45298.5</v>
      </c>
      <c r="K148" s="263">
        <f t="shared" si="17"/>
        <v>16</v>
      </c>
      <c r="L148" s="35">
        <f t="shared" si="18"/>
        <v>8</v>
      </c>
      <c r="M148" s="35">
        <f t="shared" si="19"/>
        <v>13</v>
      </c>
      <c r="N148" s="35">
        <f t="shared" si="20"/>
        <v>37</v>
      </c>
      <c r="O148" s="35">
        <v>631.22</v>
      </c>
      <c r="P148" s="131">
        <v>631.22</v>
      </c>
      <c r="Q148" s="132">
        <f t="shared" si="21"/>
        <v>6.8196604694144649E-4</v>
      </c>
      <c r="R148" s="38">
        <f t="shared" si="22"/>
        <v>2.523274373683352E-2</v>
      </c>
    </row>
    <row r="149" spans="1:18">
      <c r="A149" s="36">
        <f t="shared" si="23"/>
        <v>141</v>
      </c>
      <c r="B149" s="35" t="s">
        <v>809</v>
      </c>
      <c r="C149" s="130">
        <v>45129</v>
      </c>
      <c r="D149" s="287" t="s">
        <v>811</v>
      </c>
      <c r="E149" s="130">
        <v>45138</v>
      </c>
      <c r="F149" s="130" t="s">
        <v>668</v>
      </c>
      <c r="G149" s="130">
        <v>45152</v>
      </c>
      <c r="H149" s="130">
        <v>45099</v>
      </c>
      <c r="I149" s="130">
        <v>45129</v>
      </c>
      <c r="J149" s="130">
        <f t="shared" si="16"/>
        <v>45114</v>
      </c>
      <c r="K149" s="263">
        <f t="shared" si="17"/>
        <v>15.5</v>
      </c>
      <c r="L149" s="35">
        <f t="shared" si="18"/>
        <v>9</v>
      </c>
      <c r="M149" s="35">
        <f t="shared" si="19"/>
        <v>14</v>
      </c>
      <c r="N149" s="35">
        <f t="shared" si="20"/>
        <v>38.5</v>
      </c>
      <c r="O149" s="35">
        <v>488.89</v>
      </c>
      <c r="P149" s="131">
        <v>488.89</v>
      </c>
      <c r="Q149" s="132">
        <f t="shared" si="21"/>
        <v>5.2819362613542621E-4</v>
      </c>
      <c r="R149" s="38">
        <f t="shared" si="22"/>
        <v>2.0335454606213908E-2</v>
      </c>
    </row>
    <row r="150" spans="1:18">
      <c r="A150" s="36">
        <f t="shared" si="23"/>
        <v>142</v>
      </c>
      <c r="B150" s="35" t="s">
        <v>809</v>
      </c>
      <c r="C150" s="130">
        <v>45222</v>
      </c>
      <c r="D150" s="287" t="s">
        <v>812</v>
      </c>
      <c r="E150" s="130">
        <v>45229</v>
      </c>
      <c r="F150" s="130" t="s">
        <v>668</v>
      </c>
      <c r="G150" s="130">
        <v>45243</v>
      </c>
      <c r="H150" s="130">
        <v>45192</v>
      </c>
      <c r="I150" s="130">
        <v>45222</v>
      </c>
      <c r="J150" s="130">
        <f t="shared" si="16"/>
        <v>45207</v>
      </c>
      <c r="K150" s="263">
        <f t="shared" si="17"/>
        <v>15.5</v>
      </c>
      <c r="L150" s="35">
        <f t="shared" si="18"/>
        <v>7</v>
      </c>
      <c r="M150" s="35">
        <f t="shared" si="19"/>
        <v>14</v>
      </c>
      <c r="N150" s="35">
        <f t="shared" si="20"/>
        <v>36.5</v>
      </c>
      <c r="O150" s="35">
        <v>605.37</v>
      </c>
      <c r="P150" s="131">
        <v>605.37</v>
      </c>
      <c r="Q150" s="132">
        <f t="shared" si="21"/>
        <v>6.5403787243265964E-4</v>
      </c>
      <c r="R150" s="38">
        <f t="shared" si="22"/>
        <v>2.3872382343792076E-2</v>
      </c>
    </row>
    <row r="151" spans="1:18">
      <c r="A151" s="36">
        <f t="shared" si="23"/>
        <v>143</v>
      </c>
      <c r="B151" s="35" t="s">
        <v>809</v>
      </c>
      <c r="C151" s="130">
        <v>45465</v>
      </c>
      <c r="D151" s="287" t="s">
        <v>813</v>
      </c>
      <c r="E151" s="130">
        <v>45469</v>
      </c>
      <c r="F151" s="130" t="s">
        <v>668</v>
      </c>
      <c r="G151" s="130">
        <v>45485</v>
      </c>
      <c r="H151" s="130">
        <v>45434</v>
      </c>
      <c r="I151" s="130">
        <v>45465</v>
      </c>
      <c r="J151" s="130">
        <f t="shared" si="16"/>
        <v>45449.5</v>
      </c>
      <c r="K151" s="263">
        <f t="shared" si="17"/>
        <v>16</v>
      </c>
      <c r="L151" s="35">
        <f t="shared" si="18"/>
        <v>4</v>
      </c>
      <c r="M151" s="35">
        <f t="shared" si="19"/>
        <v>16</v>
      </c>
      <c r="N151" s="35">
        <f t="shared" si="20"/>
        <v>36</v>
      </c>
      <c r="O151" s="35">
        <v>820.43</v>
      </c>
      <c r="P151" s="131">
        <v>509.2</v>
      </c>
      <c r="Q151" s="132">
        <f t="shared" si="21"/>
        <v>5.5013642011118868E-4</v>
      </c>
      <c r="R151" s="38">
        <f t="shared" si="22"/>
        <v>1.9804911124002792E-2</v>
      </c>
    </row>
    <row r="152" spans="1:18">
      <c r="A152" s="36">
        <f t="shared" si="23"/>
        <v>144</v>
      </c>
      <c r="B152" s="35" t="s">
        <v>814</v>
      </c>
      <c r="C152" s="130">
        <v>45230</v>
      </c>
      <c r="D152" s="287">
        <v>367996</v>
      </c>
      <c r="E152" s="130">
        <v>45238</v>
      </c>
      <c r="F152" s="130" t="s">
        <v>671</v>
      </c>
      <c r="G152" s="130">
        <v>45238</v>
      </c>
      <c r="H152" s="130">
        <v>45230</v>
      </c>
      <c r="I152" s="130">
        <v>45230</v>
      </c>
      <c r="J152" s="130">
        <f t="shared" si="16"/>
        <v>45230</v>
      </c>
      <c r="K152" s="263">
        <f t="shared" si="17"/>
        <v>0.5</v>
      </c>
      <c r="L152" s="35">
        <f t="shared" si="18"/>
        <v>8</v>
      </c>
      <c r="M152" s="35">
        <f t="shared" si="19"/>
        <v>0</v>
      </c>
      <c r="N152" s="35">
        <f t="shared" si="20"/>
        <v>8.5</v>
      </c>
      <c r="O152" s="35">
        <v>156.03</v>
      </c>
      <c r="P152" s="131">
        <v>156.03</v>
      </c>
      <c r="Q152" s="132">
        <f t="shared" si="21"/>
        <v>1.685738130988782E-4</v>
      </c>
      <c r="R152" s="38">
        <f t="shared" si="22"/>
        <v>1.4328774113404647E-3</v>
      </c>
    </row>
    <row r="153" spans="1:18">
      <c r="A153" s="36">
        <f t="shared" si="23"/>
        <v>145</v>
      </c>
      <c r="B153" s="35" t="s">
        <v>815</v>
      </c>
      <c r="C153" s="130">
        <v>45208</v>
      </c>
      <c r="D153" s="287" t="s">
        <v>816</v>
      </c>
      <c r="E153" s="130">
        <v>45216</v>
      </c>
      <c r="F153" s="130" t="s">
        <v>671</v>
      </c>
      <c r="G153" s="130">
        <v>45216</v>
      </c>
      <c r="H153" s="130">
        <v>45208</v>
      </c>
      <c r="I153" s="130">
        <v>45208</v>
      </c>
      <c r="J153" s="130">
        <f t="shared" si="16"/>
        <v>45208</v>
      </c>
      <c r="K153" s="263">
        <f t="shared" si="17"/>
        <v>0.5</v>
      </c>
      <c r="L153" s="35">
        <f t="shared" si="18"/>
        <v>8</v>
      </c>
      <c r="M153" s="35">
        <f t="shared" si="19"/>
        <v>0</v>
      </c>
      <c r="N153" s="35">
        <f t="shared" si="20"/>
        <v>8.5</v>
      </c>
      <c r="O153" s="35">
        <v>513.41</v>
      </c>
      <c r="P153" s="131">
        <v>513.41</v>
      </c>
      <c r="Q153" s="132">
        <f t="shared" si="21"/>
        <v>5.5468487715884789E-4</v>
      </c>
      <c r="R153" s="38">
        <f t="shared" si="22"/>
        <v>4.7148214558502075E-3</v>
      </c>
    </row>
    <row r="154" spans="1:18">
      <c r="A154" s="36">
        <f t="shared" si="23"/>
        <v>146</v>
      </c>
      <c r="B154" s="35" t="s">
        <v>817</v>
      </c>
      <c r="C154" s="130">
        <v>45230</v>
      </c>
      <c r="D154" s="287" t="s">
        <v>818</v>
      </c>
      <c r="E154" s="130">
        <v>45259</v>
      </c>
      <c r="F154" s="130" t="s">
        <v>671</v>
      </c>
      <c r="G154" s="130">
        <v>45259</v>
      </c>
      <c r="H154" s="130">
        <v>45200</v>
      </c>
      <c r="I154" s="130">
        <v>45230</v>
      </c>
      <c r="J154" s="130">
        <f t="shared" si="16"/>
        <v>45215</v>
      </c>
      <c r="K154" s="263">
        <f t="shared" si="17"/>
        <v>15.5</v>
      </c>
      <c r="L154" s="35">
        <f t="shared" si="18"/>
        <v>29</v>
      </c>
      <c r="M154" s="35">
        <f t="shared" si="19"/>
        <v>0</v>
      </c>
      <c r="N154" s="35">
        <f t="shared" si="20"/>
        <v>44.5</v>
      </c>
      <c r="O154" s="35">
        <v>395</v>
      </c>
      <c r="P154" s="131">
        <v>395</v>
      </c>
      <c r="Q154" s="132">
        <f t="shared" si="21"/>
        <v>4.2675547121743819E-4</v>
      </c>
      <c r="R154" s="38">
        <f t="shared" si="22"/>
        <v>1.8990618469176001E-2</v>
      </c>
    </row>
    <row r="155" spans="1:18">
      <c r="A155" s="36">
        <f t="shared" si="23"/>
        <v>147</v>
      </c>
      <c r="B155" s="35" t="s">
        <v>819</v>
      </c>
      <c r="C155" s="130">
        <v>45378</v>
      </c>
      <c r="D155" s="287">
        <v>8461806</v>
      </c>
      <c r="E155" s="130">
        <v>45405</v>
      </c>
      <c r="F155" s="130" t="s">
        <v>670</v>
      </c>
      <c r="G155" s="130">
        <v>45405</v>
      </c>
      <c r="H155" s="130">
        <v>45423</v>
      </c>
      <c r="I155" s="130">
        <v>45788</v>
      </c>
      <c r="J155" s="130">
        <f t="shared" si="16"/>
        <v>45605.5</v>
      </c>
      <c r="K155" s="263">
        <f t="shared" si="17"/>
        <v>183</v>
      </c>
      <c r="L155" s="35">
        <f t="shared" si="18"/>
        <v>27</v>
      </c>
      <c r="M155" s="35">
        <f t="shared" si="19"/>
        <v>0</v>
      </c>
      <c r="N155" s="35">
        <f t="shared" si="20"/>
        <v>210</v>
      </c>
      <c r="O155" s="35">
        <v>52</v>
      </c>
      <c r="P155" s="131">
        <v>52</v>
      </c>
      <c r="Q155" s="132">
        <f t="shared" si="21"/>
        <v>5.6180467096979206E-5</v>
      </c>
      <c r="R155" s="38">
        <f t="shared" si="22"/>
        <v>1.1797898090365633E-2</v>
      </c>
    </row>
    <row r="156" spans="1:18">
      <c r="A156" s="36">
        <f t="shared" si="23"/>
        <v>148</v>
      </c>
      <c r="B156" s="35" t="s">
        <v>820</v>
      </c>
      <c r="C156" s="130">
        <v>45432</v>
      </c>
      <c r="D156" s="287">
        <v>25704</v>
      </c>
      <c r="E156" s="130">
        <v>45460</v>
      </c>
      <c r="F156" s="130" t="s">
        <v>668</v>
      </c>
      <c r="G156" s="130">
        <v>45469</v>
      </c>
      <c r="H156" s="130">
        <v>45422</v>
      </c>
      <c r="I156" s="130">
        <v>45422</v>
      </c>
      <c r="J156" s="130">
        <f t="shared" si="16"/>
        <v>45422</v>
      </c>
      <c r="K156" s="263">
        <f t="shared" si="17"/>
        <v>0.5</v>
      </c>
      <c r="L156" s="35">
        <f t="shared" si="18"/>
        <v>28</v>
      </c>
      <c r="M156" s="35">
        <f t="shared" si="19"/>
        <v>9</v>
      </c>
      <c r="N156" s="35">
        <f t="shared" si="20"/>
        <v>37.5</v>
      </c>
      <c r="O156" s="35">
        <v>495</v>
      </c>
      <c r="P156" s="131">
        <v>495</v>
      </c>
      <c r="Q156" s="132">
        <f t="shared" si="21"/>
        <v>5.3479483101932129E-4</v>
      </c>
      <c r="R156" s="38">
        <f t="shared" si="22"/>
        <v>2.005480616322455E-2</v>
      </c>
    </row>
    <row r="157" spans="1:18">
      <c r="A157" s="36">
        <f t="shared" si="23"/>
        <v>149</v>
      </c>
      <c r="B157" s="35" t="s">
        <v>821</v>
      </c>
      <c r="C157" s="130">
        <v>45337</v>
      </c>
      <c r="D157" s="287" t="s">
        <v>822</v>
      </c>
      <c r="E157" s="130">
        <v>45343</v>
      </c>
      <c r="F157" s="130" t="s">
        <v>670</v>
      </c>
      <c r="G157" s="130">
        <v>45343</v>
      </c>
      <c r="H157" s="130">
        <v>45337</v>
      </c>
      <c r="I157" s="130">
        <v>45337</v>
      </c>
      <c r="J157" s="130">
        <f t="shared" si="16"/>
        <v>45337</v>
      </c>
      <c r="K157" s="263">
        <f t="shared" si="17"/>
        <v>0.5</v>
      </c>
      <c r="L157" s="35">
        <f t="shared" si="18"/>
        <v>6</v>
      </c>
      <c r="M157" s="35">
        <f t="shared" si="19"/>
        <v>0</v>
      </c>
      <c r="N157" s="35">
        <f t="shared" si="20"/>
        <v>6.5</v>
      </c>
      <c r="O157" s="35">
        <v>241602.98</v>
      </c>
      <c r="P157" s="131">
        <v>28386.43</v>
      </c>
      <c r="Q157" s="132">
        <f t="shared" si="21"/>
        <v>3.0668517242609682E-2</v>
      </c>
      <c r="R157" s="38">
        <f t="shared" si="22"/>
        <v>0.19934536207696293</v>
      </c>
    </row>
    <row r="158" spans="1:18">
      <c r="A158" s="36">
        <f t="shared" si="23"/>
        <v>150</v>
      </c>
      <c r="B158" s="35" t="s">
        <v>821</v>
      </c>
      <c r="C158" s="130">
        <v>45427</v>
      </c>
      <c r="D158" s="287" t="s">
        <v>823</v>
      </c>
      <c r="E158" s="130">
        <v>45432</v>
      </c>
      <c r="F158" s="130" t="s">
        <v>668</v>
      </c>
      <c r="G158" s="130">
        <v>45441</v>
      </c>
      <c r="H158" s="130">
        <v>45427</v>
      </c>
      <c r="I158" s="130">
        <v>45427</v>
      </c>
      <c r="J158" s="130">
        <f t="shared" si="16"/>
        <v>45427</v>
      </c>
      <c r="K158" s="263">
        <f t="shared" si="17"/>
        <v>0.5</v>
      </c>
      <c r="L158" s="35">
        <f t="shared" si="18"/>
        <v>5</v>
      </c>
      <c r="M158" s="35">
        <f t="shared" si="19"/>
        <v>9</v>
      </c>
      <c r="N158" s="35">
        <f t="shared" si="20"/>
        <v>14.5</v>
      </c>
      <c r="O158" s="35">
        <v>222762.11</v>
      </c>
      <c r="P158" s="131">
        <v>27731.22</v>
      </c>
      <c r="Q158" s="132">
        <f t="shared" si="21"/>
        <v>2.9960632553251765E-2</v>
      </c>
      <c r="R158" s="38">
        <f t="shared" si="22"/>
        <v>0.43442917202215059</v>
      </c>
    </row>
    <row r="159" spans="1:18">
      <c r="A159" s="36">
        <f t="shared" si="23"/>
        <v>151</v>
      </c>
      <c r="B159" s="35" t="s">
        <v>824</v>
      </c>
      <c r="C159" s="130">
        <v>45413</v>
      </c>
      <c r="D159" s="287" t="s">
        <v>825</v>
      </c>
      <c r="E159" s="130">
        <v>45436</v>
      </c>
      <c r="F159" s="130" t="s">
        <v>670</v>
      </c>
      <c r="G159" s="130">
        <v>45436</v>
      </c>
      <c r="H159" s="130">
        <v>45413</v>
      </c>
      <c r="I159" s="130">
        <v>45413</v>
      </c>
      <c r="J159" s="130">
        <f t="shared" si="16"/>
        <v>45413</v>
      </c>
      <c r="K159" s="263">
        <f t="shared" si="17"/>
        <v>0.5</v>
      </c>
      <c r="L159" s="35">
        <f t="shared" si="18"/>
        <v>23</v>
      </c>
      <c r="M159" s="35">
        <f t="shared" si="19"/>
        <v>0</v>
      </c>
      <c r="N159" s="35">
        <f t="shared" si="20"/>
        <v>23.5</v>
      </c>
      <c r="O159" s="35">
        <v>549.75</v>
      </c>
      <c r="P159" s="131">
        <v>549.75</v>
      </c>
      <c r="Q159" s="132">
        <f t="shared" si="21"/>
        <v>5.9394638051085225E-4</v>
      </c>
      <c r="R159" s="38">
        <f t="shared" si="22"/>
        <v>1.3957739942005028E-2</v>
      </c>
    </row>
    <row r="160" spans="1:18">
      <c r="A160" s="36">
        <f t="shared" si="23"/>
        <v>152</v>
      </c>
      <c r="B160" s="35" t="s">
        <v>826</v>
      </c>
      <c r="C160" s="130">
        <v>45145</v>
      </c>
      <c r="D160" s="287">
        <v>1219597</v>
      </c>
      <c r="E160" s="130">
        <v>45170</v>
      </c>
      <c r="F160" s="130" t="s">
        <v>671</v>
      </c>
      <c r="G160" s="130">
        <v>45170</v>
      </c>
      <c r="H160" s="130">
        <v>45142</v>
      </c>
      <c r="I160" s="130">
        <v>45142</v>
      </c>
      <c r="J160" s="130">
        <f t="shared" si="16"/>
        <v>45142</v>
      </c>
      <c r="K160" s="263">
        <f t="shared" si="17"/>
        <v>0.5</v>
      </c>
      <c r="L160" s="35">
        <f t="shared" si="18"/>
        <v>25</v>
      </c>
      <c r="M160" s="35">
        <f t="shared" si="19"/>
        <v>0</v>
      </c>
      <c r="N160" s="35">
        <f t="shared" si="20"/>
        <v>25.5</v>
      </c>
      <c r="O160" s="35">
        <v>18909.97</v>
      </c>
      <c r="P160" s="131">
        <v>273.27999999999997</v>
      </c>
      <c r="Q160" s="132">
        <f t="shared" si="21"/>
        <v>2.9524996246658606E-4</v>
      </c>
      <c r="R160" s="38">
        <f t="shared" si="22"/>
        <v>7.5288740428979444E-3</v>
      </c>
    </row>
    <row r="161" spans="1:18">
      <c r="A161" s="36">
        <f t="shared" si="23"/>
        <v>153</v>
      </c>
      <c r="B161" s="35" t="s">
        <v>826</v>
      </c>
      <c r="C161" s="130">
        <v>45369</v>
      </c>
      <c r="D161" s="287">
        <v>1236140</v>
      </c>
      <c r="E161" s="130">
        <v>45394</v>
      </c>
      <c r="F161" s="130" t="s">
        <v>670</v>
      </c>
      <c r="G161" s="130">
        <v>45394</v>
      </c>
      <c r="H161" s="130">
        <v>45363</v>
      </c>
      <c r="I161" s="130">
        <v>45363</v>
      </c>
      <c r="J161" s="130">
        <f t="shared" si="16"/>
        <v>45363</v>
      </c>
      <c r="K161" s="263">
        <f t="shared" si="17"/>
        <v>0.5</v>
      </c>
      <c r="L161" s="35">
        <f t="shared" si="18"/>
        <v>25</v>
      </c>
      <c r="M161" s="35">
        <f t="shared" si="19"/>
        <v>0</v>
      </c>
      <c r="N161" s="35">
        <f t="shared" si="20"/>
        <v>25.5</v>
      </c>
      <c r="O161" s="35">
        <v>1546.25</v>
      </c>
      <c r="P161" s="131">
        <v>366.42</v>
      </c>
      <c r="Q161" s="132">
        <f t="shared" si="21"/>
        <v>3.9587782218606006E-4</v>
      </c>
      <c r="R161" s="38">
        <f t="shared" si="22"/>
        <v>1.0094884465744532E-2</v>
      </c>
    </row>
    <row r="162" spans="1:18">
      <c r="A162" s="36">
        <f t="shared" si="23"/>
        <v>154</v>
      </c>
      <c r="B162" s="35" t="s">
        <v>826</v>
      </c>
      <c r="C162" s="130">
        <v>45089</v>
      </c>
      <c r="D162" s="287">
        <v>1215374</v>
      </c>
      <c r="E162" s="130">
        <v>45114</v>
      </c>
      <c r="F162" s="130" t="s">
        <v>671</v>
      </c>
      <c r="G162" s="130">
        <v>45114</v>
      </c>
      <c r="H162" s="130">
        <v>45048</v>
      </c>
      <c r="I162" s="130">
        <v>45048</v>
      </c>
      <c r="J162" s="130">
        <f t="shared" si="16"/>
        <v>45048</v>
      </c>
      <c r="K162" s="263">
        <f t="shared" si="17"/>
        <v>0.5</v>
      </c>
      <c r="L162" s="35">
        <f t="shared" si="18"/>
        <v>25</v>
      </c>
      <c r="M162" s="35">
        <f t="shared" si="19"/>
        <v>0</v>
      </c>
      <c r="N162" s="35">
        <f t="shared" si="20"/>
        <v>25.5</v>
      </c>
      <c r="O162" s="35">
        <v>55095.62</v>
      </c>
      <c r="P162" s="131">
        <v>366.1</v>
      </c>
      <c r="Q162" s="132">
        <f t="shared" si="21"/>
        <v>3.9553209623469402E-4</v>
      </c>
      <c r="R162" s="38">
        <f t="shared" si="22"/>
        <v>1.0086068453984697E-2</v>
      </c>
    </row>
    <row r="163" spans="1:18">
      <c r="A163" s="36">
        <f t="shared" si="23"/>
        <v>155</v>
      </c>
      <c r="B163" s="35" t="s">
        <v>827</v>
      </c>
      <c r="C163" s="130">
        <v>45296</v>
      </c>
      <c r="D163" s="287" t="s">
        <v>828</v>
      </c>
      <c r="E163" s="130">
        <v>45301</v>
      </c>
      <c r="F163" s="130" t="s">
        <v>671</v>
      </c>
      <c r="G163" s="130">
        <v>45301</v>
      </c>
      <c r="H163" s="130">
        <v>45261</v>
      </c>
      <c r="I163" s="130">
        <v>45291</v>
      </c>
      <c r="J163" s="130">
        <f t="shared" si="16"/>
        <v>45276</v>
      </c>
      <c r="K163" s="263">
        <f t="shared" si="17"/>
        <v>15.5</v>
      </c>
      <c r="L163" s="35">
        <f t="shared" si="18"/>
        <v>5</v>
      </c>
      <c r="M163" s="35">
        <f t="shared" si="19"/>
        <v>0</v>
      </c>
      <c r="N163" s="35">
        <f t="shared" si="20"/>
        <v>20.5</v>
      </c>
      <c r="O163" s="35">
        <v>397168.74</v>
      </c>
      <c r="P163" s="131">
        <v>17843.802000000003</v>
      </c>
      <c r="Q163" s="132">
        <f t="shared" si="21"/>
        <v>1.9278329445115615E-2</v>
      </c>
      <c r="R163" s="38">
        <f t="shared" si="22"/>
        <v>0.39520575362487009</v>
      </c>
    </row>
    <row r="164" spans="1:18">
      <c r="A164" s="36">
        <f t="shared" si="23"/>
        <v>156</v>
      </c>
      <c r="B164" s="35" t="s">
        <v>829</v>
      </c>
      <c r="C164" s="130">
        <v>45322</v>
      </c>
      <c r="D164" s="287">
        <v>127605</v>
      </c>
      <c r="E164" s="130">
        <v>45357</v>
      </c>
      <c r="F164" s="130" t="s">
        <v>670</v>
      </c>
      <c r="G164" s="130">
        <v>45357</v>
      </c>
      <c r="H164" s="130">
        <v>45294</v>
      </c>
      <c r="I164" s="130">
        <v>45317</v>
      </c>
      <c r="J164" s="130">
        <f t="shared" si="16"/>
        <v>45305.5</v>
      </c>
      <c r="K164" s="263">
        <f t="shared" si="17"/>
        <v>12</v>
      </c>
      <c r="L164" s="35">
        <f t="shared" si="18"/>
        <v>35</v>
      </c>
      <c r="M164" s="35">
        <f t="shared" si="19"/>
        <v>0</v>
      </c>
      <c r="N164" s="35">
        <f t="shared" si="20"/>
        <v>47</v>
      </c>
      <c r="O164" s="35">
        <v>1558.89</v>
      </c>
      <c r="P164" s="131">
        <v>1558.89</v>
      </c>
      <c r="Q164" s="132">
        <f t="shared" si="21"/>
        <v>1.6842147760155754E-3</v>
      </c>
      <c r="R164" s="38">
        <f t="shared" si="22"/>
        <v>7.9158094472732046E-2</v>
      </c>
    </row>
    <row r="165" spans="1:18">
      <c r="A165" s="36">
        <f t="shared" si="23"/>
        <v>157</v>
      </c>
      <c r="B165" s="35" t="s">
        <v>830</v>
      </c>
      <c r="C165" s="130">
        <v>45258</v>
      </c>
      <c r="D165" s="287" t="s">
        <v>831</v>
      </c>
      <c r="E165" s="130">
        <v>45258</v>
      </c>
      <c r="F165" s="130" t="s">
        <v>670</v>
      </c>
      <c r="G165" s="130">
        <v>45258</v>
      </c>
      <c r="H165" s="130">
        <v>45217</v>
      </c>
      <c r="I165" s="130">
        <v>45246</v>
      </c>
      <c r="J165" s="130">
        <f t="shared" si="16"/>
        <v>45231.5</v>
      </c>
      <c r="K165" s="263">
        <f t="shared" si="17"/>
        <v>15</v>
      </c>
      <c r="L165" s="35">
        <f t="shared" si="18"/>
        <v>0</v>
      </c>
      <c r="M165" s="35">
        <f t="shared" si="19"/>
        <v>0</v>
      </c>
      <c r="N165" s="35">
        <f t="shared" si="20"/>
        <v>15</v>
      </c>
      <c r="O165" s="35">
        <v>316.25</v>
      </c>
      <c r="P165" s="131">
        <v>31.09</v>
      </c>
      <c r="Q165" s="132">
        <f t="shared" si="21"/>
        <v>3.3589436962405454E-5</v>
      </c>
      <c r="R165" s="38">
        <f t="shared" si="22"/>
        <v>5.0384155443608178E-4</v>
      </c>
    </row>
    <row r="166" spans="1:18">
      <c r="A166" s="36">
        <f t="shared" si="23"/>
        <v>158</v>
      </c>
      <c r="B166" s="35" t="s">
        <v>832</v>
      </c>
      <c r="C166" s="130">
        <v>45334</v>
      </c>
      <c r="D166" s="287" t="s">
        <v>833</v>
      </c>
      <c r="E166" s="130">
        <v>45348</v>
      </c>
      <c r="F166" s="130" t="s">
        <v>670</v>
      </c>
      <c r="G166" s="130">
        <v>45348</v>
      </c>
      <c r="H166" s="130">
        <v>45334</v>
      </c>
      <c r="I166" s="130">
        <v>45334</v>
      </c>
      <c r="J166" s="130">
        <f t="shared" si="16"/>
        <v>45334</v>
      </c>
      <c r="K166" s="263">
        <f t="shared" si="17"/>
        <v>0.5</v>
      </c>
      <c r="L166" s="35">
        <f t="shared" si="18"/>
        <v>14</v>
      </c>
      <c r="M166" s="35">
        <f t="shared" si="19"/>
        <v>0</v>
      </c>
      <c r="N166" s="35">
        <f t="shared" si="20"/>
        <v>14.5</v>
      </c>
      <c r="O166" s="35">
        <v>100.75</v>
      </c>
      <c r="P166" s="131">
        <v>100.75</v>
      </c>
      <c r="Q166" s="132">
        <f t="shared" si="21"/>
        <v>1.0884965500039721E-4</v>
      </c>
      <c r="R166" s="38">
        <f t="shared" si="22"/>
        <v>1.5783199975057595E-3</v>
      </c>
    </row>
    <row r="167" spans="1:18">
      <c r="A167" s="36">
        <f t="shared" si="23"/>
        <v>159</v>
      </c>
      <c r="B167" s="35" t="s">
        <v>834</v>
      </c>
      <c r="C167" s="130">
        <v>45154</v>
      </c>
      <c r="D167" s="287">
        <v>207105</v>
      </c>
      <c r="E167" s="130">
        <v>45180</v>
      </c>
      <c r="F167" s="130" t="s">
        <v>668</v>
      </c>
      <c r="G167" s="130">
        <v>45184</v>
      </c>
      <c r="H167" s="130">
        <v>45154</v>
      </c>
      <c r="I167" s="130">
        <v>45154</v>
      </c>
      <c r="J167" s="130">
        <f t="shared" si="16"/>
        <v>45154</v>
      </c>
      <c r="K167" s="263">
        <f t="shared" si="17"/>
        <v>0.5</v>
      </c>
      <c r="L167" s="35">
        <f t="shared" si="18"/>
        <v>26</v>
      </c>
      <c r="M167" s="35">
        <f t="shared" si="19"/>
        <v>4</v>
      </c>
      <c r="N167" s="35">
        <f t="shared" si="20"/>
        <v>30.5</v>
      </c>
      <c r="O167" s="35">
        <v>377.84</v>
      </c>
      <c r="P167" s="131">
        <v>400.51</v>
      </c>
      <c r="Q167" s="132">
        <f t="shared" si="21"/>
        <v>4.3270843994252194E-4</v>
      </c>
      <c r="R167" s="38">
        <f t="shared" si="22"/>
        <v>1.319760741824692E-2</v>
      </c>
    </row>
    <row r="168" spans="1:18">
      <c r="A168" s="36">
        <f t="shared" si="23"/>
        <v>160</v>
      </c>
      <c r="B168" s="35" t="s">
        <v>834</v>
      </c>
      <c r="C168" s="130">
        <v>45349</v>
      </c>
      <c r="D168" s="287">
        <v>212664</v>
      </c>
      <c r="E168" s="130">
        <v>45376</v>
      </c>
      <c r="F168" s="130" t="s">
        <v>668</v>
      </c>
      <c r="G168" s="130">
        <v>45384</v>
      </c>
      <c r="H168" s="130">
        <v>45261</v>
      </c>
      <c r="I168" s="130">
        <v>45349</v>
      </c>
      <c r="J168" s="130">
        <f t="shared" si="16"/>
        <v>45305</v>
      </c>
      <c r="K168" s="263">
        <f t="shared" si="17"/>
        <v>44.5</v>
      </c>
      <c r="L168" s="35">
        <f t="shared" si="18"/>
        <v>27</v>
      </c>
      <c r="M168" s="35">
        <f t="shared" si="19"/>
        <v>8</v>
      </c>
      <c r="N168" s="35">
        <f t="shared" si="20"/>
        <v>79.5</v>
      </c>
      <c r="O168" s="35">
        <v>716.25</v>
      </c>
      <c r="P168" s="131">
        <v>47.7</v>
      </c>
      <c r="Q168" s="132">
        <f t="shared" si="21"/>
        <v>5.1534774625498238E-5</v>
      </c>
      <c r="R168" s="38">
        <f t="shared" si="22"/>
        <v>4.09701458272711E-3</v>
      </c>
    </row>
    <row r="169" spans="1:18">
      <c r="A169" s="36">
        <f t="shared" si="23"/>
        <v>161</v>
      </c>
      <c r="B169" s="35" t="s">
        <v>835</v>
      </c>
      <c r="C169" s="130">
        <v>45201</v>
      </c>
      <c r="D169" s="287">
        <v>34991335</v>
      </c>
      <c r="E169" s="130">
        <v>45210</v>
      </c>
      <c r="F169" s="130" t="s">
        <v>668</v>
      </c>
      <c r="G169" s="130">
        <v>45215</v>
      </c>
      <c r="H169" s="130">
        <v>45201</v>
      </c>
      <c r="I169" s="130">
        <v>45201</v>
      </c>
      <c r="J169" s="130">
        <f t="shared" si="16"/>
        <v>45201</v>
      </c>
      <c r="K169" s="263">
        <f t="shared" si="17"/>
        <v>0.5</v>
      </c>
      <c r="L169" s="35">
        <f t="shared" si="18"/>
        <v>9</v>
      </c>
      <c r="M169" s="35">
        <f t="shared" si="19"/>
        <v>5</v>
      </c>
      <c r="N169" s="35">
        <f t="shared" si="20"/>
        <v>14.5</v>
      </c>
      <c r="O169" s="35">
        <v>127.08</v>
      </c>
      <c r="P169" s="131">
        <v>67.349999999999994</v>
      </c>
      <c r="Q169" s="132">
        <f t="shared" si="21"/>
        <v>7.2764508826568251E-5</v>
      </c>
      <c r="R169" s="38">
        <f t="shared" si="22"/>
        <v>1.0550853779852396E-3</v>
      </c>
    </row>
    <row r="170" spans="1:18">
      <c r="A170" s="36">
        <f t="shared" si="23"/>
        <v>162</v>
      </c>
      <c r="B170" s="35" t="s">
        <v>835</v>
      </c>
      <c r="C170" s="130">
        <v>45439</v>
      </c>
      <c r="D170" s="287">
        <v>36689043</v>
      </c>
      <c r="E170" s="130">
        <v>45455</v>
      </c>
      <c r="F170" s="130" t="s">
        <v>668</v>
      </c>
      <c r="G170" s="130">
        <v>45464</v>
      </c>
      <c r="H170" s="130">
        <v>45446</v>
      </c>
      <c r="I170" s="130">
        <v>45446</v>
      </c>
      <c r="J170" s="130">
        <f t="shared" si="16"/>
        <v>45446</v>
      </c>
      <c r="K170" s="263">
        <f t="shared" si="17"/>
        <v>0.5</v>
      </c>
      <c r="L170" s="35">
        <f t="shared" si="18"/>
        <v>16</v>
      </c>
      <c r="M170" s="35">
        <f t="shared" si="19"/>
        <v>9</v>
      </c>
      <c r="N170" s="35">
        <f t="shared" si="20"/>
        <v>25.5</v>
      </c>
      <c r="O170" s="35">
        <v>63.54</v>
      </c>
      <c r="P170" s="131">
        <v>67.349999999999994</v>
      </c>
      <c r="Q170" s="132">
        <f t="shared" si="21"/>
        <v>7.2764508826568251E-5</v>
      </c>
      <c r="R170" s="38">
        <f t="shared" si="22"/>
        <v>1.8554949750774904E-3</v>
      </c>
    </row>
    <row r="171" spans="1:18">
      <c r="A171" s="36">
        <f t="shared" si="23"/>
        <v>163</v>
      </c>
      <c r="B171" s="35" t="s">
        <v>836</v>
      </c>
      <c r="C171" s="130">
        <v>45357</v>
      </c>
      <c r="D171" s="287" t="s">
        <v>837</v>
      </c>
      <c r="E171" s="130">
        <v>45357</v>
      </c>
      <c r="F171" s="130" t="s">
        <v>670</v>
      </c>
      <c r="G171" s="130">
        <v>45357</v>
      </c>
      <c r="H171" s="130">
        <v>45315</v>
      </c>
      <c r="I171" s="130">
        <v>45346</v>
      </c>
      <c r="J171" s="130">
        <f t="shared" si="16"/>
        <v>45330.5</v>
      </c>
      <c r="K171" s="263">
        <f t="shared" si="17"/>
        <v>16</v>
      </c>
      <c r="L171" s="35">
        <f t="shared" si="18"/>
        <v>0</v>
      </c>
      <c r="M171" s="35">
        <f t="shared" si="19"/>
        <v>0</v>
      </c>
      <c r="N171" s="35">
        <f t="shared" si="20"/>
        <v>16</v>
      </c>
      <c r="O171" s="35">
        <v>131.59</v>
      </c>
      <c r="P171" s="131">
        <v>36.909999999999997</v>
      </c>
      <c r="Q171" s="132">
        <f t="shared" si="21"/>
        <v>3.9877327702875047E-5</v>
      </c>
      <c r="R171" s="38">
        <f t="shared" si="22"/>
        <v>6.3803724324600075E-4</v>
      </c>
    </row>
    <row r="172" spans="1:18">
      <c r="A172" s="36">
        <f t="shared" si="23"/>
        <v>164</v>
      </c>
      <c r="B172" s="35" t="s">
        <v>836</v>
      </c>
      <c r="C172" s="130">
        <v>45428</v>
      </c>
      <c r="D172" s="287" t="s">
        <v>838</v>
      </c>
      <c r="E172" s="130">
        <v>45428</v>
      </c>
      <c r="F172" s="130" t="s">
        <v>670</v>
      </c>
      <c r="G172" s="130">
        <v>45428</v>
      </c>
      <c r="H172" s="130">
        <v>45396</v>
      </c>
      <c r="I172" s="130">
        <v>45426</v>
      </c>
      <c r="J172" s="130">
        <f t="shared" si="16"/>
        <v>45411</v>
      </c>
      <c r="K172" s="263">
        <f t="shared" si="17"/>
        <v>15.5</v>
      </c>
      <c r="L172" s="35">
        <f t="shared" si="18"/>
        <v>0</v>
      </c>
      <c r="M172" s="35">
        <f t="shared" si="19"/>
        <v>0</v>
      </c>
      <c r="N172" s="35">
        <f t="shared" si="20"/>
        <v>15.5</v>
      </c>
      <c r="O172" s="35">
        <v>37.4</v>
      </c>
      <c r="P172" s="131">
        <v>37.4</v>
      </c>
      <c r="Q172" s="132">
        <f t="shared" si="21"/>
        <v>4.0406720565904273E-5</v>
      </c>
      <c r="R172" s="38">
        <f t="shared" si="22"/>
        <v>6.2630416877151624E-4</v>
      </c>
    </row>
    <row r="173" spans="1:18">
      <c r="A173" s="36">
        <f t="shared" si="23"/>
        <v>165</v>
      </c>
      <c r="B173" s="35" t="s">
        <v>836</v>
      </c>
      <c r="C173" s="130">
        <v>45448</v>
      </c>
      <c r="D173" s="287" t="s">
        <v>839</v>
      </c>
      <c r="E173" s="130">
        <v>45449</v>
      </c>
      <c r="F173" s="130" t="s">
        <v>670</v>
      </c>
      <c r="G173" s="130">
        <v>45449</v>
      </c>
      <c r="H173" s="130">
        <v>45407</v>
      </c>
      <c r="I173" s="130">
        <v>45437</v>
      </c>
      <c r="J173" s="130">
        <f t="shared" si="16"/>
        <v>45422</v>
      </c>
      <c r="K173" s="263">
        <f t="shared" si="17"/>
        <v>15.5</v>
      </c>
      <c r="L173" s="35">
        <f t="shared" si="18"/>
        <v>1</v>
      </c>
      <c r="M173" s="35">
        <f t="shared" si="19"/>
        <v>0</v>
      </c>
      <c r="N173" s="35">
        <f t="shared" si="20"/>
        <v>16.5</v>
      </c>
      <c r="O173" s="35">
        <v>138.36000000000001</v>
      </c>
      <c r="P173" s="131">
        <v>66.650000000000006</v>
      </c>
      <c r="Q173" s="132">
        <f t="shared" si="21"/>
        <v>7.2008233307955087E-5</v>
      </c>
      <c r="R173" s="38">
        <f t="shared" si="22"/>
        <v>1.188135849581259E-3</v>
      </c>
    </row>
    <row r="174" spans="1:18">
      <c r="A174" s="36">
        <f t="shared" si="23"/>
        <v>166</v>
      </c>
      <c r="B174" s="35" t="s">
        <v>836</v>
      </c>
      <c r="C174" s="130">
        <v>45462</v>
      </c>
      <c r="D174" s="287" t="s">
        <v>840</v>
      </c>
      <c r="E174" s="130">
        <v>45462</v>
      </c>
      <c r="F174" s="130" t="s">
        <v>670</v>
      </c>
      <c r="G174" s="130">
        <v>45462</v>
      </c>
      <c r="H174" s="130">
        <v>45420</v>
      </c>
      <c r="I174" s="130">
        <v>45451</v>
      </c>
      <c r="J174" s="130">
        <f t="shared" si="16"/>
        <v>45435.5</v>
      </c>
      <c r="K174" s="263">
        <f t="shared" si="17"/>
        <v>16</v>
      </c>
      <c r="L174" s="35">
        <f t="shared" si="18"/>
        <v>0</v>
      </c>
      <c r="M174" s="35">
        <f t="shared" si="19"/>
        <v>0</v>
      </c>
      <c r="N174" s="35">
        <f t="shared" si="20"/>
        <v>16</v>
      </c>
      <c r="O174" s="35">
        <v>38.630000000000003</v>
      </c>
      <c r="P174" s="131">
        <v>38.630000000000003</v>
      </c>
      <c r="Q174" s="132">
        <f t="shared" si="21"/>
        <v>4.1735604691467444E-5</v>
      </c>
      <c r="R174" s="38">
        <f t="shared" si="22"/>
        <v>6.677696750634791E-4</v>
      </c>
    </row>
    <row r="175" spans="1:18">
      <c r="A175" s="36">
        <f t="shared" si="23"/>
        <v>167</v>
      </c>
      <c r="B175" s="35" t="s">
        <v>836</v>
      </c>
      <c r="C175" s="130">
        <v>45189</v>
      </c>
      <c r="D175" s="287" t="s">
        <v>841</v>
      </c>
      <c r="E175" s="130">
        <v>45189</v>
      </c>
      <c r="F175" s="130" t="s">
        <v>670</v>
      </c>
      <c r="G175" s="130">
        <v>45189</v>
      </c>
      <c r="H175" s="130">
        <v>45152</v>
      </c>
      <c r="I175" s="130">
        <v>45183</v>
      </c>
      <c r="J175" s="130">
        <f t="shared" si="16"/>
        <v>45167.5</v>
      </c>
      <c r="K175" s="263">
        <f t="shared" si="17"/>
        <v>16</v>
      </c>
      <c r="L175" s="35">
        <f t="shared" si="18"/>
        <v>0</v>
      </c>
      <c r="M175" s="35">
        <f t="shared" si="19"/>
        <v>0</v>
      </c>
      <c r="N175" s="35">
        <f t="shared" si="20"/>
        <v>16</v>
      </c>
      <c r="O175" s="35">
        <v>70.599999999999994</v>
      </c>
      <c r="P175" s="131">
        <v>32.32</v>
      </c>
      <c r="Q175" s="132">
        <f t="shared" si="21"/>
        <v>3.4918321087968618E-5</v>
      </c>
      <c r="R175" s="38">
        <f t="shared" si="22"/>
        <v>5.586931374074979E-4</v>
      </c>
    </row>
    <row r="176" spans="1:18">
      <c r="A176" s="36">
        <f t="shared" si="23"/>
        <v>168</v>
      </c>
      <c r="B176" s="35" t="s">
        <v>842</v>
      </c>
      <c r="C176" s="130">
        <v>45125</v>
      </c>
      <c r="D176" s="287">
        <v>246395</v>
      </c>
      <c r="E176" s="130">
        <v>45133</v>
      </c>
      <c r="F176" s="130" t="s">
        <v>668</v>
      </c>
      <c r="G176" s="130">
        <v>45138</v>
      </c>
      <c r="H176" s="130">
        <v>45096</v>
      </c>
      <c r="I176" s="130">
        <v>45100</v>
      </c>
      <c r="J176" s="130">
        <f t="shared" si="16"/>
        <v>45098</v>
      </c>
      <c r="K176" s="263">
        <f t="shared" si="17"/>
        <v>2.5</v>
      </c>
      <c r="L176" s="35">
        <f t="shared" si="18"/>
        <v>8</v>
      </c>
      <c r="M176" s="35">
        <f t="shared" si="19"/>
        <v>5</v>
      </c>
      <c r="N176" s="35">
        <f t="shared" si="20"/>
        <v>15.5</v>
      </c>
      <c r="O176" s="35">
        <v>27410</v>
      </c>
      <c r="P176" s="131">
        <v>2148.75</v>
      </c>
      <c r="Q176" s="132">
        <f t="shared" si="21"/>
        <v>2.3214957437429629E-3</v>
      </c>
      <c r="R176" s="38">
        <f t="shared" si="22"/>
        <v>3.5983184028015924E-2</v>
      </c>
    </row>
    <row r="177" spans="1:18">
      <c r="A177" s="36">
        <f t="shared" si="23"/>
        <v>169</v>
      </c>
      <c r="B177" s="35" t="s">
        <v>842</v>
      </c>
      <c r="C177" s="130">
        <v>45175</v>
      </c>
      <c r="D177" s="287">
        <v>250614</v>
      </c>
      <c r="E177" s="130">
        <v>45180</v>
      </c>
      <c r="F177" s="130" t="s">
        <v>668</v>
      </c>
      <c r="G177" s="130">
        <v>45187</v>
      </c>
      <c r="H177" s="130">
        <v>45138</v>
      </c>
      <c r="I177" s="130">
        <v>45142</v>
      </c>
      <c r="J177" s="130">
        <f t="shared" si="16"/>
        <v>45140</v>
      </c>
      <c r="K177" s="263">
        <f t="shared" si="17"/>
        <v>2.5</v>
      </c>
      <c r="L177" s="35">
        <f t="shared" si="18"/>
        <v>5</v>
      </c>
      <c r="M177" s="35">
        <f t="shared" si="19"/>
        <v>7</v>
      </c>
      <c r="N177" s="35">
        <f t="shared" si="20"/>
        <v>14.5</v>
      </c>
      <c r="O177" s="35">
        <v>27410</v>
      </c>
      <c r="P177" s="131">
        <v>2148.7399999999998</v>
      </c>
      <c r="Q177" s="132">
        <f t="shared" si="21"/>
        <v>2.3214849398069826E-3</v>
      </c>
      <c r="R177" s="38">
        <f t="shared" si="22"/>
        <v>3.3661531627201251E-2</v>
      </c>
    </row>
    <row r="178" spans="1:18">
      <c r="A178" s="36">
        <f t="shared" si="23"/>
        <v>170</v>
      </c>
      <c r="B178" s="35" t="s">
        <v>843</v>
      </c>
      <c r="C178" s="130">
        <v>45313</v>
      </c>
      <c r="D178" s="287" t="s">
        <v>844</v>
      </c>
      <c r="E178" s="130">
        <v>45313</v>
      </c>
      <c r="F178" s="130" t="s">
        <v>670</v>
      </c>
      <c r="G178" s="130">
        <v>45313</v>
      </c>
      <c r="H178" s="130">
        <v>45280</v>
      </c>
      <c r="I178" s="130">
        <v>45292</v>
      </c>
      <c r="J178" s="130">
        <f t="shared" si="16"/>
        <v>45286</v>
      </c>
      <c r="K178" s="263">
        <f t="shared" si="17"/>
        <v>6.5</v>
      </c>
      <c r="L178" s="35">
        <f t="shared" si="18"/>
        <v>0</v>
      </c>
      <c r="M178" s="35">
        <f t="shared" si="19"/>
        <v>0</v>
      </c>
      <c r="N178" s="35">
        <f t="shared" si="20"/>
        <v>6.5</v>
      </c>
      <c r="O178" s="35">
        <v>51.99</v>
      </c>
      <c r="P178" s="131">
        <v>51.99</v>
      </c>
      <c r="Q178" s="132">
        <f t="shared" si="21"/>
        <v>5.6169663160999019E-5</v>
      </c>
      <c r="R178" s="38">
        <f t="shared" si="22"/>
        <v>3.651028105464936E-4</v>
      </c>
    </row>
    <row r="179" spans="1:18">
      <c r="A179" s="36">
        <f t="shared" si="23"/>
        <v>171</v>
      </c>
      <c r="B179" s="35" t="s">
        <v>845</v>
      </c>
      <c r="C179" s="130">
        <v>45162</v>
      </c>
      <c r="D179" s="287" t="s">
        <v>846</v>
      </c>
      <c r="E179" s="130">
        <v>45168</v>
      </c>
      <c r="F179" s="130" t="s">
        <v>671</v>
      </c>
      <c r="G179" s="130">
        <v>45168</v>
      </c>
      <c r="H179" s="130">
        <v>45162</v>
      </c>
      <c r="I179" s="130">
        <v>45162</v>
      </c>
      <c r="J179" s="130">
        <f t="shared" si="16"/>
        <v>45162</v>
      </c>
      <c r="K179" s="263">
        <f t="shared" si="17"/>
        <v>0.5</v>
      </c>
      <c r="L179" s="35">
        <f t="shared" si="18"/>
        <v>6</v>
      </c>
      <c r="M179" s="35">
        <f t="shared" si="19"/>
        <v>0</v>
      </c>
      <c r="N179" s="35">
        <f t="shared" si="20"/>
        <v>6.5</v>
      </c>
      <c r="O179" s="35">
        <v>18.670000000000002</v>
      </c>
      <c r="P179" s="131">
        <v>18.670000000000002</v>
      </c>
      <c r="Q179" s="132">
        <f t="shared" si="21"/>
        <v>2.0170948475011576E-5</v>
      </c>
      <c r="R179" s="38">
        <f t="shared" si="22"/>
        <v>1.3111116508757523E-4</v>
      </c>
    </row>
    <row r="180" spans="1:18">
      <c r="A180" s="36">
        <f t="shared" si="23"/>
        <v>172</v>
      </c>
      <c r="B180" s="35" t="s">
        <v>847</v>
      </c>
      <c r="C180" s="130">
        <v>45141</v>
      </c>
      <c r="D180" s="287">
        <v>3289</v>
      </c>
      <c r="E180" s="130">
        <v>45168</v>
      </c>
      <c r="F180" s="130" t="s">
        <v>671</v>
      </c>
      <c r="G180" s="130">
        <v>45168</v>
      </c>
      <c r="H180" s="130">
        <v>45141</v>
      </c>
      <c r="I180" s="130">
        <v>45141</v>
      </c>
      <c r="J180" s="130">
        <f t="shared" si="16"/>
        <v>45141</v>
      </c>
      <c r="K180" s="263">
        <f t="shared" si="17"/>
        <v>0.5</v>
      </c>
      <c r="L180" s="35">
        <f t="shared" si="18"/>
        <v>27</v>
      </c>
      <c r="M180" s="35">
        <f t="shared" si="19"/>
        <v>0</v>
      </c>
      <c r="N180" s="35">
        <f t="shared" si="20"/>
        <v>27.5</v>
      </c>
      <c r="O180" s="35">
        <v>1380</v>
      </c>
      <c r="P180" s="131">
        <v>1380</v>
      </c>
      <c r="Q180" s="132">
        <f t="shared" si="21"/>
        <v>1.4909431652659867E-3</v>
      </c>
      <c r="R180" s="38">
        <f t="shared" si="22"/>
        <v>4.1000937044814632E-2</v>
      </c>
    </row>
    <row r="181" spans="1:18">
      <c r="A181" s="36">
        <f t="shared" si="23"/>
        <v>173</v>
      </c>
      <c r="B181" s="35" t="s">
        <v>848</v>
      </c>
      <c r="C181" s="130">
        <v>45324</v>
      </c>
      <c r="D181" s="287" t="s">
        <v>849</v>
      </c>
      <c r="E181" s="130">
        <v>45328</v>
      </c>
      <c r="F181" s="130" t="s">
        <v>670</v>
      </c>
      <c r="G181" s="130">
        <v>45328</v>
      </c>
      <c r="H181" s="130">
        <v>45319</v>
      </c>
      <c r="I181" s="130">
        <v>45322</v>
      </c>
      <c r="J181" s="130">
        <f t="shared" si="16"/>
        <v>45320.5</v>
      </c>
      <c r="K181" s="263">
        <f t="shared" si="17"/>
        <v>2</v>
      </c>
      <c r="L181" s="35">
        <f t="shared" si="18"/>
        <v>4</v>
      </c>
      <c r="M181" s="35">
        <f t="shared" si="19"/>
        <v>0</v>
      </c>
      <c r="N181" s="35">
        <f t="shared" si="20"/>
        <v>6</v>
      </c>
      <c r="O181" s="35">
        <v>256.97000000000003</v>
      </c>
      <c r="P181" s="131">
        <v>236.22</v>
      </c>
      <c r="Q181" s="132">
        <f t="shared" si="21"/>
        <v>2.5521057572400825E-4</v>
      </c>
      <c r="R181" s="38">
        <f t="shared" si="22"/>
        <v>1.5312634543440495E-3</v>
      </c>
    </row>
    <row r="182" spans="1:18">
      <c r="A182" s="36">
        <f t="shared" si="23"/>
        <v>174</v>
      </c>
      <c r="B182" s="35" t="s">
        <v>850</v>
      </c>
      <c r="C182" s="130">
        <v>45271</v>
      </c>
      <c r="D182" s="287" t="s">
        <v>851</v>
      </c>
      <c r="E182" s="130">
        <v>45281</v>
      </c>
      <c r="F182" s="130" t="s">
        <v>671</v>
      </c>
      <c r="G182" s="130">
        <v>45281</v>
      </c>
      <c r="H182" s="130">
        <v>45266</v>
      </c>
      <c r="I182" s="130">
        <v>45267</v>
      </c>
      <c r="J182" s="130">
        <f t="shared" si="16"/>
        <v>45266.5</v>
      </c>
      <c r="K182" s="263">
        <f t="shared" si="17"/>
        <v>1</v>
      </c>
      <c r="L182" s="35">
        <f t="shared" si="18"/>
        <v>10</v>
      </c>
      <c r="M182" s="35">
        <f t="shared" si="19"/>
        <v>0</v>
      </c>
      <c r="N182" s="35">
        <f t="shared" si="20"/>
        <v>11</v>
      </c>
      <c r="O182" s="35">
        <v>2048.16</v>
      </c>
      <c r="P182" s="131">
        <v>2048.16</v>
      </c>
      <c r="Q182" s="132">
        <f t="shared" si="21"/>
        <v>2.2128189517182486E-3</v>
      </c>
      <c r="R182" s="38">
        <f t="shared" si="22"/>
        <v>2.4341008468900735E-2</v>
      </c>
    </row>
    <row r="183" spans="1:18">
      <c r="A183" s="36">
        <f t="shared" si="23"/>
        <v>175</v>
      </c>
      <c r="B183" s="35" t="s">
        <v>852</v>
      </c>
      <c r="C183" s="130">
        <v>45339</v>
      </c>
      <c r="D183" s="287">
        <v>1140104</v>
      </c>
      <c r="E183" s="130">
        <v>45349</v>
      </c>
      <c r="F183" s="130" t="s">
        <v>670</v>
      </c>
      <c r="G183" s="130">
        <v>45349</v>
      </c>
      <c r="H183" s="130">
        <v>45339</v>
      </c>
      <c r="I183" s="130">
        <v>45339</v>
      </c>
      <c r="J183" s="130">
        <f t="shared" si="16"/>
        <v>45339</v>
      </c>
      <c r="K183" s="263">
        <f t="shared" si="17"/>
        <v>0.5</v>
      </c>
      <c r="L183" s="35">
        <f t="shared" si="18"/>
        <v>10</v>
      </c>
      <c r="M183" s="35">
        <f t="shared" si="19"/>
        <v>0</v>
      </c>
      <c r="N183" s="35">
        <f t="shared" si="20"/>
        <v>10.5</v>
      </c>
      <c r="O183" s="35">
        <v>475616.54</v>
      </c>
      <c r="P183" s="131">
        <v>189691</v>
      </c>
      <c r="Q183" s="132">
        <f t="shared" si="21"/>
        <v>0.20494094200179006</v>
      </c>
      <c r="R183" s="38">
        <f t="shared" si="22"/>
        <v>2.1518798910187957</v>
      </c>
    </row>
    <row r="184" spans="1:18">
      <c r="A184" s="36">
        <f t="shared" si="23"/>
        <v>176</v>
      </c>
      <c r="B184" s="35" t="s">
        <v>852</v>
      </c>
      <c r="C184" s="130">
        <v>45337</v>
      </c>
      <c r="D184" s="287">
        <v>1139761</v>
      </c>
      <c r="E184" s="130">
        <v>45348</v>
      </c>
      <c r="F184" s="130" t="s">
        <v>670</v>
      </c>
      <c r="G184" s="130">
        <v>45348</v>
      </c>
      <c r="H184" s="130">
        <v>45337</v>
      </c>
      <c r="I184" s="130">
        <v>45337</v>
      </c>
      <c r="J184" s="130">
        <f t="shared" si="16"/>
        <v>45337</v>
      </c>
      <c r="K184" s="263">
        <f t="shared" si="17"/>
        <v>0.5</v>
      </c>
      <c r="L184" s="35">
        <f t="shared" si="18"/>
        <v>11</v>
      </c>
      <c r="M184" s="35">
        <f t="shared" si="19"/>
        <v>0</v>
      </c>
      <c r="N184" s="35">
        <f t="shared" si="20"/>
        <v>11.5</v>
      </c>
      <c r="O184" s="35">
        <v>44242.92</v>
      </c>
      <c r="P184" s="131">
        <v>574.95000000000005</v>
      </c>
      <c r="Q184" s="132">
        <f t="shared" si="21"/>
        <v>6.2117229918092691E-4</v>
      </c>
      <c r="R184" s="38">
        <f t="shared" si="22"/>
        <v>7.1434814405806598E-3</v>
      </c>
    </row>
    <row r="185" spans="1:18">
      <c r="A185" s="36">
        <f t="shared" si="23"/>
        <v>177</v>
      </c>
      <c r="B185" s="35" t="s">
        <v>853</v>
      </c>
      <c r="C185" s="130">
        <v>45118</v>
      </c>
      <c r="D185" s="287" t="s">
        <v>854</v>
      </c>
      <c r="E185" s="130">
        <v>45120</v>
      </c>
      <c r="F185" s="130" t="s">
        <v>671</v>
      </c>
      <c r="G185" s="130">
        <v>45120</v>
      </c>
      <c r="H185" s="130">
        <v>45097</v>
      </c>
      <c r="I185" s="130">
        <v>45097</v>
      </c>
      <c r="J185" s="130">
        <f t="shared" si="16"/>
        <v>45097</v>
      </c>
      <c r="K185" s="263">
        <f t="shared" si="17"/>
        <v>0.5</v>
      </c>
      <c r="L185" s="35">
        <f t="shared" si="18"/>
        <v>2</v>
      </c>
      <c r="M185" s="35">
        <f t="shared" si="19"/>
        <v>0</v>
      </c>
      <c r="N185" s="35">
        <f t="shared" si="20"/>
        <v>2.5</v>
      </c>
      <c r="O185" s="35">
        <v>54.61</v>
      </c>
      <c r="P185" s="131">
        <v>54.61</v>
      </c>
      <c r="Q185" s="132">
        <f t="shared" si="21"/>
        <v>5.9000294387808358E-5</v>
      </c>
      <c r="R185" s="38">
        <f t="shared" si="22"/>
        <v>1.475007359695209E-4</v>
      </c>
    </row>
    <row r="186" spans="1:18">
      <c r="A186" s="36">
        <f t="shared" si="23"/>
        <v>178</v>
      </c>
      <c r="B186" s="35" t="s">
        <v>855</v>
      </c>
      <c r="C186" s="130">
        <v>45419</v>
      </c>
      <c r="D186" s="287" t="s">
        <v>856</v>
      </c>
      <c r="E186" s="130">
        <v>45419</v>
      </c>
      <c r="F186" s="130" t="s">
        <v>670</v>
      </c>
      <c r="G186" s="130">
        <v>45419</v>
      </c>
      <c r="H186" s="130">
        <v>45373</v>
      </c>
      <c r="I186" s="130">
        <v>45404</v>
      </c>
      <c r="J186" s="130">
        <f t="shared" si="16"/>
        <v>45388.5</v>
      </c>
      <c r="K186" s="263">
        <f t="shared" si="17"/>
        <v>16</v>
      </c>
      <c r="L186" s="35">
        <f t="shared" si="18"/>
        <v>0</v>
      </c>
      <c r="M186" s="35">
        <f t="shared" si="19"/>
        <v>0</v>
      </c>
      <c r="N186" s="35">
        <f t="shared" si="20"/>
        <v>16</v>
      </c>
      <c r="O186" s="35">
        <v>142.18</v>
      </c>
      <c r="P186" s="131">
        <v>142.18</v>
      </c>
      <c r="Q186" s="132">
        <f t="shared" si="21"/>
        <v>1.5361036176631738E-4</v>
      </c>
      <c r="R186" s="38">
        <f t="shared" si="22"/>
        <v>2.4577657882610781E-3</v>
      </c>
    </row>
    <row r="187" spans="1:18">
      <c r="A187" s="36">
        <f t="shared" si="23"/>
        <v>179</v>
      </c>
      <c r="B187" s="35" t="s">
        <v>855</v>
      </c>
      <c r="C187" s="130">
        <v>45341</v>
      </c>
      <c r="D187" s="287" t="s">
        <v>857</v>
      </c>
      <c r="E187" s="130">
        <v>45341</v>
      </c>
      <c r="F187" s="130" t="s">
        <v>670</v>
      </c>
      <c r="G187" s="130">
        <v>45341</v>
      </c>
      <c r="H187" s="130">
        <v>45300</v>
      </c>
      <c r="I187" s="130">
        <v>45331</v>
      </c>
      <c r="J187" s="130">
        <f t="shared" si="16"/>
        <v>45315.5</v>
      </c>
      <c r="K187" s="263">
        <f t="shared" si="17"/>
        <v>16</v>
      </c>
      <c r="L187" s="35">
        <f t="shared" si="18"/>
        <v>0</v>
      </c>
      <c r="M187" s="35">
        <f t="shared" si="19"/>
        <v>0</v>
      </c>
      <c r="N187" s="35">
        <f t="shared" si="20"/>
        <v>16</v>
      </c>
      <c r="O187" s="35">
        <v>45.86</v>
      </c>
      <c r="P187" s="131">
        <v>45.86</v>
      </c>
      <c r="Q187" s="132">
        <f t="shared" si="21"/>
        <v>4.9546850405143585E-5</v>
      </c>
      <c r="R187" s="38">
        <f t="shared" si="22"/>
        <v>7.9274960648229736E-4</v>
      </c>
    </row>
    <row r="188" spans="1:18">
      <c r="A188" s="36">
        <f t="shared" si="23"/>
        <v>180</v>
      </c>
      <c r="B188" s="35" t="s">
        <v>855</v>
      </c>
      <c r="C188" s="130">
        <v>45300</v>
      </c>
      <c r="D188" s="287" t="s">
        <v>858</v>
      </c>
      <c r="E188" s="130">
        <v>45301</v>
      </c>
      <c r="F188" s="130" t="s">
        <v>670</v>
      </c>
      <c r="G188" s="130">
        <v>45301</v>
      </c>
      <c r="H188" s="130">
        <v>45245</v>
      </c>
      <c r="I188" s="130">
        <v>45275</v>
      </c>
      <c r="J188" s="130">
        <f t="shared" si="16"/>
        <v>45260</v>
      </c>
      <c r="K188" s="263">
        <f t="shared" si="17"/>
        <v>15.5</v>
      </c>
      <c r="L188" s="35">
        <f t="shared" si="18"/>
        <v>1</v>
      </c>
      <c r="M188" s="35">
        <f t="shared" si="19"/>
        <v>0</v>
      </c>
      <c r="N188" s="35">
        <f t="shared" si="20"/>
        <v>16.5</v>
      </c>
      <c r="O188" s="35">
        <v>75.09</v>
      </c>
      <c r="P188" s="131">
        <v>75.09</v>
      </c>
      <c r="Q188" s="132">
        <f t="shared" si="21"/>
        <v>8.1126755275234019E-5</v>
      </c>
      <c r="R188" s="38">
        <f t="shared" si="22"/>
        <v>1.3385914620413614E-3</v>
      </c>
    </row>
    <row r="189" spans="1:18">
      <c r="A189" s="36">
        <f t="shared" si="23"/>
        <v>181</v>
      </c>
      <c r="B189" s="35" t="s">
        <v>855</v>
      </c>
      <c r="C189" s="130">
        <v>45135</v>
      </c>
      <c r="D189" s="287" t="s">
        <v>859</v>
      </c>
      <c r="E189" s="130">
        <v>45140</v>
      </c>
      <c r="F189" s="130" t="s">
        <v>668</v>
      </c>
      <c r="G189" s="130">
        <v>45149</v>
      </c>
      <c r="H189" s="130">
        <v>45105</v>
      </c>
      <c r="I189" s="130">
        <v>45135</v>
      </c>
      <c r="J189" s="130">
        <f t="shared" si="16"/>
        <v>45120</v>
      </c>
      <c r="K189" s="263">
        <f t="shared" si="17"/>
        <v>15.5</v>
      </c>
      <c r="L189" s="35">
        <f t="shared" si="18"/>
        <v>5</v>
      </c>
      <c r="M189" s="35">
        <f t="shared" si="19"/>
        <v>9</v>
      </c>
      <c r="N189" s="35">
        <f t="shared" si="20"/>
        <v>29.5</v>
      </c>
      <c r="O189" s="35">
        <v>150.21</v>
      </c>
      <c r="P189" s="131">
        <v>150.21</v>
      </c>
      <c r="Q189" s="132">
        <f t="shared" si="21"/>
        <v>1.6228592235840861E-4</v>
      </c>
      <c r="R189" s="38">
        <f t="shared" si="22"/>
        <v>4.7874347095730541E-3</v>
      </c>
    </row>
    <row r="190" spans="1:18">
      <c r="A190" s="36">
        <f t="shared" si="23"/>
        <v>182</v>
      </c>
      <c r="B190" s="35" t="s">
        <v>855</v>
      </c>
      <c r="C190" s="130">
        <v>45350</v>
      </c>
      <c r="D190" s="287" t="s">
        <v>860</v>
      </c>
      <c r="E190" s="130">
        <v>45350</v>
      </c>
      <c r="F190" s="130" t="s">
        <v>668</v>
      </c>
      <c r="G190" s="130">
        <v>45362</v>
      </c>
      <c r="H190" s="130">
        <v>45319</v>
      </c>
      <c r="I190" s="130">
        <v>45350</v>
      </c>
      <c r="J190" s="130">
        <f t="shared" si="16"/>
        <v>45334.5</v>
      </c>
      <c r="K190" s="263">
        <f t="shared" si="17"/>
        <v>16</v>
      </c>
      <c r="L190" s="35">
        <f t="shared" si="18"/>
        <v>0</v>
      </c>
      <c r="M190" s="35">
        <f t="shared" si="19"/>
        <v>12</v>
      </c>
      <c r="N190" s="35">
        <f t="shared" si="20"/>
        <v>28</v>
      </c>
      <c r="O190" s="35">
        <v>200</v>
      </c>
      <c r="P190" s="131">
        <v>200</v>
      </c>
      <c r="Q190" s="132">
        <f t="shared" si="21"/>
        <v>2.1607871960376617E-4</v>
      </c>
      <c r="R190" s="38">
        <f t="shared" si="22"/>
        <v>6.0502041489054531E-3</v>
      </c>
    </row>
    <row r="191" spans="1:18">
      <c r="A191" s="36">
        <f t="shared" si="23"/>
        <v>183</v>
      </c>
      <c r="B191" s="35" t="s">
        <v>861</v>
      </c>
      <c r="C191" s="130">
        <v>45335</v>
      </c>
      <c r="D191" s="287" t="s">
        <v>862</v>
      </c>
      <c r="E191" s="130">
        <v>45342</v>
      </c>
      <c r="F191" s="130" t="s">
        <v>670</v>
      </c>
      <c r="G191" s="130">
        <v>45342</v>
      </c>
      <c r="H191" s="130">
        <v>45319</v>
      </c>
      <c r="I191" s="130">
        <v>45324</v>
      </c>
      <c r="J191" s="130">
        <f t="shared" si="16"/>
        <v>45321.5</v>
      </c>
      <c r="K191" s="263">
        <f t="shared" si="17"/>
        <v>3</v>
      </c>
      <c r="L191" s="35">
        <f t="shared" si="18"/>
        <v>7</v>
      </c>
      <c r="M191" s="35">
        <f t="shared" si="19"/>
        <v>0</v>
      </c>
      <c r="N191" s="35">
        <f t="shared" si="20"/>
        <v>10</v>
      </c>
      <c r="O191" s="35">
        <v>1132.28</v>
      </c>
      <c r="P191" s="131">
        <v>1132.28</v>
      </c>
      <c r="Q191" s="132">
        <f t="shared" si="21"/>
        <v>1.2233080631647618E-3</v>
      </c>
      <c r="R191" s="38">
        <f t="shared" si="22"/>
        <v>1.2233080631647618E-2</v>
      </c>
    </row>
    <row r="192" spans="1:18">
      <c r="A192" s="36">
        <f t="shared" si="23"/>
        <v>184</v>
      </c>
      <c r="B192" s="35" t="s">
        <v>863</v>
      </c>
      <c r="C192" s="130">
        <v>45293</v>
      </c>
      <c r="D192" s="287" t="s">
        <v>864</v>
      </c>
      <c r="E192" s="130">
        <v>45299</v>
      </c>
      <c r="F192" s="130" t="s">
        <v>671</v>
      </c>
      <c r="G192" s="130">
        <v>45299</v>
      </c>
      <c r="H192" s="130">
        <v>45257</v>
      </c>
      <c r="I192" s="130">
        <v>45257</v>
      </c>
      <c r="J192" s="130">
        <f t="shared" si="16"/>
        <v>45257</v>
      </c>
      <c r="K192" s="263">
        <f t="shared" si="17"/>
        <v>0.5</v>
      </c>
      <c r="L192" s="35">
        <f t="shared" si="18"/>
        <v>6</v>
      </c>
      <c r="M192" s="35">
        <f t="shared" si="19"/>
        <v>0</v>
      </c>
      <c r="N192" s="35">
        <f t="shared" si="20"/>
        <v>6.5</v>
      </c>
      <c r="O192" s="35">
        <v>461.81</v>
      </c>
      <c r="P192" s="131">
        <v>461.81</v>
      </c>
      <c r="Q192" s="132">
        <f t="shared" si="21"/>
        <v>4.9893656750107625E-4</v>
      </c>
      <c r="R192" s="38">
        <f t="shared" si="22"/>
        <v>3.2430876887569954E-3</v>
      </c>
    </row>
    <row r="193" spans="1:18">
      <c r="A193" s="36">
        <f t="shared" si="23"/>
        <v>185</v>
      </c>
      <c r="B193" s="35" t="s">
        <v>865</v>
      </c>
      <c r="C193" s="130">
        <v>45383</v>
      </c>
      <c r="D193" s="287">
        <v>2403261115</v>
      </c>
      <c r="E193" s="130">
        <v>45411</v>
      </c>
      <c r="F193" s="130" t="s">
        <v>668</v>
      </c>
      <c r="G193" s="130">
        <v>45420</v>
      </c>
      <c r="H193" s="130">
        <v>45377</v>
      </c>
      <c r="I193" s="130">
        <v>45379</v>
      </c>
      <c r="J193" s="130">
        <f t="shared" si="16"/>
        <v>45378</v>
      </c>
      <c r="K193" s="263">
        <f t="shared" si="17"/>
        <v>1.5</v>
      </c>
      <c r="L193" s="35">
        <f t="shared" si="18"/>
        <v>28</v>
      </c>
      <c r="M193" s="35">
        <f t="shared" si="19"/>
        <v>9</v>
      </c>
      <c r="N193" s="35">
        <f t="shared" si="20"/>
        <v>38.5</v>
      </c>
      <c r="O193" s="35">
        <v>667.65</v>
      </c>
      <c r="P193" s="131">
        <v>483.47</v>
      </c>
      <c r="Q193" s="132">
        <f t="shared" si="21"/>
        <v>5.2233789283416424E-4</v>
      </c>
      <c r="R193" s="38">
        <f t="shared" si="22"/>
        <v>2.0110008874115324E-2</v>
      </c>
    </row>
    <row r="194" spans="1:18">
      <c r="A194" s="36">
        <f t="shared" si="23"/>
        <v>186</v>
      </c>
      <c r="B194" s="35" t="s">
        <v>866</v>
      </c>
      <c r="C194" s="130">
        <v>45330</v>
      </c>
      <c r="D194" s="287">
        <v>22910</v>
      </c>
      <c r="E194" s="130">
        <v>45355</v>
      </c>
      <c r="F194" s="130" t="s">
        <v>670</v>
      </c>
      <c r="G194" s="130">
        <v>45355</v>
      </c>
      <c r="H194" s="130">
        <v>45329</v>
      </c>
      <c r="I194" s="130">
        <v>45329</v>
      </c>
      <c r="J194" s="130">
        <f t="shared" si="16"/>
        <v>45329</v>
      </c>
      <c r="K194" s="263">
        <f t="shared" si="17"/>
        <v>0.5</v>
      </c>
      <c r="L194" s="35">
        <f t="shared" si="18"/>
        <v>25</v>
      </c>
      <c r="M194" s="35">
        <f t="shared" si="19"/>
        <v>0</v>
      </c>
      <c r="N194" s="35">
        <f t="shared" si="20"/>
        <v>25.5</v>
      </c>
      <c r="O194" s="35">
        <v>4493.6899999999996</v>
      </c>
      <c r="P194" s="131">
        <v>316.69</v>
      </c>
      <c r="Q194" s="132">
        <f t="shared" si="21"/>
        <v>3.4214984855658354E-4</v>
      </c>
      <c r="R194" s="38">
        <f t="shared" si="22"/>
        <v>8.7248211381928797E-3</v>
      </c>
    </row>
    <row r="195" spans="1:18">
      <c r="A195" s="36">
        <f t="shared" si="23"/>
        <v>187</v>
      </c>
      <c r="B195" s="35" t="s">
        <v>867</v>
      </c>
      <c r="C195" s="130">
        <v>45231</v>
      </c>
      <c r="D195" s="287">
        <v>44293</v>
      </c>
      <c r="E195" s="130">
        <v>45243</v>
      </c>
      <c r="F195" s="130" t="s">
        <v>668</v>
      </c>
      <c r="G195" s="130">
        <v>45250</v>
      </c>
      <c r="H195" s="130">
        <v>45231</v>
      </c>
      <c r="I195" s="130">
        <v>45231</v>
      </c>
      <c r="J195" s="130">
        <f t="shared" si="16"/>
        <v>45231</v>
      </c>
      <c r="K195" s="263">
        <f t="shared" si="17"/>
        <v>0.5</v>
      </c>
      <c r="L195" s="35">
        <f t="shared" si="18"/>
        <v>12</v>
      </c>
      <c r="M195" s="35">
        <f t="shared" si="19"/>
        <v>7</v>
      </c>
      <c r="N195" s="35">
        <f t="shared" si="20"/>
        <v>19.5</v>
      </c>
      <c r="O195" s="35">
        <v>330</v>
      </c>
      <c r="P195" s="131">
        <v>330</v>
      </c>
      <c r="Q195" s="132">
        <f t="shared" si="21"/>
        <v>3.5652988734621421E-4</v>
      </c>
      <c r="R195" s="38">
        <f t="shared" si="22"/>
        <v>6.9523328032511768E-3</v>
      </c>
    </row>
    <row r="196" spans="1:18">
      <c r="A196" s="36">
        <f t="shared" si="23"/>
        <v>188</v>
      </c>
      <c r="B196" s="35" t="s">
        <v>868</v>
      </c>
      <c r="C196" s="130">
        <v>45320</v>
      </c>
      <c r="D196" s="287" t="s">
        <v>869</v>
      </c>
      <c r="E196" s="130">
        <v>45348</v>
      </c>
      <c r="F196" s="130" t="s">
        <v>668</v>
      </c>
      <c r="G196" s="130">
        <v>45358</v>
      </c>
      <c r="H196" s="130">
        <v>45320</v>
      </c>
      <c r="I196" s="130">
        <v>45320</v>
      </c>
      <c r="J196" s="130">
        <f t="shared" si="16"/>
        <v>45320</v>
      </c>
      <c r="K196" s="263">
        <f t="shared" si="17"/>
        <v>0.5</v>
      </c>
      <c r="L196" s="35">
        <f t="shared" si="18"/>
        <v>28</v>
      </c>
      <c r="M196" s="35">
        <f t="shared" si="19"/>
        <v>10</v>
      </c>
      <c r="N196" s="35">
        <f t="shared" si="20"/>
        <v>38.5</v>
      </c>
      <c r="O196" s="35">
        <v>2040</v>
      </c>
      <c r="P196" s="131">
        <v>2040</v>
      </c>
      <c r="Q196" s="132">
        <f t="shared" si="21"/>
        <v>2.204002939958415E-3</v>
      </c>
      <c r="R196" s="38">
        <f t="shared" si="22"/>
        <v>8.4854113188398972E-2</v>
      </c>
    </row>
    <row r="197" spans="1:18">
      <c r="A197" s="36">
        <f t="shared" si="23"/>
        <v>189</v>
      </c>
      <c r="B197" s="35" t="s">
        <v>870</v>
      </c>
      <c r="C197" s="130">
        <v>45147</v>
      </c>
      <c r="D197" s="287" t="s">
        <v>871</v>
      </c>
      <c r="E197" s="130">
        <v>45148</v>
      </c>
      <c r="F197" s="130" t="s">
        <v>670</v>
      </c>
      <c r="G197" s="130">
        <v>45148</v>
      </c>
      <c r="H197" s="130">
        <v>45108</v>
      </c>
      <c r="I197" s="130">
        <v>45139</v>
      </c>
      <c r="J197" s="130">
        <f t="shared" si="16"/>
        <v>45123.5</v>
      </c>
      <c r="K197" s="263">
        <f t="shared" si="17"/>
        <v>16</v>
      </c>
      <c r="L197" s="35">
        <f t="shared" si="18"/>
        <v>1</v>
      </c>
      <c r="M197" s="35">
        <f t="shared" si="19"/>
        <v>0</v>
      </c>
      <c r="N197" s="35">
        <f t="shared" si="20"/>
        <v>17</v>
      </c>
      <c r="O197" s="35">
        <v>85.36</v>
      </c>
      <c r="P197" s="131">
        <v>24.63</v>
      </c>
      <c r="Q197" s="132">
        <f t="shared" si="21"/>
        <v>2.6610094319203805E-5</v>
      </c>
      <c r="R197" s="38">
        <f t="shared" si="22"/>
        <v>4.5237160342646469E-4</v>
      </c>
    </row>
    <row r="198" spans="1:18">
      <c r="A198" s="36">
        <f t="shared" si="23"/>
        <v>190</v>
      </c>
      <c r="B198" s="35" t="s">
        <v>870</v>
      </c>
      <c r="C198" s="130">
        <v>45230</v>
      </c>
      <c r="D198" s="287" t="s">
        <v>872</v>
      </c>
      <c r="E198" s="130">
        <v>45230</v>
      </c>
      <c r="F198" s="130" t="s">
        <v>670</v>
      </c>
      <c r="G198" s="130">
        <v>45230</v>
      </c>
      <c r="H198" s="130">
        <v>45192</v>
      </c>
      <c r="I198" s="130">
        <v>45222</v>
      </c>
      <c r="J198" s="130">
        <f t="shared" si="16"/>
        <v>45207</v>
      </c>
      <c r="K198" s="263">
        <f t="shared" si="17"/>
        <v>15.5</v>
      </c>
      <c r="L198" s="35">
        <f t="shared" si="18"/>
        <v>0</v>
      </c>
      <c r="M198" s="35">
        <f t="shared" si="19"/>
        <v>0</v>
      </c>
      <c r="N198" s="35">
        <f t="shared" si="20"/>
        <v>15.5</v>
      </c>
      <c r="O198" s="35">
        <v>42.99</v>
      </c>
      <c r="P198" s="131">
        <v>30.67</v>
      </c>
      <c r="Q198" s="132">
        <f t="shared" si="21"/>
        <v>3.3135671651237544E-5</v>
      </c>
      <c r="R198" s="38">
        <f t="shared" si="22"/>
        <v>5.1360291059418192E-4</v>
      </c>
    </row>
    <row r="199" spans="1:18">
      <c r="A199" s="36">
        <f t="shared" si="23"/>
        <v>191</v>
      </c>
      <c r="B199" s="35" t="s">
        <v>870</v>
      </c>
      <c r="C199" s="130">
        <v>45167</v>
      </c>
      <c r="D199" s="287" t="s">
        <v>873</v>
      </c>
      <c r="E199" s="130">
        <v>45167</v>
      </c>
      <c r="F199" s="130" t="s">
        <v>670</v>
      </c>
      <c r="G199" s="130">
        <v>45167</v>
      </c>
      <c r="H199" s="130">
        <v>45130</v>
      </c>
      <c r="I199" s="130">
        <v>45160</v>
      </c>
      <c r="J199" s="130">
        <f t="shared" si="16"/>
        <v>45145</v>
      </c>
      <c r="K199" s="263">
        <f t="shared" si="17"/>
        <v>15.5</v>
      </c>
      <c r="L199" s="35">
        <f t="shared" si="18"/>
        <v>0</v>
      </c>
      <c r="M199" s="35">
        <f t="shared" si="19"/>
        <v>0</v>
      </c>
      <c r="N199" s="35">
        <f t="shared" si="20"/>
        <v>15.5</v>
      </c>
      <c r="O199" s="35">
        <v>37.32</v>
      </c>
      <c r="P199" s="131">
        <v>24.59</v>
      </c>
      <c r="Q199" s="132">
        <f t="shared" si="21"/>
        <v>2.6566878575283051E-5</v>
      </c>
      <c r="R199" s="38">
        <f t="shared" si="22"/>
        <v>4.1178661791688729E-4</v>
      </c>
    </row>
    <row r="200" spans="1:18">
      <c r="A200" s="36">
        <f t="shared" si="23"/>
        <v>192</v>
      </c>
      <c r="B200" s="35" t="s">
        <v>870</v>
      </c>
      <c r="C200" s="130">
        <v>45418</v>
      </c>
      <c r="D200" s="287" t="s">
        <v>874</v>
      </c>
      <c r="E200" s="130">
        <v>45418</v>
      </c>
      <c r="F200" s="130" t="s">
        <v>670</v>
      </c>
      <c r="G200" s="130">
        <v>45418</v>
      </c>
      <c r="H200" s="130">
        <v>45383</v>
      </c>
      <c r="I200" s="130">
        <v>45413</v>
      </c>
      <c r="J200" s="130">
        <f t="shared" si="16"/>
        <v>45398</v>
      </c>
      <c r="K200" s="263">
        <f t="shared" si="17"/>
        <v>15.5</v>
      </c>
      <c r="L200" s="35">
        <f t="shared" si="18"/>
        <v>0</v>
      </c>
      <c r="M200" s="35">
        <f t="shared" si="19"/>
        <v>0</v>
      </c>
      <c r="N200" s="35">
        <f t="shared" si="20"/>
        <v>15.5</v>
      </c>
      <c r="O200" s="35">
        <v>72.930000000000007</v>
      </c>
      <c r="P200" s="131">
        <v>25.25</v>
      </c>
      <c r="Q200" s="132">
        <f t="shared" si="21"/>
        <v>2.7279938349975481E-5</v>
      </c>
      <c r="R200" s="38">
        <f t="shared" si="22"/>
        <v>4.2283904442461996E-4</v>
      </c>
    </row>
    <row r="201" spans="1:18">
      <c r="A201" s="36">
        <f t="shared" si="23"/>
        <v>193</v>
      </c>
      <c r="B201" s="35" t="s">
        <v>870</v>
      </c>
      <c r="C201" s="130">
        <v>45446</v>
      </c>
      <c r="D201" s="287" t="s">
        <v>875</v>
      </c>
      <c r="E201" s="130">
        <v>45446</v>
      </c>
      <c r="F201" s="130" t="s">
        <v>670</v>
      </c>
      <c r="G201" s="130">
        <v>45446</v>
      </c>
      <c r="H201" s="130">
        <v>45413</v>
      </c>
      <c r="I201" s="130">
        <v>45444</v>
      </c>
      <c r="J201" s="130">
        <f t="shared" ref="J201:J264" si="24">IF(I201&lt;1," ",(((I201-H201)/2)+H201))</f>
        <v>45428.5</v>
      </c>
      <c r="K201" s="263">
        <f t="shared" ref="K201:K264" si="25">(I201-H201+1)/2</f>
        <v>16</v>
      </c>
      <c r="L201" s="35">
        <f t="shared" ref="L201:L264" si="26">E201-C201</f>
        <v>0</v>
      </c>
      <c r="M201" s="35">
        <f t="shared" ref="M201:M264" si="27">G201-E201</f>
        <v>0</v>
      </c>
      <c r="N201" s="35">
        <f t="shared" ref="N201:N264" si="28">M201+L201+K201</f>
        <v>16</v>
      </c>
      <c r="O201" s="35">
        <v>86.89</v>
      </c>
      <c r="P201" s="131">
        <v>25.57</v>
      </c>
      <c r="Q201" s="132">
        <f t="shared" ref="Q201:Q264" si="29">P201/$P$422</f>
        <v>2.7625664301341506E-5</v>
      </c>
      <c r="R201" s="38">
        <f t="shared" ref="R201:R264" si="30">Q201*N201</f>
        <v>4.4201062882146409E-4</v>
      </c>
    </row>
    <row r="202" spans="1:18">
      <c r="A202" s="36">
        <f t="shared" ref="A202:A265" si="31">1+A201</f>
        <v>194</v>
      </c>
      <c r="B202" s="35" t="s">
        <v>870</v>
      </c>
      <c r="C202" s="130">
        <v>45216</v>
      </c>
      <c r="D202" s="287" t="s">
        <v>876</v>
      </c>
      <c r="E202" s="130">
        <v>45216</v>
      </c>
      <c r="F202" s="130" t="s">
        <v>670</v>
      </c>
      <c r="G202" s="130">
        <v>45216</v>
      </c>
      <c r="H202" s="130">
        <v>45161</v>
      </c>
      <c r="I202" s="130">
        <v>45192</v>
      </c>
      <c r="J202" s="130">
        <f t="shared" si="24"/>
        <v>45176.5</v>
      </c>
      <c r="K202" s="263">
        <f t="shared" si="25"/>
        <v>16</v>
      </c>
      <c r="L202" s="35">
        <f t="shared" si="26"/>
        <v>0</v>
      </c>
      <c r="M202" s="35">
        <f t="shared" si="27"/>
        <v>0</v>
      </c>
      <c r="N202" s="35">
        <f t="shared" si="28"/>
        <v>16</v>
      </c>
      <c r="O202" s="35">
        <v>59.64</v>
      </c>
      <c r="P202" s="131">
        <v>13.49</v>
      </c>
      <c r="Q202" s="132">
        <f t="shared" si="29"/>
        <v>1.4574509637274029E-5</v>
      </c>
      <c r="R202" s="38">
        <f t="shared" si="30"/>
        <v>2.3319215419638446E-4</v>
      </c>
    </row>
    <row r="203" spans="1:18">
      <c r="A203" s="36">
        <f t="shared" si="31"/>
        <v>195</v>
      </c>
      <c r="B203" s="35" t="s">
        <v>870</v>
      </c>
      <c r="C203" s="130">
        <v>45230</v>
      </c>
      <c r="D203" s="287" t="s">
        <v>877</v>
      </c>
      <c r="E203" s="130">
        <v>45230</v>
      </c>
      <c r="F203" s="130" t="s">
        <v>670</v>
      </c>
      <c r="G203" s="130">
        <v>45230</v>
      </c>
      <c r="H203" s="130">
        <v>45192</v>
      </c>
      <c r="I203" s="130">
        <v>45222</v>
      </c>
      <c r="J203" s="130">
        <f t="shared" si="24"/>
        <v>45207</v>
      </c>
      <c r="K203" s="263">
        <f t="shared" si="25"/>
        <v>15.5</v>
      </c>
      <c r="L203" s="35">
        <f t="shared" si="26"/>
        <v>0</v>
      </c>
      <c r="M203" s="35">
        <f t="shared" si="27"/>
        <v>0</v>
      </c>
      <c r="N203" s="35">
        <f t="shared" si="28"/>
        <v>15.5</v>
      </c>
      <c r="O203" s="35">
        <v>42.99</v>
      </c>
      <c r="P203" s="131">
        <v>13.06</v>
      </c>
      <c r="Q203" s="132">
        <f t="shared" si="29"/>
        <v>1.4109940390125933E-5</v>
      </c>
      <c r="R203" s="38">
        <f t="shared" si="30"/>
        <v>2.1870407604695195E-4</v>
      </c>
    </row>
    <row r="204" spans="1:18">
      <c r="A204" s="36">
        <f t="shared" si="31"/>
        <v>196</v>
      </c>
      <c r="B204" s="35" t="s">
        <v>878</v>
      </c>
      <c r="C204" s="130">
        <v>45251</v>
      </c>
      <c r="D204" s="287" t="s">
        <v>879</v>
      </c>
      <c r="E204" s="130">
        <v>45251</v>
      </c>
      <c r="F204" s="130" t="s">
        <v>670</v>
      </c>
      <c r="G204" s="130">
        <v>45251</v>
      </c>
      <c r="H204" s="130">
        <v>45205</v>
      </c>
      <c r="I204" s="130">
        <v>45235</v>
      </c>
      <c r="J204" s="130">
        <f t="shared" si="24"/>
        <v>45220</v>
      </c>
      <c r="K204" s="263">
        <f t="shared" si="25"/>
        <v>15.5</v>
      </c>
      <c r="L204" s="35">
        <f t="shared" si="26"/>
        <v>0</v>
      </c>
      <c r="M204" s="35">
        <f t="shared" si="27"/>
        <v>0</v>
      </c>
      <c r="N204" s="35">
        <f t="shared" si="28"/>
        <v>15.5</v>
      </c>
      <c r="O204" s="35">
        <v>100.56</v>
      </c>
      <c r="P204" s="131">
        <v>37.42</v>
      </c>
      <c r="Q204" s="132">
        <f t="shared" si="29"/>
        <v>4.0428328437864653E-5</v>
      </c>
      <c r="R204" s="38">
        <f t="shared" si="30"/>
        <v>6.266390907869021E-4</v>
      </c>
    </row>
    <row r="205" spans="1:18">
      <c r="A205" s="36">
        <f t="shared" si="31"/>
        <v>197</v>
      </c>
      <c r="B205" s="35" t="s">
        <v>878</v>
      </c>
      <c r="C205" s="130">
        <v>45467</v>
      </c>
      <c r="D205" s="287" t="s">
        <v>880</v>
      </c>
      <c r="E205" s="130">
        <v>45468</v>
      </c>
      <c r="F205" s="130" t="s">
        <v>670</v>
      </c>
      <c r="G205" s="130">
        <v>45468</v>
      </c>
      <c r="H205" s="130">
        <v>45418</v>
      </c>
      <c r="I205" s="130">
        <v>45449</v>
      </c>
      <c r="J205" s="130">
        <f t="shared" si="24"/>
        <v>45433.5</v>
      </c>
      <c r="K205" s="263">
        <f t="shared" si="25"/>
        <v>16</v>
      </c>
      <c r="L205" s="35">
        <f t="shared" si="26"/>
        <v>1</v>
      </c>
      <c r="M205" s="35">
        <f t="shared" si="27"/>
        <v>0</v>
      </c>
      <c r="N205" s="35">
        <f t="shared" si="28"/>
        <v>17</v>
      </c>
      <c r="O205" s="35">
        <v>104.01</v>
      </c>
      <c r="P205" s="131">
        <v>26.16</v>
      </c>
      <c r="Q205" s="132">
        <f t="shared" si="29"/>
        <v>2.8263096524172617E-5</v>
      </c>
      <c r="R205" s="38">
        <f t="shared" si="30"/>
        <v>4.8047264091093448E-4</v>
      </c>
    </row>
    <row r="206" spans="1:18">
      <c r="A206" s="36">
        <f t="shared" si="31"/>
        <v>198</v>
      </c>
      <c r="B206" s="35" t="s">
        <v>881</v>
      </c>
      <c r="C206" s="130">
        <v>45105</v>
      </c>
      <c r="D206" s="287">
        <v>2510</v>
      </c>
      <c r="E206" s="130">
        <v>45131</v>
      </c>
      <c r="F206" s="130" t="s">
        <v>668</v>
      </c>
      <c r="G206" s="130">
        <v>45138</v>
      </c>
      <c r="H206" s="130">
        <v>45105</v>
      </c>
      <c r="I206" s="130">
        <v>45105</v>
      </c>
      <c r="J206" s="130">
        <f t="shared" si="24"/>
        <v>45105</v>
      </c>
      <c r="K206" s="263">
        <f t="shared" si="25"/>
        <v>0.5</v>
      </c>
      <c r="L206" s="35">
        <f t="shared" si="26"/>
        <v>26</v>
      </c>
      <c r="M206" s="35">
        <f t="shared" si="27"/>
        <v>7</v>
      </c>
      <c r="N206" s="35">
        <f t="shared" si="28"/>
        <v>33.5</v>
      </c>
      <c r="O206" s="35">
        <v>993.75</v>
      </c>
      <c r="P206" s="131">
        <v>337.08</v>
      </c>
      <c r="Q206" s="132">
        <f t="shared" si="29"/>
        <v>3.6417907402018751E-4</v>
      </c>
      <c r="R206" s="38">
        <f t="shared" si="30"/>
        <v>1.2199998979676281E-2</v>
      </c>
    </row>
    <row r="207" spans="1:18">
      <c r="A207" s="36">
        <f t="shared" si="31"/>
        <v>199</v>
      </c>
      <c r="B207" s="35" t="s">
        <v>882</v>
      </c>
      <c r="C207" s="130">
        <v>45296</v>
      </c>
      <c r="D207" s="287">
        <v>3443</v>
      </c>
      <c r="E207" s="130">
        <v>45322</v>
      </c>
      <c r="F207" s="130" t="s">
        <v>668</v>
      </c>
      <c r="G207" s="130">
        <v>45335</v>
      </c>
      <c r="H207" s="130">
        <v>45296</v>
      </c>
      <c r="I207" s="130">
        <v>45296</v>
      </c>
      <c r="J207" s="130">
        <f t="shared" si="24"/>
        <v>45296</v>
      </c>
      <c r="K207" s="263">
        <f t="shared" si="25"/>
        <v>0.5</v>
      </c>
      <c r="L207" s="35">
        <f t="shared" si="26"/>
        <v>26</v>
      </c>
      <c r="M207" s="35">
        <f t="shared" si="27"/>
        <v>13</v>
      </c>
      <c r="N207" s="35">
        <f t="shared" si="28"/>
        <v>39.5</v>
      </c>
      <c r="O207" s="35">
        <v>18903.060000000001</v>
      </c>
      <c r="P207" s="131">
        <v>1203.06</v>
      </c>
      <c r="Q207" s="132">
        <f t="shared" si="29"/>
        <v>1.2997783220325347E-3</v>
      </c>
      <c r="R207" s="38">
        <f t="shared" si="30"/>
        <v>5.1341243720285118E-2</v>
      </c>
    </row>
    <row r="208" spans="1:18">
      <c r="A208" s="36">
        <f t="shared" si="31"/>
        <v>200</v>
      </c>
      <c r="B208" s="35" t="s">
        <v>883</v>
      </c>
      <c r="C208" s="130">
        <v>45106</v>
      </c>
      <c r="D208" s="287" t="s">
        <v>884</v>
      </c>
      <c r="E208" s="130">
        <v>45131</v>
      </c>
      <c r="F208" s="130" t="s">
        <v>671</v>
      </c>
      <c r="G208" s="130">
        <v>45131</v>
      </c>
      <c r="H208" s="130">
        <v>44928</v>
      </c>
      <c r="I208" s="130">
        <v>45059</v>
      </c>
      <c r="J208" s="130">
        <f t="shared" si="24"/>
        <v>44993.5</v>
      </c>
      <c r="K208" s="263">
        <f t="shared" si="25"/>
        <v>66</v>
      </c>
      <c r="L208" s="35">
        <f t="shared" si="26"/>
        <v>25</v>
      </c>
      <c r="M208" s="35">
        <f t="shared" si="27"/>
        <v>0</v>
      </c>
      <c r="N208" s="35">
        <f t="shared" si="28"/>
        <v>91</v>
      </c>
      <c r="O208" s="35">
        <v>14073</v>
      </c>
      <c r="P208" s="131">
        <v>14073</v>
      </c>
      <c r="Q208" s="132">
        <f t="shared" si="29"/>
        <v>1.5204379104919008E-2</v>
      </c>
      <c r="R208" s="38">
        <f t="shared" si="30"/>
        <v>1.3835984985476297</v>
      </c>
    </row>
    <row r="209" spans="1:18">
      <c r="A209" s="36">
        <f t="shared" si="31"/>
        <v>201</v>
      </c>
      <c r="B209" s="35" t="s">
        <v>885</v>
      </c>
      <c r="C209" s="130">
        <v>45198</v>
      </c>
      <c r="D209" s="287">
        <v>1403</v>
      </c>
      <c r="E209" s="130">
        <v>45223</v>
      </c>
      <c r="F209" s="130" t="s">
        <v>671</v>
      </c>
      <c r="G209" s="130">
        <v>45223</v>
      </c>
      <c r="H209" s="130">
        <v>45198</v>
      </c>
      <c r="I209" s="130">
        <v>45198</v>
      </c>
      <c r="J209" s="130">
        <f t="shared" si="24"/>
        <v>45198</v>
      </c>
      <c r="K209" s="263">
        <f t="shared" si="25"/>
        <v>0.5</v>
      </c>
      <c r="L209" s="35">
        <f t="shared" si="26"/>
        <v>25</v>
      </c>
      <c r="M209" s="35">
        <f t="shared" si="27"/>
        <v>0</v>
      </c>
      <c r="N209" s="35">
        <f t="shared" si="28"/>
        <v>25.5</v>
      </c>
      <c r="O209" s="35">
        <v>1028.1500000000001</v>
      </c>
      <c r="P209" s="131">
        <v>418.65</v>
      </c>
      <c r="Q209" s="132">
        <f t="shared" si="29"/>
        <v>4.5230677981058354E-4</v>
      </c>
      <c r="R209" s="38">
        <f t="shared" si="30"/>
        <v>1.1533822885169881E-2</v>
      </c>
    </row>
    <row r="210" spans="1:18">
      <c r="A210" s="36">
        <f t="shared" si="31"/>
        <v>202</v>
      </c>
      <c r="B210" s="35" t="s">
        <v>886</v>
      </c>
      <c r="C210" s="130">
        <v>45390</v>
      </c>
      <c r="D210" s="287" t="s">
        <v>887</v>
      </c>
      <c r="E210" s="130">
        <v>45390</v>
      </c>
      <c r="F210" s="130" t="s">
        <v>670</v>
      </c>
      <c r="G210" s="130">
        <v>45390</v>
      </c>
      <c r="H210" s="130">
        <v>45353</v>
      </c>
      <c r="I210" s="130">
        <v>45384</v>
      </c>
      <c r="J210" s="130">
        <f t="shared" si="24"/>
        <v>45368.5</v>
      </c>
      <c r="K210" s="263">
        <f t="shared" si="25"/>
        <v>16</v>
      </c>
      <c r="L210" s="35">
        <f t="shared" si="26"/>
        <v>0</v>
      </c>
      <c r="M210" s="35">
        <f t="shared" si="27"/>
        <v>0</v>
      </c>
      <c r="N210" s="35">
        <f t="shared" si="28"/>
        <v>16</v>
      </c>
      <c r="O210" s="35">
        <v>415.3</v>
      </c>
      <c r="P210" s="131">
        <v>31.45</v>
      </c>
      <c r="Q210" s="132">
        <f t="shared" si="29"/>
        <v>3.397837865769223E-5</v>
      </c>
      <c r="R210" s="38">
        <f t="shared" si="30"/>
        <v>5.4365405852307568E-4</v>
      </c>
    </row>
    <row r="211" spans="1:18">
      <c r="A211" s="36">
        <f t="shared" si="31"/>
        <v>203</v>
      </c>
      <c r="B211" s="35" t="s">
        <v>886</v>
      </c>
      <c r="C211" s="130">
        <v>45316</v>
      </c>
      <c r="D211" s="287" t="s">
        <v>888</v>
      </c>
      <c r="E211" s="130">
        <v>45316</v>
      </c>
      <c r="F211" s="130" t="s">
        <v>670</v>
      </c>
      <c r="G211" s="130">
        <v>45316</v>
      </c>
      <c r="H211" s="130">
        <v>45280</v>
      </c>
      <c r="I211" s="130">
        <v>45311</v>
      </c>
      <c r="J211" s="130">
        <f t="shared" si="24"/>
        <v>45295.5</v>
      </c>
      <c r="K211" s="263">
        <f t="shared" si="25"/>
        <v>16</v>
      </c>
      <c r="L211" s="35">
        <f t="shared" si="26"/>
        <v>0</v>
      </c>
      <c r="M211" s="35">
        <f t="shared" si="27"/>
        <v>0</v>
      </c>
      <c r="N211" s="35">
        <f t="shared" si="28"/>
        <v>16</v>
      </c>
      <c r="O211" s="35">
        <v>39.39</v>
      </c>
      <c r="P211" s="131">
        <v>39.39</v>
      </c>
      <c r="Q211" s="132">
        <f t="shared" si="29"/>
        <v>4.2556703825961749E-5</v>
      </c>
      <c r="R211" s="38">
        <f t="shared" si="30"/>
        <v>6.8090726121538799E-4</v>
      </c>
    </row>
    <row r="212" spans="1:18">
      <c r="A212" s="36">
        <f t="shared" si="31"/>
        <v>204</v>
      </c>
      <c r="B212" s="35" t="s">
        <v>886</v>
      </c>
      <c r="C212" s="130">
        <v>45131</v>
      </c>
      <c r="D212" s="287" t="s">
        <v>889</v>
      </c>
      <c r="E212" s="130">
        <v>45131</v>
      </c>
      <c r="F212" s="130" t="s">
        <v>670</v>
      </c>
      <c r="G212" s="130">
        <v>45131</v>
      </c>
      <c r="H212" s="130">
        <v>45093</v>
      </c>
      <c r="I212" s="130">
        <v>45123</v>
      </c>
      <c r="J212" s="130">
        <f t="shared" si="24"/>
        <v>45108</v>
      </c>
      <c r="K212" s="263">
        <f t="shared" si="25"/>
        <v>15.5</v>
      </c>
      <c r="L212" s="35">
        <f t="shared" si="26"/>
        <v>0</v>
      </c>
      <c r="M212" s="35">
        <f t="shared" si="27"/>
        <v>0</v>
      </c>
      <c r="N212" s="35">
        <f t="shared" si="28"/>
        <v>15.5</v>
      </c>
      <c r="O212" s="35">
        <v>210.87</v>
      </c>
      <c r="P212" s="131">
        <v>37.18</v>
      </c>
      <c r="Q212" s="132">
        <f t="shared" si="29"/>
        <v>4.0169033974340134E-5</v>
      </c>
      <c r="R212" s="38">
        <f t="shared" si="30"/>
        <v>6.2262002660227209E-4</v>
      </c>
    </row>
    <row r="213" spans="1:18">
      <c r="A213" s="36">
        <f t="shared" si="31"/>
        <v>205</v>
      </c>
      <c r="B213" s="35" t="s">
        <v>886</v>
      </c>
      <c r="C213" s="130">
        <v>45271</v>
      </c>
      <c r="D213" s="287" t="s">
        <v>890</v>
      </c>
      <c r="E213" s="130">
        <v>45271</v>
      </c>
      <c r="F213" s="130" t="s">
        <v>670</v>
      </c>
      <c r="G213" s="130">
        <v>45271</v>
      </c>
      <c r="H213" s="130">
        <v>45232</v>
      </c>
      <c r="I213" s="130">
        <v>45262</v>
      </c>
      <c r="J213" s="130">
        <f t="shared" si="24"/>
        <v>45247</v>
      </c>
      <c r="K213" s="263">
        <f t="shared" si="25"/>
        <v>15.5</v>
      </c>
      <c r="L213" s="35">
        <f t="shared" si="26"/>
        <v>0</v>
      </c>
      <c r="M213" s="35">
        <f t="shared" si="27"/>
        <v>0</v>
      </c>
      <c r="N213" s="35">
        <f t="shared" si="28"/>
        <v>15.5</v>
      </c>
      <c r="O213" s="35">
        <v>391.8</v>
      </c>
      <c r="P213" s="131">
        <v>64</v>
      </c>
      <c r="Q213" s="132">
        <f t="shared" si="29"/>
        <v>6.9145190273205181E-5</v>
      </c>
      <c r="R213" s="38">
        <f t="shared" si="30"/>
        <v>1.0717504492346803E-3</v>
      </c>
    </row>
    <row r="214" spans="1:18">
      <c r="A214" s="36">
        <f t="shared" si="31"/>
        <v>206</v>
      </c>
      <c r="B214" s="35" t="s">
        <v>886</v>
      </c>
      <c r="C214" s="130">
        <v>45390</v>
      </c>
      <c r="D214" s="287" t="s">
        <v>891</v>
      </c>
      <c r="E214" s="130">
        <v>45390</v>
      </c>
      <c r="F214" s="130" t="s">
        <v>670</v>
      </c>
      <c r="G214" s="130">
        <v>45390</v>
      </c>
      <c r="H214" s="130">
        <v>45353</v>
      </c>
      <c r="I214" s="130">
        <v>45384</v>
      </c>
      <c r="J214" s="130">
        <f t="shared" si="24"/>
        <v>45368.5</v>
      </c>
      <c r="K214" s="263">
        <f t="shared" si="25"/>
        <v>16</v>
      </c>
      <c r="L214" s="35">
        <f t="shared" si="26"/>
        <v>0</v>
      </c>
      <c r="M214" s="35">
        <f t="shared" si="27"/>
        <v>0</v>
      </c>
      <c r="N214" s="35">
        <f t="shared" si="28"/>
        <v>16</v>
      </c>
      <c r="O214" s="35">
        <v>415.3</v>
      </c>
      <c r="P214" s="131">
        <v>35.159999999999997</v>
      </c>
      <c r="Q214" s="132">
        <f t="shared" si="29"/>
        <v>3.798663890634209E-5</v>
      </c>
      <c r="R214" s="38">
        <f t="shared" si="30"/>
        <v>6.0778622250147343E-4</v>
      </c>
    </row>
    <row r="215" spans="1:18">
      <c r="A215" s="36">
        <f t="shared" si="31"/>
        <v>207</v>
      </c>
      <c r="B215" s="35" t="s">
        <v>886</v>
      </c>
      <c r="C215" s="130">
        <v>45469</v>
      </c>
      <c r="D215" s="287" t="s">
        <v>892</v>
      </c>
      <c r="E215" s="130">
        <v>45469</v>
      </c>
      <c r="F215" s="130" t="s">
        <v>670</v>
      </c>
      <c r="G215" s="130">
        <v>45469</v>
      </c>
      <c r="H215" s="130">
        <v>45425</v>
      </c>
      <c r="I215" s="130">
        <v>45456</v>
      </c>
      <c r="J215" s="130">
        <f t="shared" si="24"/>
        <v>45440.5</v>
      </c>
      <c r="K215" s="263">
        <f t="shared" si="25"/>
        <v>16</v>
      </c>
      <c r="L215" s="35">
        <f t="shared" si="26"/>
        <v>0</v>
      </c>
      <c r="M215" s="35">
        <f t="shared" si="27"/>
        <v>0</v>
      </c>
      <c r="N215" s="35">
        <f t="shared" si="28"/>
        <v>16</v>
      </c>
      <c r="O215" s="35">
        <v>62.35</v>
      </c>
      <c r="P215" s="131">
        <v>35.1</v>
      </c>
      <c r="Q215" s="132">
        <f t="shared" si="29"/>
        <v>3.7921815290460968E-5</v>
      </c>
      <c r="R215" s="38">
        <f t="shared" si="30"/>
        <v>6.0674904464737549E-4</v>
      </c>
    </row>
    <row r="216" spans="1:18">
      <c r="A216" s="36">
        <f t="shared" si="31"/>
        <v>208</v>
      </c>
      <c r="B216" s="35" t="s">
        <v>886</v>
      </c>
      <c r="C216" s="130">
        <v>45148</v>
      </c>
      <c r="D216" s="287" t="s">
        <v>893</v>
      </c>
      <c r="E216" s="130">
        <v>45148</v>
      </c>
      <c r="F216" s="130" t="s">
        <v>670</v>
      </c>
      <c r="G216" s="130">
        <v>45148</v>
      </c>
      <c r="H216" s="130">
        <v>45109</v>
      </c>
      <c r="I216" s="130">
        <v>45140</v>
      </c>
      <c r="J216" s="130">
        <f t="shared" si="24"/>
        <v>45124.5</v>
      </c>
      <c r="K216" s="263">
        <f t="shared" si="25"/>
        <v>16</v>
      </c>
      <c r="L216" s="35">
        <f t="shared" si="26"/>
        <v>0</v>
      </c>
      <c r="M216" s="35">
        <f t="shared" si="27"/>
        <v>0</v>
      </c>
      <c r="N216" s="35">
        <f t="shared" si="28"/>
        <v>16</v>
      </c>
      <c r="O216" s="35">
        <v>373.58</v>
      </c>
      <c r="P216" s="131">
        <v>35.06</v>
      </c>
      <c r="Q216" s="132">
        <f t="shared" si="29"/>
        <v>3.7878599546540214E-5</v>
      </c>
      <c r="R216" s="38">
        <f t="shared" si="30"/>
        <v>6.0605759274464342E-4</v>
      </c>
    </row>
    <row r="217" spans="1:18">
      <c r="A217" s="36">
        <f t="shared" si="31"/>
        <v>209</v>
      </c>
      <c r="B217" s="35" t="s">
        <v>886</v>
      </c>
      <c r="C217" s="130">
        <v>45426</v>
      </c>
      <c r="D217" s="287" t="s">
        <v>894</v>
      </c>
      <c r="E217" s="130">
        <v>45426</v>
      </c>
      <c r="F217" s="130" t="s">
        <v>670</v>
      </c>
      <c r="G217" s="130">
        <v>45426</v>
      </c>
      <c r="H217" s="130">
        <v>45384</v>
      </c>
      <c r="I217" s="130">
        <v>45414</v>
      </c>
      <c r="J217" s="130">
        <f t="shared" si="24"/>
        <v>45399</v>
      </c>
      <c r="K217" s="263">
        <f t="shared" si="25"/>
        <v>15.5</v>
      </c>
      <c r="L217" s="35">
        <f t="shared" si="26"/>
        <v>0</v>
      </c>
      <c r="M217" s="35">
        <f t="shared" si="27"/>
        <v>0</v>
      </c>
      <c r="N217" s="35">
        <f t="shared" si="28"/>
        <v>15.5</v>
      </c>
      <c r="O217" s="35">
        <v>229.04</v>
      </c>
      <c r="P217" s="131">
        <v>35.96</v>
      </c>
      <c r="Q217" s="132">
        <f t="shared" si="29"/>
        <v>3.8850953784757163E-5</v>
      </c>
      <c r="R217" s="38">
        <f t="shared" si="30"/>
        <v>6.0218978366373605E-4</v>
      </c>
    </row>
    <row r="218" spans="1:18">
      <c r="A218" s="36">
        <f t="shared" si="31"/>
        <v>210</v>
      </c>
      <c r="B218" s="35" t="s">
        <v>886</v>
      </c>
      <c r="C218" s="130">
        <v>45460</v>
      </c>
      <c r="D218" s="287" t="s">
        <v>895</v>
      </c>
      <c r="E218" s="130">
        <v>45460</v>
      </c>
      <c r="F218" s="130" t="s">
        <v>670</v>
      </c>
      <c r="G218" s="130">
        <v>45460</v>
      </c>
      <c r="H218" s="130">
        <v>45418</v>
      </c>
      <c r="I218" s="130">
        <v>45449</v>
      </c>
      <c r="J218" s="130">
        <f t="shared" si="24"/>
        <v>45433.5</v>
      </c>
      <c r="K218" s="263">
        <f t="shared" si="25"/>
        <v>16</v>
      </c>
      <c r="L218" s="35">
        <f t="shared" si="26"/>
        <v>0</v>
      </c>
      <c r="M218" s="35">
        <f t="shared" si="27"/>
        <v>0</v>
      </c>
      <c r="N218" s="35">
        <f t="shared" si="28"/>
        <v>16</v>
      </c>
      <c r="O218" s="35">
        <v>2660.95</v>
      </c>
      <c r="P218" s="131">
        <v>52.99</v>
      </c>
      <c r="Q218" s="132">
        <f t="shared" si="29"/>
        <v>5.7250056759017851E-5</v>
      </c>
      <c r="R218" s="38">
        <f t="shared" si="30"/>
        <v>9.1600090814428561E-4</v>
      </c>
    </row>
    <row r="219" spans="1:18">
      <c r="A219" s="36">
        <f t="shared" si="31"/>
        <v>211</v>
      </c>
      <c r="B219" s="35" t="s">
        <v>886</v>
      </c>
      <c r="C219" s="130">
        <v>45180</v>
      </c>
      <c r="D219" s="287" t="s">
        <v>896</v>
      </c>
      <c r="E219" s="130">
        <v>45180</v>
      </c>
      <c r="F219" s="130" t="s">
        <v>670</v>
      </c>
      <c r="G219" s="130">
        <v>45180</v>
      </c>
      <c r="H219" s="130">
        <v>45140</v>
      </c>
      <c r="I219" s="130">
        <v>45171</v>
      </c>
      <c r="J219" s="130">
        <f t="shared" si="24"/>
        <v>45155.5</v>
      </c>
      <c r="K219" s="263">
        <f t="shared" si="25"/>
        <v>16</v>
      </c>
      <c r="L219" s="35">
        <f t="shared" si="26"/>
        <v>0</v>
      </c>
      <c r="M219" s="35">
        <f t="shared" si="27"/>
        <v>0</v>
      </c>
      <c r="N219" s="35">
        <f t="shared" si="28"/>
        <v>16</v>
      </c>
      <c r="O219" s="35">
        <v>367.26</v>
      </c>
      <c r="P219" s="131">
        <v>29.78</v>
      </c>
      <c r="Q219" s="132">
        <f t="shared" si="29"/>
        <v>3.2174121349000788E-5</v>
      </c>
      <c r="R219" s="38">
        <f t="shared" si="30"/>
        <v>5.1478594158401261E-4</v>
      </c>
    </row>
    <row r="220" spans="1:18">
      <c r="A220" s="36">
        <f t="shared" si="31"/>
        <v>212</v>
      </c>
      <c r="B220" s="35" t="s">
        <v>886</v>
      </c>
      <c r="C220" s="130">
        <v>45282</v>
      </c>
      <c r="D220" s="287" t="s">
        <v>897</v>
      </c>
      <c r="E220" s="130">
        <v>45282</v>
      </c>
      <c r="F220" s="130" t="s">
        <v>670</v>
      </c>
      <c r="G220" s="130">
        <v>45282</v>
      </c>
      <c r="H220" s="130">
        <v>45246</v>
      </c>
      <c r="I220" s="130">
        <v>45276</v>
      </c>
      <c r="J220" s="130">
        <f t="shared" si="24"/>
        <v>45261</v>
      </c>
      <c r="K220" s="263">
        <f t="shared" si="25"/>
        <v>15.5</v>
      </c>
      <c r="L220" s="35">
        <f t="shared" si="26"/>
        <v>0</v>
      </c>
      <c r="M220" s="35">
        <f t="shared" si="27"/>
        <v>0</v>
      </c>
      <c r="N220" s="35">
        <f t="shared" si="28"/>
        <v>15.5</v>
      </c>
      <c r="O220" s="35">
        <v>57.24</v>
      </c>
      <c r="P220" s="131">
        <v>57.24</v>
      </c>
      <c r="Q220" s="132">
        <f t="shared" si="29"/>
        <v>6.1841729550597878E-5</v>
      </c>
      <c r="R220" s="38">
        <f t="shared" si="30"/>
        <v>9.5854680803426711E-4</v>
      </c>
    </row>
    <row r="221" spans="1:18">
      <c r="A221" s="36">
        <f t="shared" si="31"/>
        <v>213</v>
      </c>
      <c r="B221" s="35" t="s">
        <v>886</v>
      </c>
      <c r="C221" s="130">
        <v>45148</v>
      </c>
      <c r="D221" s="287" t="s">
        <v>898</v>
      </c>
      <c r="E221" s="130">
        <v>45148</v>
      </c>
      <c r="F221" s="130" t="s">
        <v>670</v>
      </c>
      <c r="G221" s="130">
        <v>45148</v>
      </c>
      <c r="H221" s="130">
        <v>45109</v>
      </c>
      <c r="I221" s="130">
        <v>45140</v>
      </c>
      <c r="J221" s="130">
        <f t="shared" si="24"/>
        <v>45124.5</v>
      </c>
      <c r="K221" s="263">
        <f t="shared" si="25"/>
        <v>16</v>
      </c>
      <c r="L221" s="35">
        <f t="shared" si="26"/>
        <v>0</v>
      </c>
      <c r="M221" s="35">
        <f t="shared" si="27"/>
        <v>0</v>
      </c>
      <c r="N221" s="35">
        <f t="shared" si="28"/>
        <v>16</v>
      </c>
      <c r="O221" s="35">
        <v>373.58</v>
      </c>
      <c r="P221" s="131">
        <v>29.64</v>
      </c>
      <c r="Q221" s="132">
        <f t="shared" si="29"/>
        <v>3.2022866245278151E-5</v>
      </c>
      <c r="R221" s="38">
        <f t="shared" si="30"/>
        <v>5.1236585992445042E-4</v>
      </c>
    </row>
    <row r="222" spans="1:18">
      <c r="A222" s="36">
        <f t="shared" si="31"/>
        <v>214</v>
      </c>
      <c r="B222" s="35" t="s">
        <v>886</v>
      </c>
      <c r="C222" s="130">
        <v>45247</v>
      </c>
      <c r="D222" s="287" t="s">
        <v>899</v>
      </c>
      <c r="E222" s="130">
        <v>45248</v>
      </c>
      <c r="F222" s="130" t="s">
        <v>670</v>
      </c>
      <c r="G222" s="130">
        <v>45248</v>
      </c>
      <c r="H222" s="130">
        <v>45210</v>
      </c>
      <c r="I222" s="130">
        <v>45241</v>
      </c>
      <c r="J222" s="130">
        <f t="shared" si="24"/>
        <v>45225.5</v>
      </c>
      <c r="K222" s="263">
        <f t="shared" si="25"/>
        <v>16</v>
      </c>
      <c r="L222" s="35">
        <f t="shared" si="26"/>
        <v>1</v>
      </c>
      <c r="M222" s="35">
        <f t="shared" si="27"/>
        <v>0</v>
      </c>
      <c r="N222" s="35">
        <f t="shared" si="28"/>
        <v>17</v>
      </c>
      <c r="O222" s="35">
        <v>27.56</v>
      </c>
      <c r="P222" s="131">
        <v>27.56</v>
      </c>
      <c r="Q222" s="132">
        <f t="shared" si="29"/>
        <v>2.9775647561398979E-5</v>
      </c>
      <c r="R222" s="38">
        <f t="shared" si="30"/>
        <v>5.0618600854378259E-4</v>
      </c>
    </row>
    <row r="223" spans="1:18">
      <c r="A223" s="36">
        <f t="shared" si="31"/>
        <v>215</v>
      </c>
      <c r="B223" s="35" t="s">
        <v>886</v>
      </c>
      <c r="C223" s="130">
        <v>45299</v>
      </c>
      <c r="D223" s="287" t="s">
        <v>900</v>
      </c>
      <c r="E223" s="130">
        <v>45300</v>
      </c>
      <c r="F223" s="130" t="s">
        <v>670</v>
      </c>
      <c r="G223" s="130">
        <v>45300</v>
      </c>
      <c r="H223" s="130">
        <v>45262</v>
      </c>
      <c r="I223" s="130">
        <v>45293</v>
      </c>
      <c r="J223" s="130">
        <f t="shared" si="24"/>
        <v>45277.5</v>
      </c>
      <c r="K223" s="263">
        <f t="shared" si="25"/>
        <v>16</v>
      </c>
      <c r="L223" s="35">
        <f t="shared" si="26"/>
        <v>1</v>
      </c>
      <c r="M223" s="35">
        <f t="shared" si="27"/>
        <v>0</v>
      </c>
      <c r="N223" s="35">
        <f t="shared" si="28"/>
        <v>17</v>
      </c>
      <c r="O223" s="35">
        <v>220.15</v>
      </c>
      <c r="P223" s="131">
        <v>95.37</v>
      </c>
      <c r="Q223" s="132">
        <f t="shared" si="29"/>
        <v>1.0303713744305592E-4</v>
      </c>
      <c r="R223" s="38">
        <f t="shared" si="30"/>
        <v>1.7516313365319505E-3</v>
      </c>
    </row>
    <row r="224" spans="1:18">
      <c r="A224" s="36">
        <f t="shared" si="31"/>
        <v>216</v>
      </c>
      <c r="B224" s="35" t="s">
        <v>886</v>
      </c>
      <c r="C224" s="130">
        <v>45369</v>
      </c>
      <c r="D224" s="287" t="s">
        <v>901</v>
      </c>
      <c r="E224" s="130">
        <v>45369</v>
      </c>
      <c r="F224" s="130" t="s">
        <v>670</v>
      </c>
      <c r="G224" s="130">
        <v>45369</v>
      </c>
      <c r="H224" s="130">
        <v>45328</v>
      </c>
      <c r="I224" s="130">
        <v>45357</v>
      </c>
      <c r="J224" s="130">
        <f t="shared" si="24"/>
        <v>45342.5</v>
      </c>
      <c r="K224" s="263">
        <f t="shared" si="25"/>
        <v>15</v>
      </c>
      <c r="L224" s="35">
        <f t="shared" si="26"/>
        <v>0</v>
      </c>
      <c r="M224" s="35">
        <f t="shared" si="27"/>
        <v>0</v>
      </c>
      <c r="N224" s="35">
        <f t="shared" si="28"/>
        <v>15</v>
      </c>
      <c r="O224" s="35">
        <v>1997.87</v>
      </c>
      <c r="P224" s="131">
        <v>25.18</v>
      </c>
      <c r="Q224" s="132">
        <f t="shared" si="29"/>
        <v>2.7204310798114162E-5</v>
      </c>
      <c r="R224" s="38">
        <f t="shared" si="30"/>
        <v>4.0806466197171245E-4</v>
      </c>
    </row>
    <row r="225" spans="1:18">
      <c r="A225" s="36">
        <f t="shared" si="31"/>
        <v>217</v>
      </c>
      <c r="B225" s="35" t="s">
        <v>886</v>
      </c>
      <c r="C225" s="130">
        <v>45341</v>
      </c>
      <c r="D225" s="287" t="s">
        <v>902</v>
      </c>
      <c r="E225" s="130">
        <v>45341</v>
      </c>
      <c r="F225" s="130" t="s">
        <v>670</v>
      </c>
      <c r="G225" s="130">
        <v>45341</v>
      </c>
      <c r="H225" s="130">
        <v>45302</v>
      </c>
      <c r="I225" s="130">
        <v>45333</v>
      </c>
      <c r="J225" s="130">
        <f t="shared" si="24"/>
        <v>45317.5</v>
      </c>
      <c r="K225" s="263">
        <f t="shared" si="25"/>
        <v>16</v>
      </c>
      <c r="L225" s="35">
        <f t="shared" si="26"/>
        <v>0</v>
      </c>
      <c r="M225" s="35">
        <f t="shared" si="27"/>
        <v>0</v>
      </c>
      <c r="N225" s="35">
        <f t="shared" si="28"/>
        <v>16</v>
      </c>
      <c r="O225" s="35">
        <v>28.16</v>
      </c>
      <c r="P225" s="131">
        <v>28.16</v>
      </c>
      <c r="Q225" s="132">
        <f t="shared" si="29"/>
        <v>3.0423883720210277E-5</v>
      </c>
      <c r="R225" s="38">
        <f t="shared" si="30"/>
        <v>4.8678213952336444E-4</v>
      </c>
    </row>
    <row r="226" spans="1:18">
      <c r="A226" s="36">
        <f t="shared" si="31"/>
        <v>218</v>
      </c>
      <c r="B226" s="35" t="s">
        <v>886</v>
      </c>
      <c r="C226" s="130">
        <v>45182</v>
      </c>
      <c r="D226" s="287" t="s">
        <v>903</v>
      </c>
      <c r="E226" s="130">
        <v>45182</v>
      </c>
      <c r="F226" s="130" t="s">
        <v>670</v>
      </c>
      <c r="G226" s="130">
        <v>45182</v>
      </c>
      <c r="H226" s="130">
        <v>45144</v>
      </c>
      <c r="I226" s="130">
        <v>45175</v>
      </c>
      <c r="J226" s="130">
        <f t="shared" si="24"/>
        <v>45159.5</v>
      </c>
      <c r="K226" s="263">
        <f t="shared" si="25"/>
        <v>16</v>
      </c>
      <c r="L226" s="35">
        <f t="shared" si="26"/>
        <v>0</v>
      </c>
      <c r="M226" s="35">
        <f t="shared" si="27"/>
        <v>0</v>
      </c>
      <c r="N226" s="35">
        <f t="shared" si="28"/>
        <v>16</v>
      </c>
      <c r="O226" s="35">
        <v>274.83999999999997</v>
      </c>
      <c r="P226" s="131">
        <v>25.3</v>
      </c>
      <c r="Q226" s="132">
        <f t="shared" si="29"/>
        <v>2.7333958029876422E-5</v>
      </c>
      <c r="R226" s="38">
        <f t="shared" si="30"/>
        <v>4.3734332847802275E-4</v>
      </c>
    </row>
    <row r="227" spans="1:18">
      <c r="A227" s="36">
        <f t="shared" si="31"/>
        <v>219</v>
      </c>
      <c r="B227" s="35" t="s">
        <v>886</v>
      </c>
      <c r="C227" s="130">
        <v>45131</v>
      </c>
      <c r="D227" s="287" t="s">
        <v>904</v>
      </c>
      <c r="E227" s="130">
        <v>45131</v>
      </c>
      <c r="F227" s="130" t="s">
        <v>670</v>
      </c>
      <c r="G227" s="130">
        <v>45131</v>
      </c>
      <c r="H227" s="130">
        <v>45093</v>
      </c>
      <c r="I227" s="130">
        <v>45123</v>
      </c>
      <c r="J227" s="130">
        <f t="shared" si="24"/>
        <v>45108</v>
      </c>
      <c r="K227" s="263">
        <f t="shared" si="25"/>
        <v>15.5</v>
      </c>
      <c r="L227" s="35">
        <f t="shared" si="26"/>
        <v>0</v>
      </c>
      <c r="M227" s="35">
        <f t="shared" si="27"/>
        <v>0</v>
      </c>
      <c r="N227" s="35">
        <f t="shared" si="28"/>
        <v>15.5</v>
      </c>
      <c r="O227" s="35">
        <v>210.87</v>
      </c>
      <c r="P227" s="131">
        <v>92.9</v>
      </c>
      <c r="Q227" s="132">
        <f t="shared" si="29"/>
        <v>1.003685652559494E-4</v>
      </c>
      <c r="R227" s="38">
        <f t="shared" si="30"/>
        <v>1.5557127614672158E-3</v>
      </c>
    </row>
    <row r="228" spans="1:18">
      <c r="A228" s="36">
        <f t="shared" si="31"/>
        <v>220</v>
      </c>
      <c r="B228" s="35" t="s">
        <v>886</v>
      </c>
      <c r="C228" s="130">
        <v>45212</v>
      </c>
      <c r="D228" s="287" t="s">
        <v>905</v>
      </c>
      <c r="E228" s="130">
        <v>45216</v>
      </c>
      <c r="F228" s="130" t="s">
        <v>670</v>
      </c>
      <c r="G228" s="130">
        <v>45216</v>
      </c>
      <c r="H228" s="130">
        <v>45175</v>
      </c>
      <c r="I228" s="130">
        <v>45205</v>
      </c>
      <c r="J228" s="130">
        <f t="shared" si="24"/>
        <v>45190</v>
      </c>
      <c r="K228" s="263">
        <f t="shared" si="25"/>
        <v>15.5</v>
      </c>
      <c r="L228" s="35">
        <f t="shared" si="26"/>
        <v>4</v>
      </c>
      <c r="M228" s="35">
        <f t="shared" si="27"/>
        <v>0</v>
      </c>
      <c r="N228" s="35">
        <f t="shared" si="28"/>
        <v>19.5</v>
      </c>
      <c r="O228" s="35">
        <v>2242.2800000000002</v>
      </c>
      <c r="P228" s="131">
        <v>72.12</v>
      </c>
      <c r="Q228" s="132">
        <f t="shared" si="29"/>
        <v>7.7917986289118091E-5</v>
      </c>
      <c r="R228" s="38">
        <f t="shared" si="30"/>
        <v>1.5194007326378028E-3</v>
      </c>
    </row>
    <row r="229" spans="1:18">
      <c r="A229" s="36">
        <f t="shared" si="31"/>
        <v>221</v>
      </c>
      <c r="B229" s="35" t="s">
        <v>906</v>
      </c>
      <c r="C229" s="130">
        <v>45331</v>
      </c>
      <c r="D229" s="287" t="s">
        <v>907</v>
      </c>
      <c r="E229" s="130">
        <v>45356</v>
      </c>
      <c r="F229" s="130" t="s">
        <v>670</v>
      </c>
      <c r="G229" s="130">
        <v>45356</v>
      </c>
      <c r="H229" s="130">
        <v>45327</v>
      </c>
      <c r="I229" s="130">
        <v>45327</v>
      </c>
      <c r="J229" s="130">
        <f t="shared" si="24"/>
        <v>45327</v>
      </c>
      <c r="K229" s="263">
        <f t="shared" si="25"/>
        <v>0.5</v>
      </c>
      <c r="L229" s="35">
        <f t="shared" si="26"/>
        <v>25</v>
      </c>
      <c r="M229" s="35">
        <f t="shared" si="27"/>
        <v>0</v>
      </c>
      <c r="N229" s="35">
        <f t="shared" si="28"/>
        <v>25.5</v>
      </c>
      <c r="O229" s="35">
        <v>926.94</v>
      </c>
      <c r="P229" s="131">
        <v>6826.47</v>
      </c>
      <c r="Q229" s="132">
        <f t="shared" si="29"/>
        <v>7.3752744850676087E-3</v>
      </c>
      <c r="R229" s="38">
        <f t="shared" si="30"/>
        <v>0.18806949936922401</v>
      </c>
    </row>
    <row r="230" spans="1:18">
      <c r="A230" s="36">
        <f t="shared" si="31"/>
        <v>222</v>
      </c>
      <c r="B230" s="35" t="s">
        <v>908</v>
      </c>
      <c r="C230" s="130">
        <v>45177</v>
      </c>
      <c r="D230" s="287" t="s">
        <v>909</v>
      </c>
      <c r="E230" s="130">
        <v>45210</v>
      </c>
      <c r="F230" s="130" t="s">
        <v>668</v>
      </c>
      <c r="G230" s="130">
        <v>45217</v>
      </c>
      <c r="H230" s="130">
        <v>45177</v>
      </c>
      <c r="I230" s="130">
        <v>45177</v>
      </c>
      <c r="J230" s="130">
        <f t="shared" si="24"/>
        <v>45177</v>
      </c>
      <c r="K230" s="263">
        <f t="shared" si="25"/>
        <v>0.5</v>
      </c>
      <c r="L230" s="35">
        <f t="shared" si="26"/>
        <v>33</v>
      </c>
      <c r="M230" s="35">
        <f t="shared" si="27"/>
        <v>7</v>
      </c>
      <c r="N230" s="35">
        <f t="shared" si="28"/>
        <v>40.5</v>
      </c>
      <c r="O230" s="35">
        <v>1277.1300000000001</v>
      </c>
      <c r="P230" s="131">
        <v>1245.3</v>
      </c>
      <c r="Q230" s="132">
        <f t="shared" si="29"/>
        <v>1.3454141476128502E-3</v>
      </c>
      <c r="R230" s="38">
        <f t="shared" si="30"/>
        <v>5.448927297832043E-2</v>
      </c>
    </row>
    <row r="231" spans="1:18">
      <c r="A231" s="36">
        <f t="shared" si="31"/>
        <v>223</v>
      </c>
      <c r="B231" s="35" t="s">
        <v>908</v>
      </c>
      <c r="C231" s="130">
        <v>45139</v>
      </c>
      <c r="D231" s="287" t="s">
        <v>910</v>
      </c>
      <c r="E231" s="130">
        <v>45166</v>
      </c>
      <c r="F231" s="130" t="s">
        <v>671</v>
      </c>
      <c r="G231" s="130">
        <v>45166</v>
      </c>
      <c r="H231" s="130">
        <v>45139</v>
      </c>
      <c r="I231" s="130">
        <v>45169</v>
      </c>
      <c r="J231" s="130">
        <f t="shared" si="24"/>
        <v>45154</v>
      </c>
      <c r="K231" s="263">
        <f t="shared" si="25"/>
        <v>15.5</v>
      </c>
      <c r="L231" s="35">
        <f t="shared" si="26"/>
        <v>27</v>
      </c>
      <c r="M231" s="35">
        <f t="shared" si="27"/>
        <v>0</v>
      </c>
      <c r="N231" s="35">
        <f t="shared" si="28"/>
        <v>42.5</v>
      </c>
      <c r="O231" s="35">
        <v>31.83</v>
      </c>
      <c r="P231" s="131">
        <v>31.83</v>
      </c>
      <c r="Q231" s="132">
        <f t="shared" si="29"/>
        <v>3.4388928224939386E-5</v>
      </c>
      <c r="R231" s="38">
        <f t="shared" si="30"/>
        <v>1.4615294495599238E-3</v>
      </c>
    </row>
    <row r="232" spans="1:18">
      <c r="A232" s="36">
        <f t="shared" si="31"/>
        <v>224</v>
      </c>
      <c r="B232" s="35" t="s">
        <v>911</v>
      </c>
      <c r="C232" s="130">
        <v>45274</v>
      </c>
      <c r="D232" s="287" t="s">
        <v>912</v>
      </c>
      <c r="E232" s="130">
        <v>45275</v>
      </c>
      <c r="F232" s="130" t="s">
        <v>670</v>
      </c>
      <c r="G232" s="130">
        <v>45275</v>
      </c>
      <c r="H232" s="130">
        <v>45201</v>
      </c>
      <c r="I232" s="130">
        <v>45229</v>
      </c>
      <c r="J232" s="130">
        <f t="shared" si="24"/>
        <v>45215</v>
      </c>
      <c r="K232" s="263">
        <f t="shared" si="25"/>
        <v>14.5</v>
      </c>
      <c r="L232" s="35">
        <f t="shared" si="26"/>
        <v>1</v>
      </c>
      <c r="M232" s="35">
        <f t="shared" si="27"/>
        <v>0</v>
      </c>
      <c r="N232" s="35">
        <f t="shared" si="28"/>
        <v>15.5</v>
      </c>
      <c r="O232" s="35">
        <v>3746.02</v>
      </c>
      <c r="P232" s="131">
        <v>32.82</v>
      </c>
      <c r="Q232" s="132">
        <f t="shared" si="29"/>
        <v>3.5458517886978031E-5</v>
      </c>
      <c r="R232" s="38">
        <f t="shared" si="30"/>
        <v>5.4960702724815948E-4</v>
      </c>
    </row>
    <row r="233" spans="1:18">
      <c r="A233" s="36">
        <f t="shared" si="31"/>
        <v>225</v>
      </c>
      <c r="B233" s="35" t="s">
        <v>911</v>
      </c>
      <c r="C233" s="130">
        <v>45322</v>
      </c>
      <c r="D233" s="287" t="s">
        <v>913</v>
      </c>
      <c r="E233" s="130">
        <v>45322</v>
      </c>
      <c r="F233" s="130" t="s">
        <v>670</v>
      </c>
      <c r="G233" s="130">
        <v>45322</v>
      </c>
      <c r="H233" s="130">
        <v>45287</v>
      </c>
      <c r="I233" s="130">
        <v>45318</v>
      </c>
      <c r="J233" s="130">
        <f t="shared" si="24"/>
        <v>45302.5</v>
      </c>
      <c r="K233" s="263">
        <f t="shared" si="25"/>
        <v>16</v>
      </c>
      <c r="L233" s="35">
        <f t="shared" si="26"/>
        <v>0</v>
      </c>
      <c r="M233" s="35">
        <f t="shared" si="27"/>
        <v>0</v>
      </c>
      <c r="N233" s="35">
        <f t="shared" si="28"/>
        <v>16</v>
      </c>
      <c r="O233" s="35">
        <v>4539.2</v>
      </c>
      <c r="P233" s="131">
        <v>42.96</v>
      </c>
      <c r="Q233" s="132">
        <f t="shared" si="29"/>
        <v>4.6413708970888979E-5</v>
      </c>
      <c r="R233" s="38">
        <f t="shared" si="30"/>
        <v>7.4261934353422366E-4</v>
      </c>
    </row>
    <row r="234" spans="1:18">
      <c r="A234" s="36">
        <f t="shared" si="31"/>
        <v>226</v>
      </c>
      <c r="B234" s="35" t="s">
        <v>911</v>
      </c>
      <c r="C234" s="130">
        <v>45322</v>
      </c>
      <c r="D234" s="287" t="s">
        <v>914</v>
      </c>
      <c r="E234" s="130">
        <v>45322</v>
      </c>
      <c r="F234" s="130" t="s">
        <v>670</v>
      </c>
      <c r="G234" s="130">
        <v>45322</v>
      </c>
      <c r="H234" s="130">
        <v>45287</v>
      </c>
      <c r="I234" s="130">
        <v>45318</v>
      </c>
      <c r="J234" s="130">
        <f t="shared" si="24"/>
        <v>45302.5</v>
      </c>
      <c r="K234" s="263">
        <f t="shared" si="25"/>
        <v>16</v>
      </c>
      <c r="L234" s="35">
        <f t="shared" si="26"/>
        <v>0</v>
      </c>
      <c r="M234" s="35">
        <f t="shared" si="27"/>
        <v>0</v>
      </c>
      <c r="N234" s="35">
        <f t="shared" si="28"/>
        <v>16</v>
      </c>
      <c r="O234" s="35">
        <v>4539.2</v>
      </c>
      <c r="P234" s="131">
        <v>37.06</v>
      </c>
      <c r="Q234" s="132">
        <f t="shared" si="29"/>
        <v>4.0039386742577877E-5</v>
      </c>
      <c r="R234" s="38">
        <f t="shared" si="30"/>
        <v>6.4063018788124604E-4</v>
      </c>
    </row>
    <row r="235" spans="1:18">
      <c r="A235" s="36">
        <f t="shared" si="31"/>
        <v>227</v>
      </c>
      <c r="B235" s="35" t="s">
        <v>911</v>
      </c>
      <c r="C235" s="130">
        <v>45322</v>
      </c>
      <c r="D235" s="287" t="s">
        <v>915</v>
      </c>
      <c r="E235" s="130">
        <v>45322</v>
      </c>
      <c r="F235" s="130" t="s">
        <v>670</v>
      </c>
      <c r="G235" s="130">
        <v>45322</v>
      </c>
      <c r="H235" s="130">
        <v>45287</v>
      </c>
      <c r="I235" s="130">
        <v>45318</v>
      </c>
      <c r="J235" s="130">
        <f t="shared" si="24"/>
        <v>45302.5</v>
      </c>
      <c r="K235" s="263">
        <f t="shared" si="25"/>
        <v>16</v>
      </c>
      <c r="L235" s="35">
        <f t="shared" si="26"/>
        <v>0</v>
      </c>
      <c r="M235" s="35">
        <f t="shared" si="27"/>
        <v>0</v>
      </c>
      <c r="N235" s="35">
        <f t="shared" si="28"/>
        <v>16</v>
      </c>
      <c r="O235" s="35">
        <v>4539.2</v>
      </c>
      <c r="P235" s="131">
        <v>41.59</v>
      </c>
      <c r="Q235" s="132">
        <f t="shared" si="29"/>
        <v>4.4933569741603178E-5</v>
      </c>
      <c r="R235" s="38">
        <f t="shared" si="30"/>
        <v>7.1893711586565085E-4</v>
      </c>
    </row>
    <row r="236" spans="1:18">
      <c r="A236" s="36">
        <f t="shared" si="31"/>
        <v>228</v>
      </c>
      <c r="B236" s="35" t="s">
        <v>911</v>
      </c>
      <c r="C236" s="130">
        <v>45334</v>
      </c>
      <c r="D236" s="287" t="s">
        <v>916</v>
      </c>
      <c r="E236" s="130">
        <v>45334</v>
      </c>
      <c r="F236" s="130" t="s">
        <v>670</v>
      </c>
      <c r="G236" s="130">
        <v>45334</v>
      </c>
      <c r="H236" s="130">
        <v>45302</v>
      </c>
      <c r="I236" s="130">
        <v>45331</v>
      </c>
      <c r="J236" s="130">
        <f t="shared" si="24"/>
        <v>45316.5</v>
      </c>
      <c r="K236" s="263">
        <f t="shared" si="25"/>
        <v>15</v>
      </c>
      <c r="L236" s="35">
        <f t="shared" si="26"/>
        <v>0</v>
      </c>
      <c r="M236" s="35">
        <f t="shared" si="27"/>
        <v>0</v>
      </c>
      <c r="N236" s="35">
        <f t="shared" si="28"/>
        <v>15</v>
      </c>
      <c r="O236" s="35">
        <v>147.32</v>
      </c>
      <c r="P236" s="131">
        <v>50.33</v>
      </c>
      <c r="Q236" s="132">
        <f t="shared" si="29"/>
        <v>5.4376209788287757E-5</v>
      </c>
      <c r="R236" s="38">
        <f t="shared" si="30"/>
        <v>8.1564314682431639E-4</v>
      </c>
    </row>
    <row r="237" spans="1:18">
      <c r="A237" s="36">
        <f t="shared" si="31"/>
        <v>229</v>
      </c>
      <c r="B237" s="35" t="s">
        <v>911</v>
      </c>
      <c r="C237" s="130">
        <v>45351</v>
      </c>
      <c r="D237" s="287" t="s">
        <v>917</v>
      </c>
      <c r="E237" s="130">
        <v>45351</v>
      </c>
      <c r="F237" s="130" t="s">
        <v>670</v>
      </c>
      <c r="G237" s="130">
        <v>45351</v>
      </c>
      <c r="H237" s="130">
        <v>45321</v>
      </c>
      <c r="I237" s="130">
        <v>45350</v>
      </c>
      <c r="J237" s="130">
        <f t="shared" si="24"/>
        <v>45335.5</v>
      </c>
      <c r="K237" s="263">
        <f t="shared" si="25"/>
        <v>15</v>
      </c>
      <c r="L237" s="35">
        <f t="shared" si="26"/>
        <v>0</v>
      </c>
      <c r="M237" s="35">
        <f t="shared" si="27"/>
        <v>0</v>
      </c>
      <c r="N237" s="35">
        <f t="shared" si="28"/>
        <v>15</v>
      </c>
      <c r="O237" s="35">
        <v>154.81</v>
      </c>
      <c r="P237" s="131">
        <v>46.07</v>
      </c>
      <c r="Q237" s="132">
        <f t="shared" si="29"/>
        <v>4.9773733060727537E-5</v>
      </c>
      <c r="R237" s="38">
        <f t="shared" si="30"/>
        <v>7.466059959109131E-4</v>
      </c>
    </row>
    <row r="238" spans="1:18">
      <c r="A238" s="36">
        <f t="shared" si="31"/>
        <v>230</v>
      </c>
      <c r="B238" s="35" t="s">
        <v>911</v>
      </c>
      <c r="C238" s="130">
        <v>45393</v>
      </c>
      <c r="D238" s="287" t="s">
        <v>918</v>
      </c>
      <c r="E238" s="130">
        <v>45393</v>
      </c>
      <c r="F238" s="130" t="s">
        <v>670</v>
      </c>
      <c r="G238" s="130">
        <v>45393</v>
      </c>
      <c r="H238" s="130">
        <v>45290</v>
      </c>
      <c r="I238" s="130">
        <v>45321</v>
      </c>
      <c r="J238" s="130">
        <f t="shared" si="24"/>
        <v>45305.5</v>
      </c>
      <c r="K238" s="263">
        <f t="shared" si="25"/>
        <v>16</v>
      </c>
      <c r="L238" s="35">
        <f t="shared" si="26"/>
        <v>0</v>
      </c>
      <c r="M238" s="35">
        <f t="shared" si="27"/>
        <v>0</v>
      </c>
      <c r="N238" s="35">
        <f t="shared" si="28"/>
        <v>16</v>
      </c>
      <c r="O238" s="35">
        <v>1961.53</v>
      </c>
      <c r="P238" s="131">
        <v>39.950000000000003</v>
      </c>
      <c r="Q238" s="132">
        <f t="shared" si="29"/>
        <v>4.3161724240852297E-5</v>
      </c>
      <c r="R238" s="38">
        <f t="shared" si="30"/>
        <v>6.9058758785363675E-4</v>
      </c>
    </row>
    <row r="239" spans="1:18">
      <c r="A239" s="36">
        <f t="shared" si="31"/>
        <v>231</v>
      </c>
      <c r="B239" s="35" t="s">
        <v>911</v>
      </c>
      <c r="C239" s="130">
        <v>45400</v>
      </c>
      <c r="D239" s="287" t="s">
        <v>919</v>
      </c>
      <c r="E239" s="130">
        <v>45400</v>
      </c>
      <c r="F239" s="130" t="s">
        <v>670</v>
      </c>
      <c r="G239" s="130">
        <v>45400</v>
      </c>
      <c r="H239" s="130">
        <v>45370</v>
      </c>
      <c r="I239" s="130">
        <v>45399</v>
      </c>
      <c r="J239" s="130">
        <f t="shared" si="24"/>
        <v>45384.5</v>
      </c>
      <c r="K239" s="263">
        <f t="shared" si="25"/>
        <v>15</v>
      </c>
      <c r="L239" s="35">
        <f t="shared" si="26"/>
        <v>0</v>
      </c>
      <c r="M239" s="35">
        <f t="shared" si="27"/>
        <v>0</v>
      </c>
      <c r="N239" s="35">
        <f t="shared" si="28"/>
        <v>15</v>
      </c>
      <c r="O239" s="35">
        <v>12.24</v>
      </c>
      <c r="P239" s="131">
        <v>12.24</v>
      </c>
      <c r="Q239" s="132">
        <f t="shared" si="29"/>
        <v>1.3224017639750491E-5</v>
      </c>
      <c r="R239" s="38">
        <f t="shared" si="30"/>
        <v>1.9836026459625736E-4</v>
      </c>
    </row>
    <row r="240" spans="1:18">
      <c r="A240" s="36">
        <f t="shared" si="31"/>
        <v>232</v>
      </c>
      <c r="B240" s="35" t="s">
        <v>911</v>
      </c>
      <c r="C240" s="130">
        <v>45427</v>
      </c>
      <c r="D240" s="287" t="s">
        <v>920</v>
      </c>
      <c r="E240" s="130">
        <v>45427</v>
      </c>
      <c r="F240" s="130" t="s">
        <v>670</v>
      </c>
      <c r="G240" s="130">
        <v>45427</v>
      </c>
      <c r="H240" s="130">
        <v>45370</v>
      </c>
      <c r="I240" s="130">
        <v>45401</v>
      </c>
      <c r="J240" s="130">
        <f t="shared" si="24"/>
        <v>45385.5</v>
      </c>
      <c r="K240" s="263">
        <f t="shared" si="25"/>
        <v>16</v>
      </c>
      <c r="L240" s="35">
        <f t="shared" si="26"/>
        <v>0</v>
      </c>
      <c r="M240" s="35">
        <f t="shared" si="27"/>
        <v>0</v>
      </c>
      <c r="N240" s="35">
        <f t="shared" si="28"/>
        <v>16</v>
      </c>
      <c r="O240" s="35">
        <v>4619.0200000000004</v>
      </c>
      <c r="P240" s="131">
        <v>46.62</v>
      </c>
      <c r="Q240" s="132">
        <f t="shared" si="29"/>
        <v>5.0367949539637898E-5</v>
      </c>
      <c r="R240" s="38">
        <f t="shared" si="30"/>
        <v>8.0588719263420636E-4</v>
      </c>
    </row>
    <row r="241" spans="1:18">
      <c r="A241" s="36">
        <f t="shared" si="31"/>
        <v>233</v>
      </c>
      <c r="B241" s="35" t="s">
        <v>911</v>
      </c>
      <c r="C241" s="130">
        <v>45427</v>
      </c>
      <c r="D241" s="287" t="s">
        <v>921</v>
      </c>
      <c r="E241" s="130">
        <v>45427</v>
      </c>
      <c r="F241" s="130" t="s">
        <v>670</v>
      </c>
      <c r="G241" s="130">
        <v>45427</v>
      </c>
      <c r="H241" s="130">
        <v>45370</v>
      </c>
      <c r="I241" s="130">
        <v>45401</v>
      </c>
      <c r="J241" s="130">
        <f t="shared" si="24"/>
        <v>45385.5</v>
      </c>
      <c r="K241" s="263">
        <f t="shared" si="25"/>
        <v>16</v>
      </c>
      <c r="L241" s="35">
        <f t="shared" si="26"/>
        <v>0</v>
      </c>
      <c r="M241" s="35">
        <f t="shared" si="27"/>
        <v>0</v>
      </c>
      <c r="N241" s="35">
        <f t="shared" si="28"/>
        <v>16</v>
      </c>
      <c r="O241" s="35">
        <v>4619.0200000000004</v>
      </c>
      <c r="P241" s="131">
        <v>37.29</v>
      </c>
      <c r="Q241" s="132">
        <f t="shared" si="29"/>
        <v>4.0287877270122203E-5</v>
      </c>
      <c r="R241" s="38">
        <f t="shared" si="30"/>
        <v>6.4460603632195525E-4</v>
      </c>
    </row>
    <row r="242" spans="1:18">
      <c r="A242" s="36">
        <f t="shared" si="31"/>
        <v>234</v>
      </c>
      <c r="B242" s="35" t="s">
        <v>911</v>
      </c>
      <c r="C242" s="130">
        <v>45159</v>
      </c>
      <c r="D242" s="287" t="s">
        <v>922</v>
      </c>
      <c r="E242" s="130">
        <v>45159</v>
      </c>
      <c r="F242" s="130" t="s">
        <v>670</v>
      </c>
      <c r="G242" s="130">
        <v>45159</v>
      </c>
      <c r="H242" s="130">
        <v>45105</v>
      </c>
      <c r="I242" s="130">
        <v>45135</v>
      </c>
      <c r="J242" s="130">
        <f t="shared" si="24"/>
        <v>45120</v>
      </c>
      <c r="K242" s="263">
        <f t="shared" si="25"/>
        <v>15.5</v>
      </c>
      <c r="L242" s="35">
        <f t="shared" si="26"/>
        <v>0</v>
      </c>
      <c r="M242" s="35">
        <f t="shared" si="27"/>
        <v>0</v>
      </c>
      <c r="N242" s="35">
        <f t="shared" si="28"/>
        <v>15.5</v>
      </c>
      <c r="O242" s="35">
        <v>3737.18</v>
      </c>
      <c r="P242" s="131">
        <v>40.61</v>
      </c>
      <c r="Q242" s="132">
        <f t="shared" si="29"/>
        <v>4.387478401554472E-5</v>
      </c>
      <c r="R242" s="38">
        <f t="shared" si="30"/>
        <v>6.8005915224094316E-4</v>
      </c>
    </row>
    <row r="243" spans="1:18">
      <c r="A243" s="36">
        <f t="shared" si="31"/>
        <v>235</v>
      </c>
      <c r="B243" s="35" t="s">
        <v>911</v>
      </c>
      <c r="C243" s="130">
        <v>45427</v>
      </c>
      <c r="D243" s="287" t="s">
        <v>923</v>
      </c>
      <c r="E243" s="130">
        <v>45427</v>
      </c>
      <c r="F243" s="130" t="s">
        <v>670</v>
      </c>
      <c r="G243" s="130">
        <v>45427</v>
      </c>
      <c r="H243" s="130">
        <v>45370</v>
      </c>
      <c r="I243" s="130">
        <v>45401</v>
      </c>
      <c r="J243" s="130">
        <f t="shared" si="24"/>
        <v>45385.5</v>
      </c>
      <c r="K243" s="263">
        <f t="shared" si="25"/>
        <v>16</v>
      </c>
      <c r="L243" s="35">
        <f t="shared" si="26"/>
        <v>0</v>
      </c>
      <c r="M243" s="35">
        <f t="shared" si="27"/>
        <v>0</v>
      </c>
      <c r="N243" s="35">
        <f t="shared" si="28"/>
        <v>16</v>
      </c>
      <c r="O243" s="35">
        <v>4619.0200000000004</v>
      </c>
      <c r="P243" s="131">
        <v>40.72</v>
      </c>
      <c r="Q243" s="132">
        <f t="shared" si="29"/>
        <v>4.3993627311326796E-5</v>
      </c>
      <c r="R243" s="38">
        <f t="shared" si="30"/>
        <v>7.0389803698122874E-4</v>
      </c>
    </row>
    <row r="244" spans="1:18">
      <c r="A244" s="36">
        <f t="shared" si="31"/>
        <v>236</v>
      </c>
      <c r="B244" s="35" t="s">
        <v>911</v>
      </c>
      <c r="C244" s="130">
        <v>45429</v>
      </c>
      <c r="D244" s="287" t="s">
        <v>924</v>
      </c>
      <c r="E244" s="130">
        <v>45431</v>
      </c>
      <c r="F244" s="130" t="s">
        <v>670</v>
      </c>
      <c r="G244" s="130">
        <v>45431</v>
      </c>
      <c r="H244" s="130">
        <v>45372</v>
      </c>
      <c r="I244" s="130">
        <v>45403</v>
      </c>
      <c r="J244" s="130">
        <f t="shared" si="24"/>
        <v>45387.5</v>
      </c>
      <c r="K244" s="263">
        <f t="shared" si="25"/>
        <v>16</v>
      </c>
      <c r="L244" s="35">
        <f t="shared" si="26"/>
        <v>2</v>
      </c>
      <c r="M244" s="35">
        <f t="shared" si="27"/>
        <v>0</v>
      </c>
      <c r="N244" s="35">
        <f t="shared" si="28"/>
        <v>18</v>
      </c>
      <c r="O244" s="35">
        <v>845.67</v>
      </c>
      <c r="P244" s="131">
        <v>57.15</v>
      </c>
      <c r="Q244" s="132">
        <f t="shared" si="29"/>
        <v>6.1744494126776182E-5</v>
      </c>
      <c r="R244" s="38">
        <f t="shared" si="30"/>
        <v>1.1114008942819712E-3</v>
      </c>
    </row>
    <row r="245" spans="1:18">
      <c r="A245" s="36">
        <f t="shared" si="31"/>
        <v>237</v>
      </c>
      <c r="B245" s="35" t="s">
        <v>911</v>
      </c>
      <c r="C245" s="130">
        <v>45124</v>
      </c>
      <c r="D245" s="287" t="s">
        <v>925</v>
      </c>
      <c r="E245" s="130">
        <v>45124</v>
      </c>
      <c r="F245" s="130" t="s">
        <v>670</v>
      </c>
      <c r="G245" s="130">
        <v>45124</v>
      </c>
      <c r="H245" s="130">
        <v>45092</v>
      </c>
      <c r="I245" s="130">
        <v>45121</v>
      </c>
      <c r="J245" s="130">
        <f t="shared" si="24"/>
        <v>45106.5</v>
      </c>
      <c r="K245" s="263">
        <f t="shared" si="25"/>
        <v>15</v>
      </c>
      <c r="L245" s="35">
        <f t="shared" si="26"/>
        <v>0</v>
      </c>
      <c r="M245" s="35">
        <f t="shared" si="27"/>
        <v>0</v>
      </c>
      <c r="N245" s="35">
        <f t="shared" si="28"/>
        <v>15</v>
      </c>
      <c r="O245" s="35">
        <v>491.26</v>
      </c>
      <c r="P245" s="131">
        <v>49.48</v>
      </c>
      <c r="Q245" s="132">
        <f t="shared" si="29"/>
        <v>5.3457875229971749E-5</v>
      </c>
      <c r="R245" s="38">
        <f t="shared" si="30"/>
        <v>8.0186812844957624E-4</v>
      </c>
    </row>
    <row r="246" spans="1:18">
      <c r="A246" s="36">
        <f t="shared" si="31"/>
        <v>238</v>
      </c>
      <c r="B246" s="35" t="s">
        <v>911</v>
      </c>
      <c r="C246" s="130">
        <v>45440</v>
      </c>
      <c r="D246" s="287" t="s">
        <v>926</v>
      </c>
      <c r="E246" s="130">
        <v>45440</v>
      </c>
      <c r="F246" s="130" t="s">
        <v>670</v>
      </c>
      <c r="G246" s="130">
        <v>45440</v>
      </c>
      <c r="H246" s="130">
        <v>45407</v>
      </c>
      <c r="I246" s="130">
        <v>45436</v>
      </c>
      <c r="J246" s="130">
        <f t="shared" si="24"/>
        <v>45421.5</v>
      </c>
      <c r="K246" s="263">
        <f t="shared" si="25"/>
        <v>15</v>
      </c>
      <c r="L246" s="35">
        <f t="shared" si="26"/>
        <v>0</v>
      </c>
      <c r="M246" s="35">
        <f t="shared" si="27"/>
        <v>0</v>
      </c>
      <c r="N246" s="35">
        <f t="shared" si="28"/>
        <v>15</v>
      </c>
      <c r="O246" s="35">
        <v>279.95999999999998</v>
      </c>
      <c r="P246" s="131">
        <v>176.08</v>
      </c>
      <c r="Q246" s="132">
        <f t="shared" si="29"/>
        <v>1.9023570473915576E-4</v>
      </c>
      <c r="R246" s="38">
        <f t="shared" si="30"/>
        <v>2.8535355710873362E-3</v>
      </c>
    </row>
    <row r="247" spans="1:18">
      <c r="A247" s="36">
        <f t="shared" si="31"/>
        <v>239</v>
      </c>
      <c r="B247" s="35" t="s">
        <v>911</v>
      </c>
      <c r="C247" s="130">
        <v>45442</v>
      </c>
      <c r="D247" s="287" t="s">
        <v>927</v>
      </c>
      <c r="E247" s="130">
        <v>45442</v>
      </c>
      <c r="F247" s="130" t="s">
        <v>670</v>
      </c>
      <c r="G247" s="130">
        <v>45442</v>
      </c>
      <c r="H247" s="130">
        <v>45409</v>
      </c>
      <c r="I247" s="130">
        <v>45441</v>
      </c>
      <c r="J247" s="130">
        <f t="shared" si="24"/>
        <v>45425</v>
      </c>
      <c r="K247" s="263">
        <f t="shared" si="25"/>
        <v>16.5</v>
      </c>
      <c r="L247" s="35">
        <f t="shared" si="26"/>
        <v>0</v>
      </c>
      <c r="M247" s="35">
        <f t="shared" si="27"/>
        <v>0</v>
      </c>
      <c r="N247" s="35">
        <f t="shared" si="28"/>
        <v>16.5</v>
      </c>
      <c r="O247" s="35">
        <v>127.62</v>
      </c>
      <c r="P247" s="131">
        <v>50.48</v>
      </c>
      <c r="Q247" s="132">
        <f t="shared" si="29"/>
        <v>5.4538268827990581E-5</v>
      </c>
      <c r="R247" s="38">
        <f t="shared" si="30"/>
        <v>8.9988143566184454E-4</v>
      </c>
    </row>
    <row r="248" spans="1:18">
      <c r="A248" s="36">
        <f t="shared" si="31"/>
        <v>240</v>
      </c>
      <c r="B248" s="35" t="s">
        <v>911</v>
      </c>
      <c r="C248" s="130">
        <v>45149</v>
      </c>
      <c r="D248" s="287" t="s">
        <v>928</v>
      </c>
      <c r="E248" s="130">
        <v>45150</v>
      </c>
      <c r="F248" s="130" t="s">
        <v>670</v>
      </c>
      <c r="G248" s="130">
        <v>45150</v>
      </c>
      <c r="H248" s="130">
        <v>45072</v>
      </c>
      <c r="I248" s="130">
        <v>45104</v>
      </c>
      <c r="J248" s="130">
        <f t="shared" si="24"/>
        <v>45088</v>
      </c>
      <c r="K248" s="263">
        <f t="shared" si="25"/>
        <v>16.5</v>
      </c>
      <c r="L248" s="35">
        <f t="shared" si="26"/>
        <v>1</v>
      </c>
      <c r="M248" s="35">
        <f t="shared" si="27"/>
        <v>0</v>
      </c>
      <c r="N248" s="35">
        <f t="shared" si="28"/>
        <v>17.5</v>
      </c>
      <c r="O248" s="35">
        <v>5059.1000000000004</v>
      </c>
      <c r="P248" s="131">
        <v>58.34</v>
      </c>
      <c r="Q248" s="132">
        <f t="shared" si="29"/>
        <v>6.3030162508418599E-5</v>
      </c>
      <c r="R248" s="38">
        <f t="shared" si="30"/>
        <v>1.1030278438973254E-3</v>
      </c>
    </row>
    <row r="249" spans="1:18">
      <c r="A249" s="36">
        <f t="shared" si="31"/>
        <v>241</v>
      </c>
      <c r="B249" s="35" t="s">
        <v>911</v>
      </c>
      <c r="C249" s="130">
        <v>45464</v>
      </c>
      <c r="D249" s="287" t="s">
        <v>929</v>
      </c>
      <c r="E249" s="130">
        <v>45464</v>
      </c>
      <c r="F249" s="130" t="s">
        <v>670</v>
      </c>
      <c r="G249" s="130">
        <v>45464</v>
      </c>
      <c r="H249" s="130">
        <v>45435</v>
      </c>
      <c r="I249" s="130">
        <v>45440</v>
      </c>
      <c r="J249" s="130">
        <f t="shared" si="24"/>
        <v>45437.5</v>
      </c>
      <c r="K249" s="263">
        <f t="shared" si="25"/>
        <v>3</v>
      </c>
      <c r="L249" s="35">
        <f t="shared" si="26"/>
        <v>0</v>
      </c>
      <c r="M249" s="35">
        <f t="shared" si="27"/>
        <v>0</v>
      </c>
      <c r="N249" s="35">
        <f t="shared" si="28"/>
        <v>3</v>
      </c>
      <c r="O249" s="35">
        <v>4838.38</v>
      </c>
      <c r="P249" s="131">
        <v>80.81</v>
      </c>
      <c r="Q249" s="132">
        <f t="shared" si="29"/>
        <v>8.7306606655901723E-5</v>
      </c>
      <c r="R249" s="38">
        <f t="shared" si="30"/>
        <v>2.6191981996770517E-4</v>
      </c>
    </row>
    <row r="250" spans="1:18">
      <c r="A250" s="36">
        <f t="shared" si="31"/>
        <v>242</v>
      </c>
      <c r="B250" s="35" t="s">
        <v>911</v>
      </c>
      <c r="C250" s="130">
        <v>45464</v>
      </c>
      <c r="D250" s="287" t="s">
        <v>930</v>
      </c>
      <c r="E250" s="130">
        <v>45464</v>
      </c>
      <c r="F250" s="130" t="s">
        <v>670</v>
      </c>
      <c r="G250" s="130">
        <v>45464</v>
      </c>
      <c r="H250" s="130">
        <v>45433</v>
      </c>
      <c r="I250" s="130">
        <v>45464</v>
      </c>
      <c r="J250" s="130">
        <f t="shared" si="24"/>
        <v>45448.5</v>
      </c>
      <c r="K250" s="263">
        <f t="shared" si="25"/>
        <v>16</v>
      </c>
      <c r="L250" s="35">
        <f t="shared" si="26"/>
        <v>0</v>
      </c>
      <c r="M250" s="35">
        <f t="shared" si="27"/>
        <v>0</v>
      </c>
      <c r="N250" s="35">
        <f t="shared" si="28"/>
        <v>16</v>
      </c>
      <c r="O250" s="35">
        <v>4838.38</v>
      </c>
      <c r="P250" s="131">
        <v>44.6</v>
      </c>
      <c r="Q250" s="132">
        <f t="shared" si="29"/>
        <v>4.818555447163986E-5</v>
      </c>
      <c r="R250" s="38">
        <f t="shared" si="30"/>
        <v>7.7096887154623776E-4</v>
      </c>
    </row>
    <row r="251" spans="1:18">
      <c r="A251" s="36">
        <f t="shared" si="31"/>
        <v>243</v>
      </c>
      <c r="B251" s="35" t="s">
        <v>911</v>
      </c>
      <c r="C251" s="130">
        <v>45159</v>
      </c>
      <c r="D251" s="287" t="s">
        <v>931</v>
      </c>
      <c r="E251" s="130">
        <v>45159</v>
      </c>
      <c r="F251" s="130" t="s">
        <v>670</v>
      </c>
      <c r="G251" s="130">
        <v>45159</v>
      </c>
      <c r="H251" s="130">
        <v>45105</v>
      </c>
      <c r="I251" s="130">
        <v>45135</v>
      </c>
      <c r="J251" s="130">
        <f t="shared" si="24"/>
        <v>45120</v>
      </c>
      <c r="K251" s="263">
        <f t="shared" si="25"/>
        <v>15.5</v>
      </c>
      <c r="L251" s="35">
        <f t="shared" si="26"/>
        <v>0</v>
      </c>
      <c r="M251" s="35">
        <f t="shared" si="27"/>
        <v>0</v>
      </c>
      <c r="N251" s="35">
        <f t="shared" si="28"/>
        <v>15.5</v>
      </c>
      <c r="O251" s="35">
        <v>3737.18</v>
      </c>
      <c r="P251" s="131">
        <v>52.53</v>
      </c>
      <c r="Q251" s="132">
        <f t="shared" si="29"/>
        <v>5.6753075703929186E-5</v>
      </c>
      <c r="R251" s="38">
        <f t="shared" si="30"/>
        <v>8.7967267341090242E-4</v>
      </c>
    </row>
    <row r="252" spans="1:18">
      <c r="A252" s="36">
        <f t="shared" si="31"/>
        <v>244</v>
      </c>
      <c r="B252" s="35" t="s">
        <v>911</v>
      </c>
      <c r="C252" s="130">
        <v>45252</v>
      </c>
      <c r="D252" s="287" t="s">
        <v>932</v>
      </c>
      <c r="E252" s="130">
        <v>45256</v>
      </c>
      <c r="F252" s="130" t="s">
        <v>670</v>
      </c>
      <c r="G252" s="130">
        <v>45256</v>
      </c>
      <c r="H252" s="130">
        <v>45220</v>
      </c>
      <c r="I252" s="130">
        <v>45251</v>
      </c>
      <c r="J252" s="130">
        <f t="shared" si="24"/>
        <v>45235.5</v>
      </c>
      <c r="K252" s="263">
        <f t="shared" si="25"/>
        <v>16</v>
      </c>
      <c r="L252" s="35">
        <f t="shared" si="26"/>
        <v>4</v>
      </c>
      <c r="M252" s="35">
        <f t="shared" si="27"/>
        <v>0</v>
      </c>
      <c r="N252" s="35">
        <f t="shared" si="28"/>
        <v>20</v>
      </c>
      <c r="O252" s="35">
        <v>4652.67</v>
      </c>
      <c r="P252" s="131">
        <v>50.37</v>
      </c>
      <c r="Q252" s="132">
        <f t="shared" si="29"/>
        <v>5.4419425532208512E-5</v>
      </c>
      <c r="R252" s="38">
        <f t="shared" si="30"/>
        <v>1.0883885106441702E-3</v>
      </c>
    </row>
    <row r="253" spans="1:18">
      <c r="A253" s="36">
        <f t="shared" si="31"/>
        <v>245</v>
      </c>
      <c r="B253" s="35" t="s">
        <v>911</v>
      </c>
      <c r="C253" s="130">
        <v>45252</v>
      </c>
      <c r="D253" s="287" t="s">
        <v>933</v>
      </c>
      <c r="E253" s="130">
        <v>45256</v>
      </c>
      <c r="F253" s="130" t="s">
        <v>670</v>
      </c>
      <c r="G253" s="130">
        <v>45256</v>
      </c>
      <c r="H253" s="130">
        <v>45220</v>
      </c>
      <c r="I253" s="130">
        <v>45251</v>
      </c>
      <c r="J253" s="130">
        <f t="shared" si="24"/>
        <v>45235.5</v>
      </c>
      <c r="K253" s="263">
        <f t="shared" si="25"/>
        <v>16</v>
      </c>
      <c r="L253" s="35">
        <f t="shared" si="26"/>
        <v>4</v>
      </c>
      <c r="M253" s="35">
        <f t="shared" si="27"/>
        <v>0</v>
      </c>
      <c r="N253" s="35">
        <f t="shared" si="28"/>
        <v>20</v>
      </c>
      <c r="O253" s="35">
        <v>4652.67</v>
      </c>
      <c r="P253" s="131">
        <v>34.799999999999997</v>
      </c>
      <c r="Q253" s="132">
        <f t="shared" si="29"/>
        <v>3.7597697211055314E-5</v>
      </c>
      <c r="R253" s="38">
        <f t="shared" si="30"/>
        <v>7.5195394422110633E-4</v>
      </c>
    </row>
    <row r="254" spans="1:18">
      <c r="A254" s="36">
        <f t="shared" si="31"/>
        <v>246</v>
      </c>
      <c r="B254" s="35" t="s">
        <v>911</v>
      </c>
      <c r="C254" s="130">
        <v>45159</v>
      </c>
      <c r="D254" s="287" t="s">
        <v>934</v>
      </c>
      <c r="E254" s="130">
        <v>45159</v>
      </c>
      <c r="F254" s="130" t="s">
        <v>670</v>
      </c>
      <c r="G254" s="130">
        <v>45159</v>
      </c>
      <c r="H254" s="130">
        <v>45105</v>
      </c>
      <c r="I254" s="130">
        <v>45135</v>
      </c>
      <c r="J254" s="130">
        <f t="shared" si="24"/>
        <v>45120</v>
      </c>
      <c r="K254" s="263">
        <f t="shared" si="25"/>
        <v>15.5</v>
      </c>
      <c r="L254" s="35">
        <f t="shared" si="26"/>
        <v>0</v>
      </c>
      <c r="M254" s="35">
        <f t="shared" si="27"/>
        <v>0</v>
      </c>
      <c r="N254" s="35">
        <f t="shared" si="28"/>
        <v>15.5</v>
      </c>
      <c r="O254" s="35">
        <v>3737.18</v>
      </c>
      <c r="P254" s="131">
        <v>36.01</v>
      </c>
      <c r="Q254" s="132">
        <f t="shared" si="29"/>
        <v>3.8904973464658098E-5</v>
      </c>
      <c r="R254" s="38">
        <f t="shared" si="30"/>
        <v>6.0302708870220054E-4</v>
      </c>
    </row>
    <row r="255" spans="1:18">
      <c r="A255" s="36">
        <f t="shared" si="31"/>
        <v>247</v>
      </c>
      <c r="B255" s="35" t="s">
        <v>911</v>
      </c>
      <c r="C255" s="130">
        <v>45371</v>
      </c>
      <c r="D255" s="287" t="s">
        <v>935</v>
      </c>
      <c r="E255" s="130">
        <v>45371</v>
      </c>
      <c r="F255" s="130" t="s">
        <v>670</v>
      </c>
      <c r="G255" s="130">
        <v>45371</v>
      </c>
      <c r="H255" s="130">
        <v>45300</v>
      </c>
      <c r="I255" s="130">
        <v>45329</v>
      </c>
      <c r="J255" s="130">
        <f t="shared" si="24"/>
        <v>45314.5</v>
      </c>
      <c r="K255" s="263">
        <f t="shared" si="25"/>
        <v>15</v>
      </c>
      <c r="L255" s="35">
        <f t="shared" si="26"/>
        <v>0</v>
      </c>
      <c r="M255" s="35">
        <f t="shared" si="27"/>
        <v>0</v>
      </c>
      <c r="N255" s="35">
        <f t="shared" si="28"/>
        <v>15</v>
      </c>
      <c r="O255" s="35">
        <v>2131.09</v>
      </c>
      <c r="P255" s="131">
        <v>41.2</v>
      </c>
      <c r="Q255" s="132">
        <f t="shared" si="29"/>
        <v>4.4512216238375835E-5</v>
      </c>
      <c r="R255" s="38">
        <f t="shared" si="30"/>
        <v>6.6768324357563749E-4</v>
      </c>
    </row>
    <row r="256" spans="1:18">
      <c r="A256" s="36">
        <f t="shared" si="31"/>
        <v>248</v>
      </c>
      <c r="B256" s="35" t="s">
        <v>911</v>
      </c>
      <c r="C256" s="130">
        <v>45272</v>
      </c>
      <c r="D256" s="287" t="s">
        <v>936</v>
      </c>
      <c r="E256" s="130">
        <v>45272</v>
      </c>
      <c r="F256" s="130" t="s">
        <v>670</v>
      </c>
      <c r="G256" s="130">
        <v>45272</v>
      </c>
      <c r="H256" s="130">
        <v>45239</v>
      </c>
      <c r="I256" s="130">
        <v>45271</v>
      </c>
      <c r="J256" s="130">
        <f t="shared" si="24"/>
        <v>45255</v>
      </c>
      <c r="K256" s="263">
        <f t="shared" si="25"/>
        <v>16.5</v>
      </c>
      <c r="L256" s="35">
        <f t="shared" si="26"/>
        <v>0</v>
      </c>
      <c r="M256" s="35">
        <f t="shared" si="27"/>
        <v>0</v>
      </c>
      <c r="N256" s="35">
        <f t="shared" si="28"/>
        <v>16.5</v>
      </c>
      <c r="O256" s="35">
        <v>51.98</v>
      </c>
      <c r="P256" s="131">
        <v>51.98</v>
      </c>
      <c r="Q256" s="132">
        <f t="shared" si="29"/>
        <v>5.6158859225018825E-5</v>
      </c>
      <c r="R256" s="38">
        <f t="shared" si="30"/>
        <v>9.2662117721281059E-4</v>
      </c>
    </row>
    <row r="257" spans="1:18">
      <c r="A257" s="36">
        <f t="shared" si="31"/>
        <v>249</v>
      </c>
      <c r="B257" s="35" t="s">
        <v>911</v>
      </c>
      <c r="C257" s="130">
        <v>45252</v>
      </c>
      <c r="D257" s="287" t="s">
        <v>937</v>
      </c>
      <c r="E257" s="130">
        <v>45256</v>
      </c>
      <c r="F257" s="130" t="s">
        <v>670</v>
      </c>
      <c r="G257" s="130">
        <v>45256</v>
      </c>
      <c r="H257" s="130">
        <v>45220</v>
      </c>
      <c r="I257" s="130">
        <v>45251</v>
      </c>
      <c r="J257" s="130">
        <f t="shared" si="24"/>
        <v>45235.5</v>
      </c>
      <c r="K257" s="263">
        <f t="shared" si="25"/>
        <v>16</v>
      </c>
      <c r="L257" s="35">
        <f t="shared" si="26"/>
        <v>4</v>
      </c>
      <c r="M257" s="35">
        <f t="shared" si="27"/>
        <v>0</v>
      </c>
      <c r="N257" s="35">
        <f t="shared" si="28"/>
        <v>20</v>
      </c>
      <c r="O257" s="35">
        <v>4652.67</v>
      </c>
      <c r="P257" s="131">
        <v>39.49</v>
      </c>
      <c r="Q257" s="132">
        <f t="shared" si="29"/>
        <v>4.2664743185763632E-5</v>
      </c>
      <c r="R257" s="38">
        <f t="shared" si="30"/>
        <v>8.5329486371527258E-4</v>
      </c>
    </row>
    <row r="258" spans="1:18">
      <c r="A258" s="36">
        <f t="shared" si="31"/>
        <v>250</v>
      </c>
      <c r="B258" s="35" t="s">
        <v>911</v>
      </c>
      <c r="C258" s="130">
        <v>45379</v>
      </c>
      <c r="D258" s="287" t="s">
        <v>938</v>
      </c>
      <c r="E258" s="130">
        <v>45379</v>
      </c>
      <c r="F258" s="130" t="s">
        <v>670</v>
      </c>
      <c r="G258" s="130">
        <v>45379</v>
      </c>
      <c r="H258" s="130">
        <v>45351</v>
      </c>
      <c r="I258" s="130">
        <v>45378</v>
      </c>
      <c r="J258" s="130">
        <f t="shared" si="24"/>
        <v>45364.5</v>
      </c>
      <c r="K258" s="263">
        <f t="shared" si="25"/>
        <v>14</v>
      </c>
      <c r="L258" s="35">
        <f t="shared" si="26"/>
        <v>0</v>
      </c>
      <c r="M258" s="35">
        <f t="shared" si="27"/>
        <v>0</v>
      </c>
      <c r="N258" s="35">
        <f t="shared" si="28"/>
        <v>14</v>
      </c>
      <c r="O258" s="35">
        <v>154.41</v>
      </c>
      <c r="P258" s="131">
        <v>42.71</v>
      </c>
      <c r="Q258" s="132">
        <f t="shared" si="29"/>
        <v>4.6143610571384266E-5</v>
      </c>
      <c r="R258" s="38">
        <f t="shared" si="30"/>
        <v>6.4601054799937974E-4</v>
      </c>
    </row>
    <row r="259" spans="1:18">
      <c r="A259" s="36">
        <f t="shared" si="31"/>
        <v>251</v>
      </c>
      <c r="B259" s="35" t="s">
        <v>911</v>
      </c>
      <c r="C259" s="130">
        <v>45209</v>
      </c>
      <c r="D259" s="287" t="s">
        <v>939</v>
      </c>
      <c r="E259" s="130">
        <v>45209</v>
      </c>
      <c r="F259" s="130" t="s">
        <v>670</v>
      </c>
      <c r="G259" s="130">
        <v>45209</v>
      </c>
      <c r="H259" s="130">
        <v>45178</v>
      </c>
      <c r="I259" s="130">
        <v>45208</v>
      </c>
      <c r="J259" s="130">
        <f t="shared" si="24"/>
        <v>45193</v>
      </c>
      <c r="K259" s="263">
        <f t="shared" si="25"/>
        <v>15.5</v>
      </c>
      <c r="L259" s="35">
        <f t="shared" si="26"/>
        <v>0</v>
      </c>
      <c r="M259" s="35">
        <f t="shared" si="27"/>
        <v>0</v>
      </c>
      <c r="N259" s="35">
        <f t="shared" si="28"/>
        <v>15.5</v>
      </c>
      <c r="O259" s="35">
        <v>4711.13</v>
      </c>
      <c r="P259" s="131">
        <v>38.89</v>
      </c>
      <c r="Q259" s="132">
        <f t="shared" si="29"/>
        <v>4.2016507026952337E-5</v>
      </c>
      <c r="R259" s="38">
        <f t="shared" si="30"/>
        <v>6.5125585891776124E-4</v>
      </c>
    </row>
    <row r="260" spans="1:18">
      <c r="A260" s="36">
        <f t="shared" si="31"/>
        <v>252</v>
      </c>
      <c r="B260" s="35" t="s">
        <v>911</v>
      </c>
      <c r="C260" s="130">
        <v>45149</v>
      </c>
      <c r="D260" s="287" t="s">
        <v>940</v>
      </c>
      <c r="E260" s="130">
        <v>45150</v>
      </c>
      <c r="F260" s="130" t="s">
        <v>670</v>
      </c>
      <c r="G260" s="130">
        <v>45150</v>
      </c>
      <c r="H260" s="130">
        <v>45072</v>
      </c>
      <c r="I260" s="130">
        <v>45104</v>
      </c>
      <c r="J260" s="130">
        <f t="shared" si="24"/>
        <v>45088</v>
      </c>
      <c r="K260" s="263">
        <f t="shared" si="25"/>
        <v>16.5</v>
      </c>
      <c r="L260" s="35">
        <f t="shared" si="26"/>
        <v>1</v>
      </c>
      <c r="M260" s="35">
        <f t="shared" si="27"/>
        <v>0</v>
      </c>
      <c r="N260" s="35">
        <f t="shared" si="28"/>
        <v>17.5</v>
      </c>
      <c r="O260" s="35">
        <v>5059.1000000000004</v>
      </c>
      <c r="P260" s="131">
        <v>62.44</v>
      </c>
      <c r="Q260" s="132">
        <f t="shared" si="29"/>
        <v>6.7459776260295795E-5</v>
      </c>
      <c r="R260" s="38">
        <f t="shared" si="30"/>
        <v>1.1805460845551764E-3</v>
      </c>
    </row>
    <row r="261" spans="1:18">
      <c r="A261" s="36">
        <f t="shared" si="31"/>
        <v>253</v>
      </c>
      <c r="B261" s="35" t="s">
        <v>911</v>
      </c>
      <c r="C261" s="130">
        <v>45149</v>
      </c>
      <c r="D261" s="287" t="s">
        <v>941</v>
      </c>
      <c r="E261" s="130">
        <v>45150</v>
      </c>
      <c r="F261" s="130" t="s">
        <v>670</v>
      </c>
      <c r="G261" s="130">
        <v>45150</v>
      </c>
      <c r="H261" s="130">
        <v>45072</v>
      </c>
      <c r="I261" s="130">
        <v>45104</v>
      </c>
      <c r="J261" s="130">
        <f t="shared" si="24"/>
        <v>45088</v>
      </c>
      <c r="K261" s="263">
        <f t="shared" si="25"/>
        <v>16.5</v>
      </c>
      <c r="L261" s="35">
        <f t="shared" si="26"/>
        <v>1</v>
      </c>
      <c r="M261" s="35">
        <f t="shared" si="27"/>
        <v>0</v>
      </c>
      <c r="N261" s="35">
        <f t="shared" si="28"/>
        <v>17.5</v>
      </c>
      <c r="O261" s="35">
        <v>5059.1000000000004</v>
      </c>
      <c r="P261" s="131">
        <v>193.66</v>
      </c>
      <c r="Q261" s="132">
        <f t="shared" si="29"/>
        <v>2.0922902419232678E-4</v>
      </c>
      <c r="R261" s="38">
        <f t="shared" si="30"/>
        <v>3.6615079233657186E-3</v>
      </c>
    </row>
    <row r="262" spans="1:18">
      <c r="A262" s="36">
        <f t="shared" si="31"/>
        <v>254</v>
      </c>
      <c r="B262" s="35" t="s">
        <v>911</v>
      </c>
      <c r="C262" s="130">
        <v>45149</v>
      </c>
      <c r="D262" s="287" t="s">
        <v>942</v>
      </c>
      <c r="E262" s="130">
        <v>45150</v>
      </c>
      <c r="F262" s="130" t="s">
        <v>670</v>
      </c>
      <c r="G262" s="130">
        <v>45150</v>
      </c>
      <c r="H262" s="130">
        <v>45072</v>
      </c>
      <c r="I262" s="130">
        <v>45104</v>
      </c>
      <c r="J262" s="130">
        <f t="shared" si="24"/>
        <v>45088</v>
      </c>
      <c r="K262" s="263">
        <f t="shared" si="25"/>
        <v>16.5</v>
      </c>
      <c r="L262" s="35">
        <f t="shared" si="26"/>
        <v>1</v>
      </c>
      <c r="M262" s="35">
        <f t="shared" si="27"/>
        <v>0</v>
      </c>
      <c r="N262" s="35">
        <f t="shared" si="28"/>
        <v>17.5</v>
      </c>
      <c r="O262" s="35">
        <v>5059.1000000000004</v>
      </c>
      <c r="P262" s="131">
        <v>80.099999999999994</v>
      </c>
      <c r="Q262" s="132">
        <f t="shared" si="29"/>
        <v>8.6539527201308345E-5</v>
      </c>
      <c r="R262" s="38">
        <f t="shared" si="30"/>
        <v>1.5144417260228959E-3</v>
      </c>
    </row>
    <row r="263" spans="1:18">
      <c r="A263" s="36">
        <f t="shared" si="31"/>
        <v>255</v>
      </c>
      <c r="B263" s="35" t="s">
        <v>943</v>
      </c>
      <c r="C263" s="130">
        <v>45052</v>
      </c>
      <c r="D263" s="287">
        <v>3307</v>
      </c>
      <c r="E263" s="130">
        <v>45154</v>
      </c>
      <c r="F263" s="130" t="s">
        <v>668</v>
      </c>
      <c r="G263" s="130">
        <v>45180</v>
      </c>
      <c r="H263" s="130">
        <v>44997</v>
      </c>
      <c r="I263" s="130">
        <v>45046</v>
      </c>
      <c r="J263" s="130">
        <f t="shared" si="24"/>
        <v>45021.5</v>
      </c>
      <c r="K263" s="263">
        <f t="shared" si="25"/>
        <v>25</v>
      </c>
      <c r="L263" s="35">
        <f t="shared" si="26"/>
        <v>102</v>
      </c>
      <c r="M263" s="35">
        <f t="shared" si="27"/>
        <v>26</v>
      </c>
      <c r="N263" s="35">
        <f t="shared" si="28"/>
        <v>153</v>
      </c>
      <c r="O263" s="35">
        <v>1696</v>
      </c>
      <c r="P263" s="131">
        <v>413.4</v>
      </c>
      <c r="Q263" s="132">
        <f t="shared" si="29"/>
        <v>4.4663471342098468E-4</v>
      </c>
      <c r="R263" s="38">
        <f t="shared" si="30"/>
        <v>6.8335111153410649E-2</v>
      </c>
    </row>
    <row r="264" spans="1:18">
      <c r="A264" s="36">
        <f t="shared" si="31"/>
        <v>256</v>
      </c>
      <c r="B264" s="35" t="s">
        <v>944</v>
      </c>
      <c r="C264" s="130">
        <v>45310</v>
      </c>
      <c r="D264" s="287" t="s">
        <v>945</v>
      </c>
      <c r="E264" s="130">
        <v>45336</v>
      </c>
      <c r="F264" s="130" t="s">
        <v>668</v>
      </c>
      <c r="G264" s="130">
        <v>45345</v>
      </c>
      <c r="H264" s="130">
        <v>45310</v>
      </c>
      <c r="I264" s="130">
        <v>45310</v>
      </c>
      <c r="J264" s="130">
        <f t="shared" si="24"/>
        <v>45310</v>
      </c>
      <c r="K264" s="263">
        <f t="shared" si="25"/>
        <v>0.5</v>
      </c>
      <c r="L264" s="35">
        <f t="shared" si="26"/>
        <v>26</v>
      </c>
      <c r="M264" s="35">
        <f t="shared" si="27"/>
        <v>9</v>
      </c>
      <c r="N264" s="35">
        <f t="shared" si="28"/>
        <v>35.5</v>
      </c>
      <c r="O264" s="35">
        <v>188101.03</v>
      </c>
      <c r="P264" s="131">
        <v>426.16</v>
      </c>
      <c r="Q264" s="132">
        <f t="shared" si="29"/>
        <v>4.60420535731705E-4</v>
      </c>
      <c r="R264" s="38">
        <f t="shared" si="30"/>
        <v>1.6344929018475528E-2</v>
      </c>
    </row>
    <row r="265" spans="1:18">
      <c r="A265" s="36">
        <f t="shared" si="31"/>
        <v>257</v>
      </c>
      <c r="B265" s="35" t="s">
        <v>946</v>
      </c>
      <c r="C265" s="130">
        <v>45138</v>
      </c>
      <c r="D265" s="287">
        <v>120029495</v>
      </c>
      <c r="E265" s="130">
        <v>45163</v>
      </c>
      <c r="F265" s="130" t="s">
        <v>671</v>
      </c>
      <c r="G265" s="130">
        <v>45163</v>
      </c>
      <c r="H265" s="130">
        <v>45138</v>
      </c>
      <c r="I265" s="130">
        <v>45138</v>
      </c>
      <c r="J265" s="130">
        <f t="shared" ref="J265:J328" si="32">IF(I265&lt;1," ",(((I265-H265)/2)+H265))</f>
        <v>45138</v>
      </c>
      <c r="K265" s="263">
        <f t="shared" ref="K265:K328" si="33">(I265-H265+1)/2</f>
        <v>0.5</v>
      </c>
      <c r="L265" s="35">
        <f t="shared" ref="L265:L328" si="34">E265-C265</f>
        <v>25</v>
      </c>
      <c r="M265" s="35">
        <f t="shared" ref="M265:M328" si="35">G265-E265</f>
        <v>0</v>
      </c>
      <c r="N265" s="35">
        <f t="shared" ref="N265:N328" si="36">M265+L265+K265</f>
        <v>25.5</v>
      </c>
      <c r="O265" s="35">
        <v>207.74</v>
      </c>
      <c r="P265" s="131">
        <v>207.74</v>
      </c>
      <c r="Q265" s="132">
        <f t="shared" ref="Q265:Q328" si="37">P265/$P$422</f>
        <v>2.2444096605243194E-4</v>
      </c>
      <c r="R265" s="38">
        <f t="shared" ref="R265:R328" si="38">Q265*N265</f>
        <v>5.7232446343370141E-3</v>
      </c>
    </row>
    <row r="266" spans="1:18">
      <c r="A266" s="36">
        <f t="shared" ref="A266:A329" si="39">1+A265</f>
        <v>258</v>
      </c>
      <c r="B266" s="35" t="s">
        <v>946</v>
      </c>
      <c r="C266" s="130">
        <v>45446</v>
      </c>
      <c r="D266" s="287">
        <v>120086873</v>
      </c>
      <c r="E266" s="130">
        <v>45471</v>
      </c>
      <c r="F266" s="130" t="s">
        <v>670</v>
      </c>
      <c r="G266" s="130">
        <v>45471</v>
      </c>
      <c r="H266" s="130">
        <v>45446</v>
      </c>
      <c r="I266" s="130">
        <v>45446</v>
      </c>
      <c r="J266" s="130">
        <f t="shared" si="32"/>
        <v>45446</v>
      </c>
      <c r="K266" s="263">
        <f t="shared" si="33"/>
        <v>0.5</v>
      </c>
      <c r="L266" s="35">
        <f t="shared" si="34"/>
        <v>25</v>
      </c>
      <c r="M266" s="35">
        <f t="shared" si="35"/>
        <v>0</v>
      </c>
      <c r="N266" s="35">
        <f t="shared" si="36"/>
        <v>25.5</v>
      </c>
      <c r="O266" s="35">
        <v>218.14</v>
      </c>
      <c r="P266" s="131">
        <v>218.14</v>
      </c>
      <c r="Q266" s="132">
        <f t="shared" si="37"/>
        <v>2.3567705947182777E-4</v>
      </c>
      <c r="R266" s="38">
        <f t="shared" si="38"/>
        <v>6.0097650165316079E-3</v>
      </c>
    </row>
    <row r="267" spans="1:18">
      <c r="A267" s="36">
        <f t="shared" si="39"/>
        <v>259</v>
      </c>
      <c r="B267" s="35" t="s">
        <v>947</v>
      </c>
      <c r="C267" s="130">
        <v>45287</v>
      </c>
      <c r="D267" s="287">
        <v>13767</v>
      </c>
      <c r="E267" s="130">
        <v>45313</v>
      </c>
      <c r="F267" s="130" t="s">
        <v>668</v>
      </c>
      <c r="G267" s="130">
        <v>45330</v>
      </c>
      <c r="H267" s="130">
        <v>45275</v>
      </c>
      <c r="I267" s="130">
        <v>45275</v>
      </c>
      <c r="J267" s="130">
        <f t="shared" si="32"/>
        <v>45275</v>
      </c>
      <c r="K267" s="263">
        <f t="shared" si="33"/>
        <v>0.5</v>
      </c>
      <c r="L267" s="35">
        <f t="shared" si="34"/>
        <v>26</v>
      </c>
      <c r="M267" s="35">
        <f t="shared" si="35"/>
        <v>17</v>
      </c>
      <c r="N267" s="35">
        <f t="shared" si="36"/>
        <v>43.5</v>
      </c>
      <c r="O267" s="35">
        <v>165</v>
      </c>
      <c r="P267" s="131">
        <v>174.9</v>
      </c>
      <c r="Q267" s="132">
        <f t="shared" si="37"/>
        <v>1.8896084029349354E-4</v>
      </c>
      <c r="R267" s="38">
        <f t="shared" si="38"/>
        <v>8.219796552766969E-3</v>
      </c>
    </row>
    <row r="268" spans="1:18">
      <c r="A268" s="36">
        <f t="shared" si="39"/>
        <v>260</v>
      </c>
      <c r="B268" s="35" t="s">
        <v>948</v>
      </c>
      <c r="C268" s="130">
        <v>45369</v>
      </c>
      <c r="D268" s="287">
        <v>125405</v>
      </c>
      <c r="E268" s="130">
        <v>45378</v>
      </c>
      <c r="F268" s="130" t="s">
        <v>668</v>
      </c>
      <c r="G268" s="130">
        <v>45390</v>
      </c>
      <c r="H268" s="130">
        <v>45340</v>
      </c>
      <c r="I268" s="130">
        <v>45369</v>
      </c>
      <c r="J268" s="130">
        <f t="shared" si="32"/>
        <v>45354.5</v>
      </c>
      <c r="K268" s="263">
        <f t="shared" si="33"/>
        <v>15</v>
      </c>
      <c r="L268" s="35">
        <f t="shared" si="34"/>
        <v>9</v>
      </c>
      <c r="M268" s="35">
        <f t="shared" si="35"/>
        <v>12</v>
      </c>
      <c r="N268" s="35">
        <f t="shared" si="36"/>
        <v>36</v>
      </c>
      <c r="O268" s="35">
        <v>94.42</v>
      </c>
      <c r="P268" s="131">
        <v>94.42</v>
      </c>
      <c r="Q268" s="132">
        <f t="shared" si="37"/>
        <v>1.0201076352493801E-4</v>
      </c>
      <c r="R268" s="38">
        <f t="shared" si="38"/>
        <v>3.6723874868977682E-3</v>
      </c>
    </row>
    <row r="269" spans="1:18">
      <c r="A269" s="36">
        <f t="shared" si="39"/>
        <v>261</v>
      </c>
      <c r="B269" s="35" t="s">
        <v>948</v>
      </c>
      <c r="C269" s="130">
        <v>45126</v>
      </c>
      <c r="D269" s="287">
        <v>121890</v>
      </c>
      <c r="E269" s="130">
        <v>45133</v>
      </c>
      <c r="F269" s="130" t="s">
        <v>668</v>
      </c>
      <c r="G269" s="130">
        <v>45145</v>
      </c>
      <c r="H269" s="130">
        <v>45096</v>
      </c>
      <c r="I269" s="130">
        <v>45126</v>
      </c>
      <c r="J269" s="130">
        <f t="shared" si="32"/>
        <v>45111</v>
      </c>
      <c r="K269" s="263">
        <f t="shared" si="33"/>
        <v>15.5</v>
      </c>
      <c r="L269" s="35">
        <f t="shared" si="34"/>
        <v>7</v>
      </c>
      <c r="M269" s="35">
        <f t="shared" si="35"/>
        <v>12</v>
      </c>
      <c r="N269" s="35">
        <f t="shared" si="36"/>
        <v>34.5</v>
      </c>
      <c r="O269" s="35">
        <v>90.1</v>
      </c>
      <c r="P269" s="131">
        <v>90.1</v>
      </c>
      <c r="Q269" s="132">
        <f t="shared" si="37"/>
        <v>9.7343463181496663E-5</v>
      </c>
      <c r="R269" s="38">
        <f t="shared" si="38"/>
        <v>3.358349479761635E-3</v>
      </c>
    </row>
    <row r="270" spans="1:18">
      <c r="A270" s="36">
        <f t="shared" si="39"/>
        <v>262</v>
      </c>
      <c r="B270" s="35" t="s">
        <v>949</v>
      </c>
      <c r="C270" s="130">
        <v>45203</v>
      </c>
      <c r="D270" s="287" t="s">
        <v>950</v>
      </c>
      <c r="E270" s="130">
        <v>45203</v>
      </c>
      <c r="F270" s="130" t="s">
        <v>670</v>
      </c>
      <c r="G270" s="130">
        <v>45203</v>
      </c>
      <c r="H270" s="130">
        <v>45157</v>
      </c>
      <c r="I270" s="130">
        <v>45189</v>
      </c>
      <c r="J270" s="130">
        <f t="shared" si="32"/>
        <v>45173</v>
      </c>
      <c r="K270" s="263">
        <f t="shared" si="33"/>
        <v>16.5</v>
      </c>
      <c r="L270" s="35">
        <f t="shared" si="34"/>
        <v>0</v>
      </c>
      <c r="M270" s="35">
        <f t="shared" si="35"/>
        <v>0</v>
      </c>
      <c r="N270" s="35">
        <f t="shared" si="36"/>
        <v>16.5</v>
      </c>
      <c r="O270" s="35">
        <v>104.47</v>
      </c>
      <c r="P270" s="131">
        <v>104.47</v>
      </c>
      <c r="Q270" s="132">
        <f t="shared" si="37"/>
        <v>1.1286871918502726E-4</v>
      </c>
      <c r="R270" s="38">
        <f t="shared" si="38"/>
        <v>1.8623338665529499E-3</v>
      </c>
    </row>
    <row r="271" spans="1:18">
      <c r="A271" s="36">
        <f t="shared" si="39"/>
        <v>263</v>
      </c>
      <c r="B271" s="35" t="s">
        <v>949</v>
      </c>
      <c r="C271" s="130">
        <v>45278</v>
      </c>
      <c r="D271" s="287" t="s">
        <v>951</v>
      </c>
      <c r="E271" s="130">
        <v>45278</v>
      </c>
      <c r="F271" s="130" t="s">
        <v>670</v>
      </c>
      <c r="G271" s="130">
        <v>45278</v>
      </c>
      <c r="H271" s="130">
        <v>45231</v>
      </c>
      <c r="I271" s="130">
        <v>45263</v>
      </c>
      <c r="J271" s="130">
        <f t="shared" si="32"/>
        <v>45247</v>
      </c>
      <c r="K271" s="263">
        <f t="shared" si="33"/>
        <v>16.5</v>
      </c>
      <c r="L271" s="35">
        <f t="shared" si="34"/>
        <v>0</v>
      </c>
      <c r="M271" s="35">
        <f t="shared" si="35"/>
        <v>0</v>
      </c>
      <c r="N271" s="35">
        <f t="shared" si="36"/>
        <v>16.5</v>
      </c>
      <c r="O271" s="35">
        <v>26.28</v>
      </c>
      <c r="P271" s="131">
        <v>26.28</v>
      </c>
      <c r="Q271" s="132">
        <f t="shared" si="37"/>
        <v>2.8392743755934877E-5</v>
      </c>
      <c r="R271" s="38">
        <f t="shared" si="38"/>
        <v>4.6848027197292548E-4</v>
      </c>
    </row>
    <row r="272" spans="1:18">
      <c r="A272" s="36">
        <f t="shared" si="39"/>
        <v>264</v>
      </c>
      <c r="B272" s="35" t="s">
        <v>949</v>
      </c>
      <c r="C272" s="130">
        <v>45355</v>
      </c>
      <c r="D272" s="287" t="s">
        <v>952</v>
      </c>
      <c r="E272" s="130">
        <v>45355</v>
      </c>
      <c r="F272" s="130" t="s">
        <v>670</v>
      </c>
      <c r="G272" s="130">
        <v>45355</v>
      </c>
      <c r="H272" s="130">
        <v>45308</v>
      </c>
      <c r="I272" s="130">
        <v>45341</v>
      </c>
      <c r="J272" s="130">
        <f t="shared" si="32"/>
        <v>45324.5</v>
      </c>
      <c r="K272" s="263">
        <f t="shared" si="33"/>
        <v>17</v>
      </c>
      <c r="L272" s="35">
        <f t="shared" si="34"/>
        <v>0</v>
      </c>
      <c r="M272" s="35">
        <f t="shared" si="35"/>
        <v>0</v>
      </c>
      <c r="N272" s="35">
        <f t="shared" si="36"/>
        <v>17</v>
      </c>
      <c r="O272" s="35">
        <v>122.43</v>
      </c>
      <c r="P272" s="131">
        <v>32.619999999999997</v>
      </c>
      <c r="Q272" s="132">
        <f t="shared" si="37"/>
        <v>3.5242439167374259E-5</v>
      </c>
      <c r="R272" s="38">
        <f t="shared" si="38"/>
        <v>5.9912146584536238E-4</v>
      </c>
    </row>
    <row r="273" spans="1:18">
      <c r="A273" s="36">
        <f t="shared" si="39"/>
        <v>265</v>
      </c>
      <c r="B273" s="35" t="s">
        <v>949</v>
      </c>
      <c r="C273" s="130">
        <v>45413</v>
      </c>
      <c r="D273" s="287" t="s">
        <v>953</v>
      </c>
      <c r="E273" s="130">
        <v>45413</v>
      </c>
      <c r="F273" s="130" t="s">
        <v>670</v>
      </c>
      <c r="G273" s="130">
        <v>45413</v>
      </c>
      <c r="H273" s="130">
        <v>45371</v>
      </c>
      <c r="I273" s="130">
        <v>45399</v>
      </c>
      <c r="J273" s="130">
        <f t="shared" si="32"/>
        <v>45385</v>
      </c>
      <c r="K273" s="263">
        <f t="shared" si="33"/>
        <v>14.5</v>
      </c>
      <c r="L273" s="35">
        <f t="shared" si="34"/>
        <v>0</v>
      </c>
      <c r="M273" s="35">
        <f t="shared" si="35"/>
        <v>0</v>
      </c>
      <c r="N273" s="35">
        <f t="shared" si="36"/>
        <v>14.5</v>
      </c>
      <c r="O273" s="35">
        <v>81.069999999999993</v>
      </c>
      <c r="P273" s="131">
        <v>81.069999999999993</v>
      </c>
      <c r="Q273" s="132">
        <f t="shared" si="37"/>
        <v>8.7587508991386609E-5</v>
      </c>
      <c r="R273" s="38">
        <f t="shared" si="38"/>
        <v>1.2700188803751059E-3</v>
      </c>
    </row>
    <row r="274" spans="1:18">
      <c r="A274" s="36">
        <f t="shared" si="39"/>
        <v>266</v>
      </c>
      <c r="B274" s="35" t="s">
        <v>949</v>
      </c>
      <c r="C274" s="130">
        <v>45441</v>
      </c>
      <c r="D274" s="287" t="s">
        <v>954</v>
      </c>
      <c r="E274" s="130">
        <v>45441</v>
      </c>
      <c r="F274" s="130" t="s">
        <v>670</v>
      </c>
      <c r="G274" s="130">
        <v>45441</v>
      </c>
      <c r="H274" s="130">
        <v>45399</v>
      </c>
      <c r="I274" s="130">
        <v>45431</v>
      </c>
      <c r="J274" s="130">
        <f t="shared" si="32"/>
        <v>45415</v>
      </c>
      <c r="K274" s="263">
        <f t="shared" si="33"/>
        <v>16.5</v>
      </c>
      <c r="L274" s="35">
        <f t="shared" si="34"/>
        <v>0</v>
      </c>
      <c r="M274" s="35">
        <f t="shared" si="35"/>
        <v>0</v>
      </c>
      <c r="N274" s="35">
        <f t="shared" si="36"/>
        <v>16.5</v>
      </c>
      <c r="O274" s="35">
        <v>125.86</v>
      </c>
      <c r="P274" s="131">
        <v>92.45</v>
      </c>
      <c r="Q274" s="132">
        <f t="shared" si="37"/>
        <v>9.9882388136840922E-5</v>
      </c>
      <c r="R274" s="38">
        <f t="shared" si="38"/>
        <v>1.6480594042578751E-3</v>
      </c>
    </row>
    <row r="275" spans="1:18">
      <c r="A275" s="36">
        <f t="shared" si="39"/>
        <v>267</v>
      </c>
      <c r="B275" s="35" t="s">
        <v>949</v>
      </c>
      <c r="C275" s="130">
        <v>45469</v>
      </c>
      <c r="D275" s="287" t="s">
        <v>955</v>
      </c>
      <c r="E275" s="130">
        <v>45469</v>
      </c>
      <c r="F275" s="130" t="s">
        <v>670</v>
      </c>
      <c r="G275" s="130">
        <v>45469</v>
      </c>
      <c r="H275" s="130">
        <v>45423</v>
      </c>
      <c r="I275" s="130">
        <v>45454</v>
      </c>
      <c r="J275" s="130">
        <f t="shared" si="32"/>
        <v>45438.5</v>
      </c>
      <c r="K275" s="263">
        <f t="shared" si="33"/>
        <v>16</v>
      </c>
      <c r="L275" s="35">
        <f t="shared" si="34"/>
        <v>0</v>
      </c>
      <c r="M275" s="35">
        <f t="shared" si="35"/>
        <v>0</v>
      </c>
      <c r="N275" s="35">
        <f t="shared" si="36"/>
        <v>16</v>
      </c>
      <c r="O275" s="35">
        <v>84.15</v>
      </c>
      <c r="P275" s="131">
        <v>42.75</v>
      </c>
      <c r="Q275" s="132">
        <f t="shared" si="37"/>
        <v>4.618682631530502E-5</v>
      </c>
      <c r="R275" s="38">
        <f t="shared" si="38"/>
        <v>7.3898922104488033E-4</v>
      </c>
    </row>
    <row r="276" spans="1:18">
      <c r="A276" s="36">
        <f t="shared" si="39"/>
        <v>268</v>
      </c>
      <c r="B276" s="35" t="s">
        <v>949</v>
      </c>
      <c r="C276" s="130">
        <v>45119</v>
      </c>
      <c r="D276" s="287" t="s">
        <v>956</v>
      </c>
      <c r="E276" s="130">
        <v>45119</v>
      </c>
      <c r="F276" s="130" t="s">
        <v>670</v>
      </c>
      <c r="G276" s="130">
        <v>45119</v>
      </c>
      <c r="H276" s="130">
        <v>45077</v>
      </c>
      <c r="I276" s="130">
        <v>45106</v>
      </c>
      <c r="J276" s="130">
        <f t="shared" si="32"/>
        <v>45091.5</v>
      </c>
      <c r="K276" s="263">
        <f t="shared" si="33"/>
        <v>15</v>
      </c>
      <c r="L276" s="35">
        <f t="shared" si="34"/>
        <v>0</v>
      </c>
      <c r="M276" s="35">
        <f t="shared" si="35"/>
        <v>0</v>
      </c>
      <c r="N276" s="35">
        <f t="shared" si="36"/>
        <v>15</v>
      </c>
      <c r="O276" s="35">
        <v>30.58</v>
      </c>
      <c r="P276" s="131">
        <v>30.58</v>
      </c>
      <c r="Q276" s="132">
        <f t="shared" si="37"/>
        <v>3.3038436227415848E-5</v>
      </c>
      <c r="R276" s="38">
        <f t="shared" si="38"/>
        <v>4.9557654341123773E-4</v>
      </c>
    </row>
    <row r="277" spans="1:18">
      <c r="A277" s="36">
        <f t="shared" si="39"/>
        <v>269</v>
      </c>
      <c r="B277" s="35" t="s">
        <v>957</v>
      </c>
      <c r="C277" s="130">
        <v>45085</v>
      </c>
      <c r="D277" s="287">
        <v>123772</v>
      </c>
      <c r="E277" s="130">
        <v>45139</v>
      </c>
      <c r="F277" s="130" t="s">
        <v>671</v>
      </c>
      <c r="G277" s="130">
        <v>45139</v>
      </c>
      <c r="H277" s="130">
        <v>45084</v>
      </c>
      <c r="I277" s="130">
        <v>45084</v>
      </c>
      <c r="J277" s="130">
        <f t="shared" si="32"/>
        <v>45084</v>
      </c>
      <c r="K277" s="263">
        <f t="shared" si="33"/>
        <v>0.5</v>
      </c>
      <c r="L277" s="35">
        <f t="shared" si="34"/>
        <v>54</v>
      </c>
      <c r="M277" s="35">
        <f t="shared" si="35"/>
        <v>0</v>
      </c>
      <c r="N277" s="35">
        <f t="shared" si="36"/>
        <v>54.5</v>
      </c>
      <c r="O277" s="35">
        <v>73.25</v>
      </c>
      <c r="P277" s="131">
        <v>77.64</v>
      </c>
      <c r="Q277" s="132">
        <f t="shared" si="37"/>
        <v>8.388175895018203E-5</v>
      </c>
      <c r="R277" s="38">
        <f t="shared" si="38"/>
        <v>4.5715558627849205E-3</v>
      </c>
    </row>
    <row r="278" spans="1:18">
      <c r="A278" s="36">
        <f t="shared" si="39"/>
        <v>270</v>
      </c>
      <c r="B278" s="35" t="s">
        <v>958</v>
      </c>
      <c r="C278" s="130">
        <v>45204</v>
      </c>
      <c r="D278" s="287" t="s">
        <v>959</v>
      </c>
      <c r="E278" s="130">
        <v>45204</v>
      </c>
      <c r="F278" s="130" t="s">
        <v>670</v>
      </c>
      <c r="G278" s="130">
        <v>45204</v>
      </c>
      <c r="H278" s="130">
        <v>45188</v>
      </c>
      <c r="I278" s="130">
        <v>45199</v>
      </c>
      <c r="J278" s="130">
        <f t="shared" si="32"/>
        <v>45193.5</v>
      </c>
      <c r="K278" s="263">
        <f t="shared" si="33"/>
        <v>6</v>
      </c>
      <c r="L278" s="35">
        <f t="shared" si="34"/>
        <v>0</v>
      </c>
      <c r="M278" s="35">
        <f t="shared" si="35"/>
        <v>0</v>
      </c>
      <c r="N278" s="35">
        <f t="shared" si="36"/>
        <v>6</v>
      </c>
      <c r="O278" s="35">
        <v>66.39</v>
      </c>
      <c r="P278" s="131">
        <v>50.68</v>
      </c>
      <c r="Q278" s="132">
        <f t="shared" si="37"/>
        <v>5.4754347547594353E-5</v>
      </c>
      <c r="R278" s="38">
        <f t="shared" si="38"/>
        <v>3.2852608528556614E-4</v>
      </c>
    </row>
    <row r="279" spans="1:18">
      <c r="A279" s="36">
        <f t="shared" si="39"/>
        <v>271</v>
      </c>
      <c r="B279" s="35" t="s">
        <v>958</v>
      </c>
      <c r="C279" s="130">
        <v>45292</v>
      </c>
      <c r="D279" s="287" t="s">
        <v>960</v>
      </c>
      <c r="E279" s="130">
        <v>45293</v>
      </c>
      <c r="F279" s="130" t="s">
        <v>670</v>
      </c>
      <c r="G279" s="130">
        <v>45293</v>
      </c>
      <c r="H279" s="130">
        <v>45272</v>
      </c>
      <c r="I279" s="130">
        <v>45291</v>
      </c>
      <c r="J279" s="130">
        <f t="shared" si="32"/>
        <v>45281.5</v>
      </c>
      <c r="K279" s="263">
        <f t="shared" si="33"/>
        <v>10</v>
      </c>
      <c r="L279" s="35">
        <f t="shared" si="34"/>
        <v>1</v>
      </c>
      <c r="M279" s="35">
        <f t="shared" si="35"/>
        <v>0</v>
      </c>
      <c r="N279" s="35">
        <f t="shared" si="36"/>
        <v>11</v>
      </c>
      <c r="O279" s="35">
        <v>87.56</v>
      </c>
      <c r="P279" s="131">
        <v>46.68</v>
      </c>
      <c r="Q279" s="132">
        <f t="shared" si="37"/>
        <v>5.0432773155519026E-5</v>
      </c>
      <c r="R279" s="38">
        <f t="shared" si="38"/>
        <v>5.5476050471070927E-4</v>
      </c>
    </row>
    <row r="280" spans="1:18">
      <c r="A280" s="36">
        <f t="shared" si="39"/>
        <v>272</v>
      </c>
      <c r="B280" s="35" t="s">
        <v>958</v>
      </c>
      <c r="C280" s="130">
        <v>45442</v>
      </c>
      <c r="D280" s="287" t="s">
        <v>961</v>
      </c>
      <c r="E280" s="130">
        <v>45442</v>
      </c>
      <c r="F280" s="130" t="s">
        <v>670</v>
      </c>
      <c r="G280" s="130">
        <v>45442</v>
      </c>
      <c r="H280" s="130">
        <v>45424</v>
      </c>
      <c r="I280" s="130">
        <v>45442</v>
      </c>
      <c r="J280" s="130">
        <f t="shared" si="32"/>
        <v>45433</v>
      </c>
      <c r="K280" s="263">
        <f t="shared" si="33"/>
        <v>9.5</v>
      </c>
      <c r="L280" s="35">
        <f t="shared" si="34"/>
        <v>0</v>
      </c>
      <c r="M280" s="35">
        <f t="shared" si="35"/>
        <v>0</v>
      </c>
      <c r="N280" s="35">
        <f t="shared" si="36"/>
        <v>9.5</v>
      </c>
      <c r="O280" s="35">
        <v>150.94</v>
      </c>
      <c r="P280" s="131">
        <v>44.55</v>
      </c>
      <c r="Q280" s="132">
        <f t="shared" si="37"/>
        <v>4.8131534791738912E-5</v>
      </c>
      <c r="R280" s="38">
        <f t="shared" si="38"/>
        <v>4.5724958052151965E-4</v>
      </c>
    </row>
    <row r="281" spans="1:18">
      <c r="A281" s="36">
        <f t="shared" si="39"/>
        <v>273</v>
      </c>
      <c r="B281" s="35" t="s">
        <v>958</v>
      </c>
      <c r="C281" s="130">
        <v>45470</v>
      </c>
      <c r="D281" s="287" t="s">
        <v>962</v>
      </c>
      <c r="E281" s="130">
        <v>45470</v>
      </c>
      <c r="F281" s="130" t="s">
        <v>670</v>
      </c>
      <c r="G281" s="130">
        <v>45470</v>
      </c>
      <c r="H281" s="130">
        <v>45455</v>
      </c>
      <c r="I281" s="130">
        <v>45470</v>
      </c>
      <c r="J281" s="130">
        <f t="shared" si="32"/>
        <v>45462.5</v>
      </c>
      <c r="K281" s="263">
        <f t="shared" si="33"/>
        <v>8</v>
      </c>
      <c r="L281" s="35">
        <f t="shared" si="34"/>
        <v>0</v>
      </c>
      <c r="M281" s="35">
        <f t="shared" si="35"/>
        <v>0</v>
      </c>
      <c r="N281" s="35">
        <f t="shared" si="36"/>
        <v>8</v>
      </c>
      <c r="O281" s="35">
        <v>153.41</v>
      </c>
      <c r="P281" s="131">
        <v>43.01</v>
      </c>
      <c r="Q281" s="132">
        <f t="shared" si="37"/>
        <v>4.6467728650789913E-5</v>
      </c>
      <c r="R281" s="38">
        <f t="shared" si="38"/>
        <v>3.7174182920631931E-4</v>
      </c>
    </row>
    <row r="282" spans="1:18">
      <c r="A282" s="36">
        <f t="shared" si="39"/>
        <v>274</v>
      </c>
      <c r="B282" s="35" t="s">
        <v>958</v>
      </c>
      <c r="C282" s="130">
        <v>45378</v>
      </c>
      <c r="D282" s="287" t="s">
        <v>963</v>
      </c>
      <c r="E282" s="130">
        <v>45378</v>
      </c>
      <c r="F282" s="130" t="s">
        <v>670</v>
      </c>
      <c r="G282" s="130">
        <v>45378</v>
      </c>
      <c r="H282" s="130">
        <v>45334</v>
      </c>
      <c r="I282" s="130">
        <v>45363</v>
      </c>
      <c r="J282" s="130">
        <f t="shared" si="32"/>
        <v>45348.5</v>
      </c>
      <c r="K282" s="263">
        <f t="shared" si="33"/>
        <v>15</v>
      </c>
      <c r="L282" s="35">
        <f t="shared" si="34"/>
        <v>0</v>
      </c>
      <c r="M282" s="35">
        <f t="shared" si="35"/>
        <v>0</v>
      </c>
      <c r="N282" s="35">
        <f t="shared" si="36"/>
        <v>15</v>
      </c>
      <c r="O282" s="35">
        <v>152.79</v>
      </c>
      <c r="P282" s="131">
        <v>43.41</v>
      </c>
      <c r="Q282" s="132">
        <f t="shared" si="37"/>
        <v>4.6899886089997443E-5</v>
      </c>
      <c r="R282" s="38">
        <f t="shared" si="38"/>
        <v>7.0349829134996162E-4</v>
      </c>
    </row>
    <row r="283" spans="1:18">
      <c r="A283" s="36">
        <f t="shared" si="39"/>
        <v>275</v>
      </c>
      <c r="B283" s="35" t="s">
        <v>964</v>
      </c>
      <c r="C283" s="130">
        <v>45271</v>
      </c>
      <c r="D283" s="287">
        <v>1252802</v>
      </c>
      <c r="E283" s="130">
        <v>45301</v>
      </c>
      <c r="F283" s="130" t="s">
        <v>668</v>
      </c>
      <c r="G283" s="130">
        <v>45308</v>
      </c>
      <c r="H283" s="130">
        <v>45271</v>
      </c>
      <c r="I283" s="130">
        <v>45271</v>
      </c>
      <c r="J283" s="130">
        <f t="shared" si="32"/>
        <v>45271</v>
      </c>
      <c r="K283" s="263">
        <f t="shared" si="33"/>
        <v>0.5</v>
      </c>
      <c r="L283" s="35">
        <f t="shared" si="34"/>
        <v>30</v>
      </c>
      <c r="M283" s="35">
        <f t="shared" si="35"/>
        <v>7</v>
      </c>
      <c r="N283" s="35">
        <f t="shared" si="36"/>
        <v>37.5</v>
      </c>
      <c r="O283" s="35">
        <v>99</v>
      </c>
      <c r="P283" s="131">
        <v>99</v>
      </c>
      <c r="Q283" s="132">
        <f t="shared" si="37"/>
        <v>1.0695896620386426E-4</v>
      </c>
      <c r="R283" s="38">
        <f t="shared" si="38"/>
        <v>4.0109612326449098E-3</v>
      </c>
    </row>
    <row r="284" spans="1:18">
      <c r="A284" s="36">
        <f t="shared" si="39"/>
        <v>276</v>
      </c>
      <c r="B284" s="35" t="s">
        <v>965</v>
      </c>
      <c r="C284" s="130">
        <v>45299</v>
      </c>
      <c r="D284" s="287">
        <v>5186456</v>
      </c>
      <c r="E284" s="130">
        <v>45336</v>
      </c>
      <c r="F284" s="130" t="s">
        <v>668</v>
      </c>
      <c r="G284" s="130">
        <v>45348</v>
      </c>
      <c r="H284" s="130">
        <v>45348</v>
      </c>
      <c r="I284" s="130">
        <v>45714</v>
      </c>
      <c r="J284" s="130">
        <f t="shared" si="32"/>
        <v>45531</v>
      </c>
      <c r="K284" s="263">
        <f t="shared" si="33"/>
        <v>183.5</v>
      </c>
      <c r="L284" s="35">
        <f t="shared" si="34"/>
        <v>37</v>
      </c>
      <c r="M284" s="35">
        <f t="shared" si="35"/>
        <v>12</v>
      </c>
      <c r="N284" s="35">
        <f t="shared" si="36"/>
        <v>232.5</v>
      </c>
      <c r="O284" s="35">
        <v>15563.6</v>
      </c>
      <c r="P284" s="131">
        <v>101.8</v>
      </c>
      <c r="Q284" s="132">
        <f t="shared" si="37"/>
        <v>1.0998406827831698E-4</v>
      </c>
      <c r="R284" s="38">
        <f t="shared" si="38"/>
        <v>2.5571295874708699E-2</v>
      </c>
    </row>
    <row r="285" spans="1:18">
      <c r="A285" s="36">
        <f t="shared" si="39"/>
        <v>277</v>
      </c>
      <c r="B285" s="35" t="s">
        <v>966</v>
      </c>
      <c r="C285" s="130">
        <v>45211</v>
      </c>
      <c r="D285" s="287">
        <v>92763305</v>
      </c>
      <c r="E285" s="130">
        <v>45222</v>
      </c>
      <c r="F285" s="130" t="s">
        <v>668</v>
      </c>
      <c r="G285" s="130">
        <v>45232</v>
      </c>
      <c r="H285" s="130">
        <v>45170</v>
      </c>
      <c r="I285" s="130">
        <v>45199</v>
      </c>
      <c r="J285" s="130">
        <f t="shared" si="32"/>
        <v>45184.5</v>
      </c>
      <c r="K285" s="263">
        <f t="shared" si="33"/>
        <v>15</v>
      </c>
      <c r="L285" s="35">
        <f t="shared" si="34"/>
        <v>11</v>
      </c>
      <c r="M285" s="35">
        <f t="shared" si="35"/>
        <v>10</v>
      </c>
      <c r="N285" s="35">
        <f t="shared" si="36"/>
        <v>36</v>
      </c>
      <c r="O285" s="35">
        <v>30992.5</v>
      </c>
      <c r="P285" s="131">
        <v>2209.6799999999998</v>
      </c>
      <c r="Q285" s="132">
        <f t="shared" si="37"/>
        <v>2.3873241256702499E-3</v>
      </c>
      <c r="R285" s="38">
        <f t="shared" si="38"/>
        <v>8.5943668524128991E-2</v>
      </c>
    </row>
    <row r="286" spans="1:18">
      <c r="A286" s="36">
        <f t="shared" si="39"/>
        <v>278</v>
      </c>
      <c r="B286" s="35" t="s">
        <v>967</v>
      </c>
      <c r="C286" s="130">
        <v>45274</v>
      </c>
      <c r="D286" s="287" t="s">
        <v>968</v>
      </c>
      <c r="E286" s="130">
        <v>45275</v>
      </c>
      <c r="F286" s="130" t="s">
        <v>670</v>
      </c>
      <c r="G286" s="130">
        <v>45275</v>
      </c>
      <c r="H286" s="130">
        <v>45233</v>
      </c>
      <c r="I286" s="130">
        <v>45263</v>
      </c>
      <c r="J286" s="130">
        <f t="shared" si="32"/>
        <v>45248</v>
      </c>
      <c r="K286" s="263">
        <f t="shared" si="33"/>
        <v>15.5</v>
      </c>
      <c r="L286" s="35">
        <f t="shared" si="34"/>
        <v>1</v>
      </c>
      <c r="M286" s="35">
        <f t="shared" si="35"/>
        <v>0</v>
      </c>
      <c r="N286" s="35">
        <f t="shared" si="36"/>
        <v>16.5</v>
      </c>
      <c r="O286" s="35">
        <v>42.43</v>
      </c>
      <c r="P286" s="131">
        <v>42.43</v>
      </c>
      <c r="Q286" s="132">
        <f t="shared" si="37"/>
        <v>4.5841100363938992E-5</v>
      </c>
      <c r="R286" s="38">
        <f t="shared" si="38"/>
        <v>7.5637815600499336E-4</v>
      </c>
    </row>
    <row r="287" spans="1:18">
      <c r="A287" s="36">
        <f t="shared" si="39"/>
        <v>279</v>
      </c>
      <c r="B287" s="35" t="s">
        <v>969</v>
      </c>
      <c r="C287" s="130">
        <v>45276</v>
      </c>
      <c r="D287" s="287" t="s">
        <v>970</v>
      </c>
      <c r="E287" s="130">
        <v>45287</v>
      </c>
      <c r="F287" s="130" t="s">
        <v>668</v>
      </c>
      <c r="G287" s="130">
        <v>45295</v>
      </c>
      <c r="H287" s="130">
        <v>45246</v>
      </c>
      <c r="I287" s="130">
        <v>45276</v>
      </c>
      <c r="J287" s="130">
        <f t="shared" si="32"/>
        <v>45261</v>
      </c>
      <c r="K287" s="263">
        <f t="shared" si="33"/>
        <v>15.5</v>
      </c>
      <c r="L287" s="35">
        <f t="shared" si="34"/>
        <v>11</v>
      </c>
      <c r="M287" s="35">
        <f t="shared" si="35"/>
        <v>8</v>
      </c>
      <c r="N287" s="35">
        <f t="shared" si="36"/>
        <v>34.5</v>
      </c>
      <c r="O287" s="35">
        <v>476.14</v>
      </c>
      <c r="P287" s="131">
        <v>476.14</v>
      </c>
      <c r="Q287" s="132">
        <f t="shared" si="37"/>
        <v>5.1441860776068617E-4</v>
      </c>
      <c r="R287" s="38">
        <f t="shared" si="38"/>
        <v>1.7747441967743673E-2</v>
      </c>
    </row>
    <row r="288" spans="1:18">
      <c r="A288" s="36">
        <f t="shared" si="39"/>
        <v>280</v>
      </c>
      <c r="B288" s="35" t="s">
        <v>971</v>
      </c>
      <c r="C288" s="130">
        <v>45316</v>
      </c>
      <c r="D288" s="287">
        <v>271705</v>
      </c>
      <c r="E288" s="130">
        <v>45342</v>
      </c>
      <c r="F288" s="130" t="s">
        <v>670</v>
      </c>
      <c r="G288" s="130">
        <v>45342</v>
      </c>
      <c r="H288" s="130">
        <v>45316</v>
      </c>
      <c r="I288" s="130">
        <v>45316</v>
      </c>
      <c r="J288" s="130">
        <f t="shared" si="32"/>
        <v>45316</v>
      </c>
      <c r="K288" s="263">
        <f t="shared" si="33"/>
        <v>0.5</v>
      </c>
      <c r="L288" s="35">
        <f t="shared" si="34"/>
        <v>26</v>
      </c>
      <c r="M288" s="35">
        <f t="shared" si="35"/>
        <v>0</v>
      </c>
      <c r="N288" s="35">
        <f t="shared" si="36"/>
        <v>26.5</v>
      </c>
      <c r="O288" s="35">
        <v>25</v>
      </c>
      <c r="P288" s="131">
        <v>25</v>
      </c>
      <c r="Q288" s="132">
        <f t="shared" si="37"/>
        <v>2.7009839950470771E-5</v>
      </c>
      <c r="R288" s="38">
        <f t="shared" si="38"/>
        <v>7.1576075868747544E-4</v>
      </c>
    </row>
    <row r="289" spans="1:18">
      <c r="A289" s="36">
        <f t="shared" si="39"/>
        <v>281</v>
      </c>
      <c r="B289" s="35" t="s">
        <v>971</v>
      </c>
      <c r="C289" s="130">
        <v>45271</v>
      </c>
      <c r="D289" s="287">
        <v>271654</v>
      </c>
      <c r="E289" s="130">
        <v>45296</v>
      </c>
      <c r="F289" s="130" t="s">
        <v>671</v>
      </c>
      <c r="G289" s="130">
        <v>45296</v>
      </c>
      <c r="H289" s="130">
        <v>45271</v>
      </c>
      <c r="I289" s="130">
        <v>45271</v>
      </c>
      <c r="J289" s="130">
        <f t="shared" si="32"/>
        <v>45271</v>
      </c>
      <c r="K289" s="263">
        <f t="shared" si="33"/>
        <v>0.5</v>
      </c>
      <c r="L289" s="35">
        <f t="shared" si="34"/>
        <v>25</v>
      </c>
      <c r="M289" s="35">
        <f t="shared" si="35"/>
        <v>0</v>
      </c>
      <c r="N289" s="35">
        <f t="shared" si="36"/>
        <v>25.5</v>
      </c>
      <c r="O289" s="35">
        <v>150</v>
      </c>
      <c r="P289" s="131">
        <v>150</v>
      </c>
      <c r="Q289" s="132">
        <f t="shared" si="37"/>
        <v>1.6205903970282465E-4</v>
      </c>
      <c r="R289" s="38">
        <f t="shared" si="38"/>
        <v>4.1325055124220283E-3</v>
      </c>
    </row>
    <row r="290" spans="1:18">
      <c r="A290" s="36">
        <f t="shared" si="39"/>
        <v>282</v>
      </c>
      <c r="B290" s="35" t="s">
        <v>972</v>
      </c>
      <c r="C290" s="130">
        <v>45319</v>
      </c>
      <c r="D290" s="287">
        <v>224015896</v>
      </c>
      <c r="E290" s="130">
        <v>45327</v>
      </c>
      <c r="F290" s="130" t="s">
        <v>668</v>
      </c>
      <c r="G290" s="130">
        <v>45336</v>
      </c>
      <c r="H290" s="130">
        <v>45319</v>
      </c>
      <c r="I290" s="130">
        <v>45319</v>
      </c>
      <c r="J290" s="130">
        <f t="shared" si="32"/>
        <v>45319</v>
      </c>
      <c r="K290" s="263">
        <f t="shared" si="33"/>
        <v>0.5</v>
      </c>
      <c r="L290" s="35">
        <f t="shared" si="34"/>
        <v>8</v>
      </c>
      <c r="M290" s="35">
        <f t="shared" si="35"/>
        <v>9</v>
      </c>
      <c r="N290" s="35">
        <f t="shared" si="36"/>
        <v>17.5</v>
      </c>
      <c r="O290" s="35">
        <v>142.75</v>
      </c>
      <c r="P290" s="131">
        <v>107.06</v>
      </c>
      <c r="Q290" s="132">
        <f t="shared" si="37"/>
        <v>1.1566693860389604E-4</v>
      </c>
      <c r="R290" s="38">
        <f t="shared" si="38"/>
        <v>2.0241714255681805E-3</v>
      </c>
    </row>
    <row r="291" spans="1:18">
      <c r="A291" s="36">
        <f t="shared" si="39"/>
        <v>283</v>
      </c>
      <c r="B291" s="35" t="s">
        <v>972</v>
      </c>
      <c r="C291" s="130">
        <v>45165</v>
      </c>
      <c r="D291" s="287">
        <v>223085842</v>
      </c>
      <c r="E291" s="130">
        <v>45175</v>
      </c>
      <c r="F291" s="130" t="s">
        <v>668</v>
      </c>
      <c r="G291" s="130">
        <v>45182</v>
      </c>
      <c r="H291" s="130">
        <v>45165</v>
      </c>
      <c r="I291" s="130">
        <v>45165</v>
      </c>
      <c r="J291" s="130">
        <f t="shared" si="32"/>
        <v>45165</v>
      </c>
      <c r="K291" s="263">
        <f t="shared" si="33"/>
        <v>0.5</v>
      </c>
      <c r="L291" s="35">
        <f t="shared" si="34"/>
        <v>10</v>
      </c>
      <c r="M291" s="35">
        <f t="shared" si="35"/>
        <v>7</v>
      </c>
      <c r="N291" s="35">
        <f t="shared" si="36"/>
        <v>17.5</v>
      </c>
      <c r="O291" s="35">
        <v>540.51</v>
      </c>
      <c r="P291" s="131">
        <v>88.78</v>
      </c>
      <c r="Q291" s="132">
        <f t="shared" si="37"/>
        <v>9.5917343632111803E-5</v>
      </c>
      <c r="R291" s="38">
        <f t="shared" si="38"/>
        <v>1.6785535135619566E-3</v>
      </c>
    </row>
    <row r="292" spans="1:18">
      <c r="A292" s="36">
        <f t="shared" si="39"/>
        <v>284</v>
      </c>
      <c r="B292" s="35" t="s">
        <v>973</v>
      </c>
      <c r="C292" s="130">
        <v>45208</v>
      </c>
      <c r="D292" s="287" t="s">
        <v>974</v>
      </c>
      <c r="E292" s="130">
        <v>45229</v>
      </c>
      <c r="F292" s="130" t="s">
        <v>671</v>
      </c>
      <c r="G292" s="130">
        <v>45229</v>
      </c>
      <c r="H292" s="130">
        <v>45201</v>
      </c>
      <c r="I292" s="130">
        <v>45208</v>
      </c>
      <c r="J292" s="130">
        <f t="shared" si="32"/>
        <v>45204.5</v>
      </c>
      <c r="K292" s="263">
        <f t="shared" si="33"/>
        <v>4</v>
      </c>
      <c r="L292" s="35">
        <f t="shared" si="34"/>
        <v>21</v>
      </c>
      <c r="M292" s="35">
        <f t="shared" si="35"/>
        <v>0</v>
      </c>
      <c r="N292" s="35">
        <f t="shared" si="36"/>
        <v>25</v>
      </c>
      <c r="O292" s="35">
        <v>4942828.3499999996</v>
      </c>
      <c r="P292" s="131">
        <v>6248.57</v>
      </c>
      <c r="Q292" s="132">
        <f t="shared" si="37"/>
        <v>6.7509150247725257E-3</v>
      </c>
      <c r="R292" s="38">
        <f t="shared" si="38"/>
        <v>0.16877287561931315</v>
      </c>
    </row>
    <row r="293" spans="1:18">
      <c r="A293" s="36">
        <f t="shared" si="39"/>
        <v>285</v>
      </c>
      <c r="B293" s="35" t="s">
        <v>973</v>
      </c>
      <c r="C293" s="130">
        <v>45257</v>
      </c>
      <c r="D293" s="287" t="s">
        <v>975</v>
      </c>
      <c r="E293" s="130">
        <v>45278</v>
      </c>
      <c r="F293" s="130" t="s">
        <v>671</v>
      </c>
      <c r="G293" s="130">
        <v>45278</v>
      </c>
      <c r="H293" s="130">
        <v>45250</v>
      </c>
      <c r="I293" s="130">
        <v>45257</v>
      </c>
      <c r="J293" s="130">
        <f t="shared" si="32"/>
        <v>45253.5</v>
      </c>
      <c r="K293" s="263">
        <f t="shared" si="33"/>
        <v>4</v>
      </c>
      <c r="L293" s="35">
        <f t="shared" si="34"/>
        <v>21</v>
      </c>
      <c r="M293" s="35">
        <f t="shared" si="35"/>
        <v>0</v>
      </c>
      <c r="N293" s="35">
        <f t="shared" si="36"/>
        <v>25</v>
      </c>
      <c r="O293" s="35">
        <v>2864383.61</v>
      </c>
      <c r="P293" s="131">
        <v>4458.3999999999996</v>
      </c>
      <c r="Q293" s="132">
        <f t="shared" si="37"/>
        <v>4.8168268174071556E-3</v>
      </c>
      <c r="R293" s="38">
        <f t="shared" si="38"/>
        <v>0.12042067043517889</v>
      </c>
    </row>
    <row r="294" spans="1:18">
      <c r="A294" s="36">
        <f t="shared" si="39"/>
        <v>286</v>
      </c>
      <c r="B294" s="35" t="s">
        <v>973</v>
      </c>
      <c r="C294" s="130">
        <v>45154</v>
      </c>
      <c r="D294" s="287">
        <v>2394469000</v>
      </c>
      <c r="E294" s="130">
        <v>45314</v>
      </c>
      <c r="F294" s="130" t="s">
        <v>670</v>
      </c>
      <c r="G294" s="130">
        <v>45314</v>
      </c>
      <c r="H294" s="130">
        <v>45153</v>
      </c>
      <c r="I294" s="130">
        <v>45153</v>
      </c>
      <c r="J294" s="130">
        <f t="shared" si="32"/>
        <v>45153</v>
      </c>
      <c r="K294" s="263">
        <f t="shared" si="33"/>
        <v>0.5</v>
      </c>
      <c r="L294" s="35">
        <f t="shared" si="34"/>
        <v>160</v>
      </c>
      <c r="M294" s="35">
        <f t="shared" si="35"/>
        <v>0</v>
      </c>
      <c r="N294" s="35">
        <f t="shared" si="36"/>
        <v>160.5</v>
      </c>
      <c r="O294" s="35">
        <v>870749.4</v>
      </c>
      <c r="P294" s="131">
        <v>171.79</v>
      </c>
      <c r="Q294" s="132">
        <f t="shared" si="37"/>
        <v>1.8560081620365494E-4</v>
      </c>
      <c r="R294" s="38">
        <f t="shared" si="38"/>
        <v>2.9788931000686619E-2</v>
      </c>
    </row>
    <row r="295" spans="1:18">
      <c r="A295" s="36">
        <f t="shared" si="39"/>
        <v>287</v>
      </c>
      <c r="B295" s="35" t="s">
        <v>976</v>
      </c>
      <c r="C295" s="130">
        <v>45425</v>
      </c>
      <c r="D295" s="287">
        <v>65983448</v>
      </c>
      <c r="E295" s="130">
        <v>45440</v>
      </c>
      <c r="F295" s="130" t="s">
        <v>670</v>
      </c>
      <c r="G295" s="130">
        <v>45440</v>
      </c>
      <c r="H295" s="130">
        <v>45385</v>
      </c>
      <c r="I295" s="130">
        <v>45385</v>
      </c>
      <c r="J295" s="130">
        <f t="shared" si="32"/>
        <v>45385</v>
      </c>
      <c r="K295" s="263">
        <f t="shared" si="33"/>
        <v>0.5</v>
      </c>
      <c r="L295" s="35">
        <f t="shared" si="34"/>
        <v>15</v>
      </c>
      <c r="M295" s="35">
        <f t="shared" si="35"/>
        <v>0</v>
      </c>
      <c r="N295" s="35">
        <f t="shared" si="36"/>
        <v>15.5</v>
      </c>
      <c r="O295" s="35">
        <v>533.85</v>
      </c>
      <c r="P295" s="131">
        <v>544.24</v>
      </c>
      <c r="Q295" s="132">
        <f t="shared" si="37"/>
        <v>5.8799341178576855E-4</v>
      </c>
      <c r="R295" s="38">
        <f t="shared" si="38"/>
        <v>9.1138978826794132E-3</v>
      </c>
    </row>
    <row r="296" spans="1:18">
      <c r="A296" s="36">
        <f t="shared" si="39"/>
        <v>288</v>
      </c>
      <c r="B296" s="35" t="s">
        <v>977</v>
      </c>
      <c r="C296" s="130">
        <v>45231</v>
      </c>
      <c r="D296" s="287" t="s">
        <v>978</v>
      </c>
      <c r="E296" s="130">
        <v>45327</v>
      </c>
      <c r="F296" s="130" t="s">
        <v>668</v>
      </c>
      <c r="G296" s="130">
        <v>45337</v>
      </c>
      <c r="H296" s="130">
        <v>45231</v>
      </c>
      <c r="I296" s="130">
        <v>45231</v>
      </c>
      <c r="J296" s="130">
        <f t="shared" si="32"/>
        <v>45231</v>
      </c>
      <c r="K296" s="263">
        <f t="shared" si="33"/>
        <v>0.5</v>
      </c>
      <c r="L296" s="35">
        <f t="shared" si="34"/>
        <v>96</v>
      </c>
      <c r="M296" s="35">
        <f t="shared" si="35"/>
        <v>10</v>
      </c>
      <c r="N296" s="35">
        <f t="shared" si="36"/>
        <v>106.5</v>
      </c>
      <c r="O296" s="35">
        <v>2002.46</v>
      </c>
      <c r="P296" s="131">
        <v>2002.46</v>
      </c>
      <c r="Q296" s="132">
        <f t="shared" si="37"/>
        <v>2.1634449642887882E-3</v>
      </c>
      <c r="R296" s="38">
        <f t="shared" si="38"/>
        <v>0.23040688869675593</v>
      </c>
    </row>
    <row r="297" spans="1:18">
      <c r="A297" s="36">
        <f t="shared" si="39"/>
        <v>289</v>
      </c>
      <c r="B297" s="35" t="s">
        <v>979</v>
      </c>
      <c r="C297" s="130">
        <v>45383</v>
      </c>
      <c r="D297" s="287">
        <v>33739</v>
      </c>
      <c r="E297" s="130">
        <v>45411</v>
      </c>
      <c r="F297" s="130" t="s">
        <v>668</v>
      </c>
      <c r="G297" s="130">
        <v>45420</v>
      </c>
      <c r="H297" s="130">
        <v>45383</v>
      </c>
      <c r="I297" s="130">
        <v>45383</v>
      </c>
      <c r="J297" s="130">
        <f t="shared" si="32"/>
        <v>45383</v>
      </c>
      <c r="K297" s="263">
        <f t="shared" si="33"/>
        <v>0.5</v>
      </c>
      <c r="L297" s="35">
        <f t="shared" si="34"/>
        <v>28</v>
      </c>
      <c r="M297" s="35">
        <f t="shared" si="35"/>
        <v>9</v>
      </c>
      <c r="N297" s="35">
        <f t="shared" si="36"/>
        <v>37.5</v>
      </c>
      <c r="O297" s="35">
        <v>3180</v>
      </c>
      <c r="P297" s="131">
        <v>3180</v>
      </c>
      <c r="Q297" s="132">
        <f t="shared" si="37"/>
        <v>3.4356516416998821E-3</v>
      </c>
      <c r="R297" s="38">
        <f t="shared" si="38"/>
        <v>0.12883693656374559</v>
      </c>
    </row>
    <row r="298" spans="1:18">
      <c r="A298" s="36">
        <f t="shared" si="39"/>
        <v>290</v>
      </c>
      <c r="B298" s="35" t="s">
        <v>980</v>
      </c>
      <c r="C298" s="130">
        <v>45427</v>
      </c>
      <c r="D298" s="287">
        <v>1426356</v>
      </c>
      <c r="E298" s="130">
        <v>45441</v>
      </c>
      <c r="F298" s="130" t="s">
        <v>668</v>
      </c>
      <c r="G298" s="130">
        <v>45448</v>
      </c>
      <c r="H298" s="130">
        <v>45427</v>
      </c>
      <c r="I298" s="130">
        <v>45427</v>
      </c>
      <c r="J298" s="130">
        <f t="shared" si="32"/>
        <v>45427</v>
      </c>
      <c r="K298" s="263">
        <f t="shared" si="33"/>
        <v>0.5</v>
      </c>
      <c r="L298" s="35">
        <f t="shared" si="34"/>
        <v>14</v>
      </c>
      <c r="M298" s="35">
        <f t="shared" si="35"/>
        <v>7</v>
      </c>
      <c r="N298" s="35">
        <f t="shared" si="36"/>
        <v>21.5</v>
      </c>
      <c r="O298" s="35">
        <v>223.01</v>
      </c>
      <c r="P298" s="131">
        <v>45</v>
      </c>
      <c r="Q298" s="132">
        <f t="shared" si="37"/>
        <v>4.861771191084739E-5</v>
      </c>
      <c r="R298" s="38">
        <f t="shared" si="38"/>
        <v>1.0452808060832188E-3</v>
      </c>
    </row>
    <row r="299" spans="1:18">
      <c r="A299" s="36">
        <f t="shared" si="39"/>
        <v>291</v>
      </c>
      <c r="B299" s="35" t="s">
        <v>980</v>
      </c>
      <c r="C299" s="130">
        <v>45394</v>
      </c>
      <c r="D299" s="287">
        <v>1345881</v>
      </c>
      <c r="E299" s="130">
        <v>45411</v>
      </c>
      <c r="F299" s="130" t="s">
        <v>668</v>
      </c>
      <c r="G299" s="130">
        <v>45419</v>
      </c>
      <c r="H299" s="130">
        <v>45394</v>
      </c>
      <c r="I299" s="130">
        <v>45394</v>
      </c>
      <c r="J299" s="130">
        <f t="shared" si="32"/>
        <v>45394</v>
      </c>
      <c r="K299" s="263">
        <f t="shared" si="33"/>
        <v>0.5</v>
      </c>
      <c r="L299" s="35">
        <f t="shared" si="34"/>
        <v>17</v>
      </c>
      <c r="M299" s="35">
        <f t="shared" si="35"/>
        <v>8</v>
      </c>
      <c r="N299" s="35">
        <f t="shared" si="36"/>
        <v>25.5</v>
      </c>
      <c r="O299" s="35">
        <v>65.989999999999995</v>
      </c>
      <c r="P299" s="131">
        <v>65.989999999999995</v>
      </c>
      <c r="Q299" s="132">
        <f t="shared" si="37"/>
        <v>7.1295173533262644E-5</v>
      </c>
      <c r="R299" s="38">
        <f t="shared" si="38"/>
        <v>1.8180269250981974E-3</v>
      </c>
    </row>
    <row r="300" spans="1:18">
      <c r="A300" s="36">
        <f t="shared" si="39"/>
        <v>292</v>
      </c>
      <c r="B300" s="35" t="s">
        <v>981</v>
      </c>
      <c r="C300" s="130">
        <v>45156</v>
      </c>
      <c r="D300" s="287" t="s">
        <v>982</v>
      </c>
      <c r="E300" s="130">
        <v>45156</v>
      </c>
      <c r="F300" s="130" t="s">
        <v>670</v>
      </c>
      <c r="G300" s="130">
        <v>45156</v>
      </c>
      <c r="H300" s="130">
        <v>45122</v>
      </c>
      <c r="I300" s="130">
        <v>45152</v>
      </c>
      <c r="J300" s="130">
        <f t="shared" si="32"/>
        <v>45137</v>
      </c>
      <c r="K300" s="263">
        <f t="shared" si="33"/>
        <v>15.5</v>
      </c>
      <c r="L300" s="35">
        <f t="shared" si="34"/>
        <v>0</v>
      </c>
      <c r="M300" s="35">
        <f t="shared" si="35"/>
        <v>0</v>
      </c>
      <c r="N300" s="35">
        <f t="shared" si="36"/>
        <v>15.5</v>
      </c>
      <c r="O300" s="35">
        <v>67.540000000000006</v>
      </c>
      <c r="P300" s="131">
        <v>19.28</v>
      </c>
      <c r="Q300" s="132">
        <f t="shared" si="37"/>
        <v>2.0829988569803061E-5</v>
      </c>
      <c r="R300" s="38">
        <f t="shared" si="38"/>
        <v>3.2286482283194745E-4</v>
      </c>
    </row>
    <row r="301" spans="1:18">
      <c r="A301" s="36">
        <f t="shared" si="39"/>
        <v>293</v>
      </c>
      <c r="B301" s="35" t="s">
        <v>981</v>
      </c>
      <c r="C301" s="130">
        <v>45274</v>
      </c>
      <c r="D301" s="287" t="s">
        <v>983</v>
      </c>
      <c r="E301" s="130">
        <v>45275</v>
      </c>
      <c r="F301" s="130" t="s">
        <v>670</v>
      </c>
      <c r="G301" s="130">
        <v>45275</v>
      </c>
      <c r="H301" s="130">
        <v>45230</v>
      </c>
      <c r="I301" s="130">
        <v>45260</v>
      </c>
      <c r="J301" s="130">
        <f t="shared" si="32"/>
        <v>45245</v>
      </c>
      <c r="K301" s="263">
        <f t="shared" si="33"/>
        <v>15.5</v>
      </c>
      <c r="L301" s="35">
        <f t="shared" si="34"/>
        <v>1</v>
      </c>
      <c r="M301" s="35">
        <f t="shared" si="35"/>
        <v>0</v>
      </c>
      <c r="N301" s="35">
        <f t="shared" si="36"/>
        <v>16.5</v>
      </c>
      <c r="O301" s="35">
        <v>34.31</v>
      </c>
      <c r="P301" s="131">
        <v>34.31</v>
      </c>
      <c r="Q301" s="132">
        <f t="shared" si="37"/>
        <v>3.7068304348026088E-5</v>
      </c>
      <c r="R301" s="38">
        <f t="shared" si="38"/>
        <v>6.1162702174243045E-4</v>
      </c>
    </row>
    <row r="302" spans="1:18">
      <c r="A302" s="36">
        <f t="shared" si="39"/>
        <v>294</v>
      </c>
      <c r="B302" s="35" t="s">
        <v>981</v>
      </c>
      <c r="C302" s="130">
        <v>45460</v>
      </c>
      <c r="D302" s="287" t="s">
        <v>984</v>
      </c>
      <c r="E302" s="130">
        <v>45460</v>
      </c>
      <c r="F302" s="130" t="s">
        <v>670</v>
      </c>
      <c r="G302" s="130">
        <v>45460</v>
      </c>
      <c r="H302" s="130">
        <v>45399</v>
      </c>
      <c r="I302" s="130">
        <v>45429</v>
      </c>
      <c r="J302" s="130">
        <f t="shared" si="32"/>
        <v>45414</v>
      </c>
      <c r="K302" s="263">
        <f t="shared" si="33"/>
        <v>15.5</v>
      </c>
      <c r="L302" s="35">
        <f t="shared" si="34"/>
        <v>0</v>
      </c>
      <c r="M302" s="35">
        <f t="shared" si="35"/>
        <v>0</v>
      </c>
      <c r="N302" s="35">
        <f t="shared" si="36"/>
        <v>15.5</v>
      </c>
      <c r="O302" s="35">
        <v>1096.5999999999999</v>
      </c>
      <c r="P302" s="131">
        <v>1036.0999999999999</v>
      </c>
      <c r="Q302" s="132">
        <f t="shared" si="37"/>
        <v>1.1193958069073105E-3</v>
      </c>
      <c r="R302" s="38">
        <f t="shared" si="38"/>
        <v>1.7350635007063311E-2</v>
      </c>
    </row>
    <row r="303" spans="1:18">
      <c r="A303" s="36">
        <f t="shared" si="39"/>
        <v>295</v>
      </c>
      <c r="B303" s="35" t="s">
        <v>985</v>
      </c>
      <c r="C303" s="130">
        <v>45427</v>
      </c>
      <c r="D303" s="287">
        <v>4090</v>
      </c>
      <c r="E303" s="130">
        <v>45453</v>
      </c>
      <c r="F303" s="130" t="s">
        <v>668</v>
      </c>
      <c r="G303" s="130">
        <v>45463</v>
      </c>
      <c r="H303" s="130">
        <v>45427</v>
      </c>
      <c r="I303" s="130">
        <v>45427</v>
      </c>
      <c r="J303" s="130">
        <f t="shared" si="32"/>
        <v>45427</v>
      </c>
      <c r="K303" s="263">
        <f t="shared" si="33"/>
        <v>0.5</v>
      </c>
      <c r="L303" s="35">
        <f t="shared" si="34"/>
        <v>26</v>
      </c>
      <c r="M303" s="35">
        <f t="shared" si="35"/>
        <v>10</v>
      </c>
      <c r="N303" s="35">
        <f t="shared" si="36"/>
        <v>36.5</v>
      </c>
      <c r="O303" s="35">
        <v>2093.5</v>
      </c>
      <c r="P303" s="131">
        <v>2093.5</v>
      </c>
      <c r="Q303" s="132">
        <f t="shared" si="37"/>
        <v>2.2618039974524225E-3</v>
      </c>
      <c r="R303" s="38">
        <f t="shared" si="38"/>
        <v>8.2555845907013425E-2</v>
      </c>
    </row>
    <row r="304" spans="1:18">
      <c r="A304" s="36">
        <f t="shared" si="39"/>
        <v>296</v>
      </c>
      <c r="B304" s="35" t="s">
        <v>986</v>
      </c>
      <c r="C304" s="130">
        <v>45127</v>
      </c>
      <c r="D304" s="287" t="s">
        <v>987</v>
      </c>
      <c r="E304" s="130">
        <v>45127</v>
      </c>
      <c r="F304" s="130" t="s">
        <v>670</v>
      </c>
      <c r="G304" s="130">
        <v>45127</v>
      </c>
      <c r="H304" s="130">
        <v>45091</v>
      </c>
      <c r="I304" s="130">
        <v>45124</v>
      </c>
      <c r="J304" s="130">
        <f t="shared" si="32"/>
        <v>45107.5</v>
      </c>
      <c r="K304" s="263">
        <f t="shared" si="33"/>
        <v>17</v>
      </c>
      <c r="L304" s="35">
        <f t="shared" si="34"/>
        <v>0</v>
      </c>
      <c r="M304" s="35">
        <f t="shared" si="35"/>
        <v>0</v>
      </c>
      <c r="N304" s="35">
        <f t="shared" si="36"/>
        <v>17</v>
      </c>
      <c r="O304" s="35">
        <v>89.09</v>
      </c>
      <c r="P304" s="131">
        <v>36.03</v>
      </c>
      <c r="Q304" s="132">
        <f t="shared" si="37"/>
        <v>3.8926581336618478E-5</v>
      </c>
      <c r="R304" s="38">
        <f t="shared" si="38"/>
        <v>6.6175188272251414E-4</v>
      </c>
    </row>
    <row r="305" spans="1:18">
      <c r="A305" s="36">
        <f t="shared" si="39"/>
        <v>297</v>
      </c>
      <c r="B305" s="35" t="s">
        <v>986</v>
      </c>
      <c r="C305" s="130">
        <v>45218</v>
      </c>
      <c r="D305" s="287" t="s">
        <v>988</v>
      </c>
      <c r="E305" s="130">
        <v>45220</v>
      </c>
      <c r="F305" s="130" t="s">
        <v>670</v>
      </c>
      <c r="G305" s="130">
        <v>45220</v>
      </c>
      <c r="H305" s="130">
        <v>45180</v>
      </c>
      <c r="I305" s="130">
        <v>45209</v>
      </c>
      <c r="J305" s="130">
        <f t="shared" si="32"/>
        <v>45194.5</v>
      </c>
      <c r="K305" s="263">
        <f t="shared" si="33"/>
        <v>15</v>
      </c>
      <c r="L305" s="35">
        <f t="shared" si="34"/>
        <v>2</v>
      </c>
      <c r="M305" s="35">
        <f t="shared" si="35"/>
        <v>0</v>
      </c>
      <c r="N305" s="35">
        <f t="shared" si="36"/>
        <v>17</v>
      </c>
      <c r="O305" s="35">
        <v>52</v>
      </c>
      <c r="P305" s="131">
        <v>52</v>
      </c>
      <c r="Q305" s="132">
        <f t="shared" si="37"/>
        <v>5.6180467096979206E-5</v>
      </c>
      <c r="R305" s="38">
        <f t="shared" si="38"/>
        <v>9.5506794064864652E-4</v>
      </c>
    </row>
    <row r="306" spans="1:18">
      <c r="A306" s="36">
        <f t="shared" si="39"/>
        <v>298</v>
      </c>
      <c r="B306" s="35" t="s">
        <v>986</v>
      </c>
      <c r="C306" s="130">
        <v>45251</v>
      </c>
      <c r="D306" s="287" t="s">
        <v>989</v>
      </c>
      <c r="E306" s="130">
        <v>45251</v>
      </c>
      <c r="F306" s="130" t="s">
        <v>670</v>
      </c>
      <c r="G306" s="130">
        <v>45251</v>
      </c>
      <c r="H306" s="130">
        <v>45209</v>
      </c>
      <c r="I306" s="130">
        <v>45239</v>
      </c>
      <c r="J306" s="130">
        <f t="shared" si="32"/>
        <v>45224</v>
      </c>
      <c r="K306" s="263">
        <f t="shared" si="33"/>
        <v>15.5</v>
      </c>
      <c r="L306" s="35">
        <f t="shared" si="34"/>
        <v>0</v>
      </c>
      <c r="M306" s="35">
        <f t="shared" si="35"/>
        <v>0</v>
      </c>
      <c r="N306" s="35">
        <f t="shared" si="36"/>
        <v>15.5</v>
      </c>
      <c r="O306" s="35">
        <v>51.84</v>
      </c>
      <c r="P306" s="131">
        <v>51.84</v>
      </c>
      <c r="Q306" s="132">
        <f t="shared" si="37"/>
        <v>5.6007604121296195E-5</v>
      </c>
      <c r="R306" s="38">
        <f t="shared" si="38"/>
        <v>8.6811786388009101E-4</v>
      </c>
    </row>
    <row r="307" spans="1:18">
      <c r="A307" s="36">
        <f t="shared" si="39"/>
        <v>299</v>
      </c>
      <c r="B307" s="35" t="s">
        <v>986</v>
      </c>
      <c r="C307" s="130">
        <v>45252</v>
      </c>
      <c r="D307" s="287" t="s">
        <v>990</v>
      </c>
      <c r="E307" s="130">
        <v>45256</v>
      </c>
      <c r="F307" s="130" t="s">
        <v>670</v>
      </c>
      <c r="G307" s="130">
        <v>45256</v>
      </c>
      <c r="H307" s="130">
        <v>45210</v>
      </c>
      <c r="I307" s="130">
        <v>45240</v>
      </c>
      <c r="J307" s="130">
        <f t="shared" si="32"/>
        <v>45225</v>
      </c>
      <c r="K307" s="263">
        <f t="shared" si="33"/>
        <v>15.5</v>
      </c>
      <c r="L307" s="35">
        <f t="shared" si="34"/>
        <v>4</v>
      </c>
      <c r="M307" s="35">
        <f t="shared" si="35"/>
        <v>0</v>
      </c>
      <c r="N307" s="35">
        <f t="shared" si="36"/>
        <v>19.5</v>
      </c>
      <c r="O307" s="35">
        <v>94.55</v>
      </c>
      <c r="P307" s="131">
        <v>40.07</v>
      </c>
      <c r="Q307" s="132">
        <f t="shared" si="37"/>
        <v>4.3291371472614553E-5</v>
      </c>
      <c r="R307" s="38">
        <f t="shared" si="38"/>
        <v>8.4418174371598382E-4</v>
      </c>
    </row>
    <row r="308" spans="1:18">
      <c r="A308" s="36">
        <f t="shared" si="39"/>
        <v>300</v>
      </c>
      <c r="B308" s="35" t="s">
        <v>986</v>
      </c>
      <c r="C308" s="130">
        <v>45308</v>
      </c>
      <c r="D308" s="287" t="s">
        <v>991</v>
      </c>
      <c r="E308" s="130">
        <v>45308</v>
      </c>
      <c r="F308" s="130" t="s">
        <v>670</v>
      </c>
      <c r="G308" s="130">
        <v>45308</v>
      </c>
      <c r="H308" s="130">
        <v>45271</v>
      </c>
      <c r="I308" s="130">
        <v>45301</v>
      </c>
      <c r="J308" s="130">
        <f t="shared" si="32"/>
        <v>45286</v>
      </c>
      <c r="K308" s="263">
        <f t="shared" si="33"/>
        <v>15.5</v>
      </c>
      <c r="L308" s="35">
        <f t="shared" si="34"/>
        <v>0</v>
      </c>
      <c r="M308" s="35">
        <f t="shared" si="35"/>
        <v>0</v>
      </c>
      <c r="N308" s="35">
        <f t="shared" si="36"/>
        <v>15.5</v>
      </c>
      <c r="O308" s="35">
        <v>50.94</v>
      </c>
      <c r="P308" s="131">
        <v>50.94</v>
      </c>
      <c r="Q308" s="132">
        <f t="shared" si="37"/>
        <v>5.5035249883079246E-5</v>
      </c>
      <c r="R308" s="38">
        <f t="shared" si="38"/>
        <v>8.5304637318772832E-4</v>
      </c>
    </row>
    <row r="309" spans="1:18">
      <c r="A309" s="36">
        <f t="shared" si="39"/>
        <v>301</v>
      </c>
      <c r="B309" s="35" t="s">
        <v>986</v>
      </c>
      <c r="C309" s="130">
        <v>45418</v>
      </c>
      <c r="D309" s="287" t="s">
        <v>992</v>
      </c>
      <c r="E309" s="130">
        <v>45418</v>
      </c>
      <c r="F309" s="130" t="s">
        <v>670</v>
      </c>
      <c r="G309" s="130">
        <v>45418</v>
      </c>
      <c r="H309" s="130">
        <v>45382</v>
      </c>
      <c r="I309" s="130">
        <v>45412</v>
      </c>
      <c r="J309" s="130">
        <f t="shared" si="32"/>
        <v>45397</v>
      </c>
      <c r="K309" s="263">
        <f t="shared" si="33"/>
        <v>15.5</v>
      </c>
      <c r="L309" s="35">
        <f t="shared" si="34"/>
        <v>0</v>
      </c>
      <c r="M309" s="35">
        <f t="shared" si="35"/>
        <v>0</v>
      </c>
      <c r="N309" s="35">
        <f t="shared" si="36"/>
        <v>15.5</v>
      </c>
      <c r="O309" s="35">
        <v>901.99</v>
      </c>
      <c r="P309" s="131">
        <v>42.02</v>
      </c>
      <c r="Q309" s="132">
        <f t="shared" si="37"/>
        <v>4.5398138988751275E-5</v>
      </c>
      <c r="R309" s="38">
        <f t="shared" si="38"/>
        <v>7.0367115432564472E-4</v>
      </c>
    </row>
    <row r="310" spans="1:18">
      <c r="A310" s="36">
        <f t="shared" si="39"/>
        <v>302</v>
      </c>
      <c r="B310" s="35" t="s">
        <v>986</v>
      </c>
      <c r="C310" s="130">
        <v>45471</v>
      </c>
      <c r="D310" s="287" t="s">
        <v>993</v>
      </c>
      <c r="E310" s="130">
        <v>45471</v>
      </c>
      <c r="F310" s="130" t="s">
        <v>670</v>
      </c>
      <c r="G310" s="130">
        <v>45471</v>
      </c>
      <c r="H310" s="130">
        <v>45433</v>
      </c>
      <c r="I310" s="130">
        <v>45467</v>
      </c>
      <c r="J310" s="130">
        <f t="shared" si="32"/>
        <v>45450</v>
      </c>
      <c r="K310" s="263">
        <f t="shared" si="33"/>
        <v>17.5</v>
      </c>
      <c r="L310" s="35">
        <f t="shared" si="34"/>
        <v>0</v>
      </c>
      <c r="M310" s="35">
        <f t="shared" si="35"/>
        <v>0</v>
      </c>
      <c r="N310" s="35">
        <f t="shared" si="36"/>
        <v>17.5</v>
      </c>
      <c r="O310" s="35">
        <v>1092.8699999999999</v>
      </c>
      <c r="P310" s="131">
        <v>53.4</v>
      </c>
      <c r="Q310" s="132">
        <f t="shared" si="37"/>
        <v>5.7693018134205568E-5</v>
      </c>
      <c r="R310" s="38">
        <f t="shared" si="38"/>
        <v>1.0096278173485974E-3</v>
      </c>
    </row>
    <row r="311" spans="1:18">
      <c r="A311" s="36">
        <f t="shared" si="39"/>
        <v>303</v>
      </c>
      <c r="B311" s="35" t="s">
        <v>994</v>
      </c>
      <c r="C311" s="130">
        <v>45334</v>
      </c>
      <c r="D311" s="287" t="s">
        <v>995</v>
      </c>
      <c r="E311" s="130">
        <v>45337</v>
      </c>
      <c r="F311" s="130" t="s">
        <v>670</v>
      </c>
      <c r="G311" s="130">
        <v>45337</v>
      </c>
      <c r="H311" s="130">
        <v>45334</v>
      </c>
      <c r="I311" s="130">
        <v>45334</v>
      </c>
      <c r="J311" s="130">
        <f t="shared" si="32"/>
        <v>45334</v>
      </c>
      <c r="K311" s="263">
        <f t="shared" si="33"/>
        <v>0.5</v>
      </c>
      <c r="L311" s="35">
        <f t="shared" si="34"/>
        <v>3</v>
      </c>
      <c r="M311" s="35">
        <f t="shared" si="35"/>
        <v>0</v>
      </c>
      <c r="N311" s="35">
        <f t="shared" si="36"/>
        <v>3.5</v>
      </c>
      <c r="O311" s="35">
        <v>12</v>
      </c>
      <c r="P311" s="131">
        <v>12</v>
      </c>
      <c r="Q311" s="132">
        <f t="shared" si="37"/>
        <v>1.2964723176225971E-5</v>
      </c>
      <c r="R311" s="38">
        <f t="shared" si="38"/>
        <v>4.5376531116790902E-5</v>
      </c>
    </row>
    <row r="312" spans="1:18">
      <c r="A312" s="36">
        <f t="shared" si="39"/>
        <v>304</v>
      </c>
      <c r="B312" s="35" t="s">
        <v>994</v>
      </c>
      <c r="C312" s="130">
        <v>45377</v>
      </c>
      <c r="D312" s="287" t="s">
        <v>996</v>
      </c>
      <c r="E312" s="130">
        <v>45383</v>
      </c>
      <c r="F312" s="130" t="s">
        <v>670</v>
      </c>
      <c r="G312" s="130">
        <v>45383</v>
      </c>
      <c r="H312" s="130">
        <v>45377</v>
      </c>
      <c r="I312" s="130">
        <v>45377</v>
      </c>
      <c r="J312" s="130">
        <f t="shared" si="32"/>
        <v>45377</v>
      </c>
      <c r="K312" s="263">
        <f t="shared" si="33"/>
        <v>0.5</v>
      </c>
      <c r="L312" s="35">
        <f t="shared" si="34"/>
        <v>6</v>
      </c>
      <c r="M312" s="35">
        <f t="shared" si="35"/>
        <v>0</v>
      </c>
      <c r="N312" s="35">
        <f t="shared" si="36"/>
        <v>6.5</v>
      </c>
      <c r="O312" s="35">
        <v>30.8</v>
      </c>
      <c r="P312" s="131">
        <v>13.85</v>
      </c>
      <c r="Q312" s="132">
        <f t="shared" si="37"/>
        <v>1.4963451332560808E-5</v>
      </c>
      <c r="R312" s="38">
        <f t="shared" si="38"/>
        <v>9.7262433661645254E-5</v>
      </c>
    </row>
    <row r="313" spans="1:18">
      <c r="A313" s="36">
        <f t="shared" si="39"/>
        <v>305</v>
      </c>
      <c r="B313" s="35" t="s">
        <v>994</v>
      </c>
      <c r="C313" s="130">
        <v>45377</v>
      </c>
      <c r="D313" s="287" t="s">
        <v>997</v>
      </c>
      <c r="E313" s="130">
        <v>45383</v>
      </c>
      <c r="F313" s="130" t="s">
        <v>670</v>
      </c>
      <c r="G313" s="130">
        <v>45383</v>
      </c>
      <c r="H313" s="130">
        <v>45377</v>
      </c>
      <c r="I313" s="130">
        <v>45377</v>
      </c>
      <c r="J313" s="130">
        <f t="shared" si="32"/>
        <v>45377</v>
      </c>
      <c r="K313" s="263">
        <f t="shared" si="33"/>
        <v>0.5</v>
      </c>
      <c r="L313" s="35">
        <f t="shared" si="34"/>
        <v>6</v>
      </c>
      <c r="M313" s="35">
        <f t="shared" si="35"/>
        <v>0</v>
      </c>
      <c r="N313" s="35">
        <f t="shared" si="36"/>
        <v>6.5</v>
      </c>
      <c r="O313" s="35">
        <v>30.8</v>
      </c>
      <c r="P313" s="131">
        <v>16.95</v>
      </c>
      <c r="Q313" s="132">
        <f t="shared" si="37"/>
        <v>1.8312671486419182E-5</v>
      </c>
      <c r="R313" s="38">
        <f t="shared" si="38"/>
        <v>1.1903236466172468E-4</v>
      </c>
    </row>
    <row r="314" spans="1:18">
      <c r="A314" s="36">
        <f t="shared" si="39"/>
        <v>306</v>
      </c>
      <c r="B314" s="35" t="s">
        <v>994</v>
      </c>
      <c r="C314" s="130">
        <v>45408</v>
      </c>
      <c r="D314" s="287" t="s">
        <v>998</v>
      </c>
      <c r="E314" s="130">
        <v>45414</v>
      </c>
      <c r="F314" s="130" t="s">
        <v>670</v>
      </c>
      <c r="G314" s="130">
        <v>45414</v>
      </c>
      <c r="H314" s="130">
        <v>45408</v>
      </c>
      <c r="I314" s="130">
        <v>45408</v>
      </c>
      <c r="J314" s="130">
        <f t="shared" si="32"/>
        <v>45408</v>
      </c>
      <c r="K314" s="263">
        <f t="shared" si="33"/>
        <v>0.5</v>
      </c>
      <c r="L314" s="35">
        <f t="shared" si="34"/>
        <v>6</v>
      </c>
      <c r="M314" s="35">
        <f t="shared" si="35"/>
        <v>0</v>
      </c>
      <c r="N314" s="35">
        <f t="shared" si="36"/>
        <v>6.5</v>
      </c>
      <c r="O314" s="35">
        <v>15.31</v>
      </c>
      <c r="P314" s="131">
        <v>15.31</v>
      </c>
      <c r="Q314" s="132">
        <f t="shared" si="37"/>
        <v>1.6540825985668301E-5</v>
      </c>
      <c r="R314" s="38">
        <f t="shared" si="38"/>
        <v>1.0751536890684396E-4</v>
      </c>
    </row>
    <row r="315" spans="1:18">
      <c r="A315" s="36">
        <f t="shared" si="39"/>
        <v>307</v>
      </c>
      <c r="B315" s="35" t="s">
        <v>994</v>
      </c>
      <c r="C315" s="130">
        <v>45302</v>
      </c>
      <c r="D315" s="287" t="s">
        <v>999</v>
      </c>
      <c r="E315" s="130">
        <v>45310</v>
      </c>
      <c r="F315" s="130" t="s">
        <v>670</v>
      </c>
      <c r="G315" s="130">
        <v>45310</v>
      </c>
      <c r="H315" s="130">
        <v>45302</v>
      </c>
      <c r="I315" s="130">
        <v>45302</v>
      </c>
      <c r="J315" s="130">
        <f t="shared" si="32"/>
        <v>45302</v>
      </c>
      <c r="K315" s="263">
        <f t="shared" si="33"/>
        <v>0.5</v>
      </c>
      <c r="L315" s="35">
        <f t="shared" si="34"/>
        <v>8</v>
      </c>
      <c r="M315" s="35">
        <f t="shared" si="35"/>
        <v>0</v>
      </c>
      <c r="N315" s="35">
        <f t="shared" si="36"/>
        <v>8.5</v>
      </c>
      <c r="O315" s="35">
        <v>18.62</v>
      </c>
      <c r="P315" s="131">
        <v>18.62</v>
      </c>
      <c r="Q315" s="132">
        <f t="shared" si="37"/>
        <v>2.0116928795110631E-5</v>
      </c>
      <c r="R315" s="38">
        <f t="shared" si="38"/>
        <v>1.7099389475844036E-4</v>
      </c>
    </row>
    <row r="316" spans="1:18">
      <c r="A316" s="36">
        <f t="shared" si="39"/>
        <v>308</v>
      </c>
      <c r="B316" s="35" t="s">
        <v>994</v>
      </c>
      <c r="C316" s="130">
        <v>45128</v>
      </c>
      <c r="D316" s="287" t="s">
        <v>1000</v>
      </c>
      <c r="E316" s="130">
        <v>45138</v>
      </c>
      <c r="F316" s="130" t="s">
        <v>671</v>
      </c>
      <c r="G316" s="130">
        <v>45138</v>
      </c>
      <c r="H316" s="130">
        <v>45128</v>
      </c>
      <c r="I316" s="130">
        <v>45128</v>
      </c>
      <c r="J316" s="130">
        <f t="shared" si="32"/>
        <v>45128</v>
      </c>
      <c r="K316" s="263">
        <f t="shared" si="33"/>
        <v>0.5</v>
      </c>
      <c r="L316" s="35">
        <f t="shared" si="34"/>
        <v>10</v>
      </c>
      <c r="M316" s="35">
        <f t="shared" si="35"/>
        <v>0</v>
      </c>
      <c r="N316" s="35">
        <f t="shared" si="36"/>
        <v>10.5</v>
      </c>
      <c r="O316" s="35">
        <v>17.68</v>
      </c>
      <c r="P316" s="131">
        <v>17.68</v>
      </c>
      <c r="Q316" s="132">
        <f t="shared" si="37"/>
        <v>1.9101358812972931E-5</v>
      </c>
      <c r="R316" s="38">
        <f t="shared" si="38"/>
        <v>2.0056426753621578E-4</v>
      </c>
    </row>
    <row r="317" spans="1:18">
      <c r="A317" s="36">
        <f t="shared" si="39"/>
        <v>309</v>
      </c>
      <c r="B317" s="35" t="s">
        <v>1001</v>
      </c>
      <c r="C317" s="130">
        <v>45133</v>
      </c>
      <c r="D317" s="287" t="s">
        <v>1002</v>
      </c>
      <c r="E317" s="130">
        <v>45133</v>
      </c>
      <c r="F317" s="130" t="s">
        <v>670</v>
      </c>
      <c r="G317" s="130">
        <v>45133</v>
      </c>
      <c r="H317" s="130">
        <v>45098</v>
      </c>
      <c r="I317" s="130">
        <v>45128</v>
      </c>
      <c r="J317" s="130">
        <f t="shared" si="32"/>
        <v>45113</v>
      </c>
      <c r="K317" s="263">
        <f t="shared" si="33"/>
        <v>15.5</v>
      </c>
      <c r="L317" s="35">
        <f t="shared" si="34"/>
        <v>0</v>
      </c>
      <c r="M317" s="35">
        <f t="shared" si="35"/>
        <v>0</v>
      </c>
      <c r="N317" s="35">
        <f t="shared" si="36"/>
        <v>15.5</v>
      </c>
      <c r="O317" s="35">
        <v>644.16999999999996</v>
      </c>
      <c r="P317" s="131">
        <v>69.84</v>
      </c>
      <c r="Q317" s="132">
        <f t="shared" si="37"/>
        <v>7.5454688885635154E-5</v>
      </c>
      <c r="R317" s="38">
        <f t="shared" si="38"/>
        <v>1.1695476777273449E-3</v>
      </c>
    </row>
    <row r="318" spans="1:18">
      <c r="A318" s="36">
        <f t="shared" si="39"/>
        <v>310</v>
      </c>
      <c r="B318" s="35" t="s">
        <v>1001</v>
      </c>
      <c r="C318" s="130">
        <v>45135</v>
      </c>
      <c r="D318" s="287" t="s">
        <v>1003</v>
      </c>
      <c r="E318" s="130">
        <v>45135</v>
      </c>
      <c r="F318" s="130" t="s">
        <v>670</v>
      </c>
      <c r="G318" s="130">
        <v>45135</v>
      </c>
      <c r="H318" s="130">
        <v>45096</v>
      </c>
      <c r="I318" s="130">
        <v>45126</v>
      </c>
      <c r="J318" s="130">
        <f t="shared" si="32"/>
        <v>45111</v>
      </c>
      <c r="K318" s="263">
        <f t="shared" si="33"/>
        <v>15.5</v>
      </c>
      <c r="L318" s="35">
        <f t="shared" si="34"/>
        <v>0</v>
      </c>
      <c r="M318" s="35">
        <f t="shared" si="35"/>
        <v>0</v>
      </c>
      <c r="N318" s="35">
        <f t="shared" si="36"/>
        <v>15.5</v>
      </c>
      <c r="O318" s="35">
        <v>66.31</v>
      </c>
      <c r="P318" s="131">
        <v>31.66</v>
      </c>
      <c r="Q318" s="132">
        <f t="shared" si="37"/>
        <v>3.4205261313276189E-5</v>
      </c>
      <c r="R318" s="38">
        <f t="shared" si="38"/>
        <v>5.3018155035578093E-4</v>
      </c>
    </row>
    <row r="319" spans="1:18">
      <c r="A319" s="36">
        <f t="shared" si="39"/>
        <v>311</v>
      </c>
      <c r="B319" s="35" t="s">
        <v>1001</v>
      </c>
      <c r="C319" s="130">
        <v>45201</v>
      </c>
      <c r="D319" s="287" t="s">
        <v>1004</v>
      </c>
      <c r="E319" s="130">
        <v>45201</v>
      </c>
      <c r="F319" s="130" t="s">
        <v>670</v>
      </c>
      <c r="G319" s="130">
        <v>45201</v>
      </c>
      <c r="H319" s="130">
        <v>45159</v>
      </c>
      <c r="I319" s="130">
        <v>45190</v>
      </c>
      <c r="J319" s="130">
        <f t="shared" si="32"/>
        <v>45174.5</v>
      </c>
      <c r="K319" s="263">
        <f t="shared" si="33"/>
        <v>16</v>
      </c>
      <c r="L319" s="35">
        <f t="shared" si="34"/>
        <v>0</v>
      </c>
      <c r="M319" s="35">
        <f t="shared" si="35"/>
        <v>0</v>
      </c>
      <c r="N319" s="35">
        <f t="shared" si="36"/>
        <v>16</v>
      </c>
      <c r="O319" s="35">
        <v>660.32</v>
      </c>
      <c r="P319" s="131">
        <v>41.82</v>
      </c>
      <c r="Q319" s="132">
        <f t="shared" si="37"/>
        <v>4.518206026914751E-5</v>
      </c>
      <c r="R319" s="38">
        <f t="shared" si="38"/>
        <v>7.2291296430636017E-4</v>
      </c>
    </row>
    <row r="320" spans="1:18">
      <c r="A320" s="36">
        <f t="shared" si="39"/>
        <v>312</v>
      </c>
      <c r="B320" s="35" t="s">
        <v>1001</v>
      </c>
      <c r="C320" s="130">
        <v>45224</v>
      </c>
      <c r="D320" s="287" t="s">
        <v>1005</v>
      </c>
      <c r="E320" s="130">
        <v>45224</v>
      </c>
      <c r="F320" s="130" t="s">
        <v>670</v>
      </c>
      <c r="G320" s="130">
        <v>45224</v>
      </c>
      <c r="H320" s="130">
        <v>45190</v>
      </c>
      <c r="I320" s="130">
        <v>45220</v>
      </c>
      <c r="J320" s="130">
        <f t="shared" si="32"/>
        <v>45205</v>
      </c>
      <c r="K320" s="263">
        <f t="shared" si="33"/>
        <v>15.5</v>
      </c>
      <c r="L320" s="35">
        <f t="shared" si="34"/>
        <v>0</v>
      </c>
      <c r="M320" s="35">
        <f t="shared" si="35"/>
        <v>0</v>
      </c>
      <c r="N320" s="35">
        <f t="shared" si="36"/>
        <v>15.5</v>
      </c>
      <c r="O320" s="35">
        <v>633.08000000000004</v>
      </c>
      <c r="P320" s="131">
        <v>35.5</v>
      </c>
      <c r="Q320" s="132">
        <f t="shared" si="37"/>
        <v>3.8353972729668498E-5</v>
      </c>
      <c r="R320" s="38">
        <f t="shared" si="38"/>
        <v>5.9448657730986167E-4</v>
      </c>
    </row>
    <row r="321" spans="1:18">
      <c r="A321" s="36">
        <f t="shared" si="39"/>
        <v>313</v>
      </c>
      <c r="B321" s="35" t="s">
        <v>1001</v>
      </c>
      <c r="C321" s="130">
        <v>45229</v>
      </c>
      <c r="D321" s="287" t="s">
        <v>1006</v>
      </c>
      <c r="E321" s="130">
        <v>45229</v>
      </c>
      <c r="F321" s="130" t="s">
        <v>670</v>
      </c>
      <c r="G321" s="130">
        <v>45229</v>
      </c>
      <c r="H321" s="130">
        <v>45195</v>
      </c>
      <c r="I321" s="130">
        <v>45225</v>
      </c>
      <c r="J321" s="130">
        <f t="shared" si="32"/>
        <v>45210</v>
      </c>
      <c r="K321" s="263">
        <f t="shared" si="33"/>
        <v>15.5</v>
      </c>
      <c r="L321" s="35">
        <f t="shared" si="34"/>
        <v>0</v>
      </c>
      <c r="M321" s="35">
        <f t="shared" si="35"/>
        <v>0</v>
      </c>
      <c r="N321" s="35">
        <f t="shared" si="36"/>
        <v>15.5</v>
      </c>
      <c r="O321" s="35">
        <v>70.599999999999994</v>
      </c>
      <c r="P321" s="131">
        <v>36.75</v>
      </c>
      <c r="Q321" s="132">
        <f t="shared" si="37"/>
        <v>3.9704464727192036E-5</v>
      </c>
      <c r="R321" s="38">
        <f t="shared" si="38"/>
        <v>6.1541920327147655E-4</v>
      </c>
    </row>
    <row r="322" spans="1:18">
      <c r="A322" s="36">
        <f t="shared" si="39"/>
        <v>314</v>
      </c>
      <c r="B322" s="35" t="s">
        <v>1001</v>
      </c>
      <c r="C322" s="130">
        <v>45261</v>
      </c>
      <c r="D322" s="287" t="s">
        <v>1007</v>
      </c>
      <c r="E322" s="130">
        <v>45261</v>
      </c>
      <c r="F322" s="130" t="s">
        <v>670</v>
      </c>
      <c r="G322" s="130">
        <v>45261</v>
      </c>
      <c r="H322" s="130">
        <v>45228</v>
      </c>
      <c r="I322" s="130">
        <v>45259</v>
      </c>
      <c r="J322" s="130">
        <f t="shared" si="32"/>
        <v>45243.5</v>
      </c>
      <c r="K322" s="263">
        <f t="shared" si="33"/>
        <v>16</v>
      </c>
      <c r="L322" s="35">
        <f t="shared" si="34"/>
        <v>0</v>
      </c>
      <c r="M322" s="35">
        <f t="shared" si="35"/>
        <v>0</v>
      </c>
      <c r="N322" s="35">
        <f t="shared" si="36"/>
        <v>16</v>
      </c>
      <c r="O322" s="35">
        <v>162.33000000000001</v>
      </c>
      <c r="P322" s="131">
        <v>46.13</v>
      </c>
      <c r="Q322" s="132">
        <f t="shared" si="37"/>
        <v>4.9838556676608672E-5</v>
      </c>
      <c r="R322" s="38">
        <f t="shared" si="38"/>
        <v>7.9741690682573875E-4</v>
      </c>
    </row>
    <row r="323" spans="1:18">
      <c r="A323" s="36">
        <f t="shared" si="39"/>
        <v>315</v>
      </c>
      <c r="B323" s="35" t="s">
        <v>1001</v>
      </c>
      <c r="C323" s="130">
        <v>45280</v>
      </c>
      <c r="D323" s="287" t="s">
        <v>1008</v>
      </c>
      <c r="E323" s="130">
        <v>45280</v>
      </c>
      <c r="F323" s="130" t="s">
        <v>670</v>
      </c>
      <c r="G323" s="130">
        <v>45280</v>
      </c>
      <c r="H323" s="130">
        <v>45249</v>
      </c>
      <c r="I323" s="130">
        <v>45279</v>
      </c>
      <c r="J323" s="130">
        <f t="shared" si="32"/>
        <v>45264</v>
      </c>
      <c r="K323" s="263">
        <f t="shared" si="33"/>
        <v>15.5</v>
      </c>
      <c r="L323" s="35">
        <f t="shared" si="34"/>
        <v>0</v>
      </c>
      <c r="M323" s="35">
        <f t="shared" si="35"/>
        <v>0</v>
      </c>
      <c r="N323" s="35">
        <f t="shared" si="36"/>
        <v>15.5</v>
      </c>
      <c r="O323" s="35">
        <v>84.47</v>
      </c>
      <c r="P323" s="131">
        <v>84.47</v>
      </c>
      <c r="Q323" s="132">
        <f t="shared" si="37"/>
        <v>9.1260847224650641E-5</v>
      </c>
      <c r="R323" s="38">
        <f t="shared" si="38"/>
        <v>1.4145431319820849E-3</v>
      </c>
    </row>
    <row r="324" spans="1:18">
      <c r="A324" s="36">
        <f t="shared" si="39"/>
        <v>316</v>
      </c>
      <c r="B324" s="35" t="s">
        <v>1001</v>
      </c>
      <c r="C324" s="130">
        <v>45282</v>
      </c>
      <c r="D324" s="287" t="s">
        <v>1009</v>
      </c>
      <c r="E324" s="130">
        <v>45282</v>
      </c>
      <c r="F324" s="130" t="s">
        <v>670</v>
      </c>
      <c r="G324" s="130">
        <v>45282</v>
      </c>
      <c r="H324" s="130">
        <v>45251</v>
      </c>
      <c r="I324" s="130">
        <v>45281</v>
      </c>
      <c r="J324" s="130">
        <f t="shared" si="32"/>
        <v>45266</v>
      </c>
      <c r="K324" s="263">
        <f t="shared" si="33"/>
        <v>15.5</v>
      </c>
      <c r="L324" s="35">
        <f t="shared" si="34"/>
        <v>0</v>
      </c>
      <c r="M324" s="35">
        <f t="shared" si="35"/>
        <v>0</v>
      </c>
      <c r="N324" s="35">
        <f t="shared" si="36"/>
        <v>15.5</v>
      </c>
      <c r="O324" s="35">
        <v>610.66</v>
      </c>
      <c r="P324" s="131">
        <v>49.49</v>
      </c>
      <c r="Q324" s="132">
        <f t="shared" si="37"/>
        <v>5.3468679165951943E-5</v>
      </c>
      <c r="R324" s="38">
        <f t="shared" si="38"/>
        <v>8.2876452707225515E-4</v>
      </c>
    </row>
    <row r="325" spans="1:18">
      <c r="A325" s="36">
        <f t="shared" si="39"/>
        <v>317</v>
      </c>
      <c r="B325" s="35" t="s">
        <v>1001</v>
      </c>
      <c r="C325" s="130">
        <v>45289</v>
      </c>
      <c r="D325" s="287" t="s">
        <v>1010</v>
      </c>
      <c r="E325" s="130">
        <v>45289</v>
      </c>
      <c r="F325" s="130" t="s">
        <v>670</v>
      </c>
      <c r="G325" s="130">
        <v>45289</v>
      </c>
      <c r="H325" s="130">
        <v>45258</v>
      </c>
      <c r="I325" s="130">
        <v>45288</v>
      </c>
      <c r="J325" s="130">
        <f t="shared" si="32"/>
        <v>45273</v>
      </c>
      <c r="K325" s="263">
        <f t="shared" si="33"/>
        <v>15.5</v>
      </c>
      <c r="L325" s="35">
        <f t="shared" si="34"/>
        <v>0</v>
      </c>
      <c r="M325" s="35">
        <f t="shared" si="35"/>
        <v>0</v>
      </c>
      <c r="N325" s="35">
        <f t="shared" si="36"/>
        <v>15.5</v>
      </c>
      <c r="O325" s="35">
        <v>70.989999999999995</v>
      </c>
      <c r="P325" s="131">
        <v>37.14</v>
      </c>
      <c r="Q325" s="132">
        <f t="shared" si="37"/>
        <v>4.0125818230419379E-5</v>
      </c>
      <c r="R325" s="38">
        <f t="shared" si="38"/>
        <v>6.2195018257150036E-4</v>
      </c>
    </row>
    <row r="326" spans="1:18">
      <c r="A326" s="36">
        <f t="shared" si="39"/>
        <v>318</v>
      </c>
      <c r="B326" s="35" t="s">
        <v>1001</v>
      </c>
      <c r="C326" s="130">
        <v>45334</v>
      </c>
      <c r="D326" s="287" t="s">
        <v>1011</v>
      </c>
      <c r="E326" s="130">
        <v>45334</v>
      </c>
      <c r="F326" s="130" t="s">
        <v>670</v>
      </c>
      <c r="G326" s="130">
        <v>45334</v>
      </c>
      <c r="H326" s="130">
        <v>45291</v>
      </c>
      <c r="I326" s="130">
        <v>45322</v>
      </c>
      <c r="J326" s="130">
        <f t="shared" si="32"/>
        <v>45306.5</v>
      </c>
      <c r="K326" s="263">
        <f t="shared" si="33"/>
        <v>16</v>
      </c>
      <c r="L326" s="35">
        <f t="shared" si="34"/>
        <v>0</v>
      </c>
      <c r="M326" s="35">
        <f t="shared" si="35"/>
        <v>0</v>
      </c>
      <c r="N326" s="35">
        <f t="shared" si="36"/>
        <v>16</v>
      </c>
      <c r="O326" s="35">
        <v>73.14</v>
      </c>
      <c r="P326" s="131">
        <v>33.090000000000003</v>
      </c>
      <c r="Q326" s="132">
        <f t="shared" si="37"/>
        <v>3.5750224158443118E-5</v>
      </c>
      <c r="R326" s="38">
        <f t="shared" si="38"/>
        <v>5.7200358653508988E-4</v>
      </c>
    </row>
    <row r="327" spans="1:18">
      <c r="A327" s="36">
        <f t="shared" si="39"/>
        <v>319</v>
      </c>
      <c r="B327" s="35" t="s">
        <v>1001</v>
      </c>
      <c r="C327" s="130">
        <v>45411</v>
      </c>
      <c r="D327" s="287" t="s">
        <v>1012</v>
      </c>
      <c r="E327" s="130">
        <v>45411</v>
      </c>
      <c r="F327" s="130" t="s">
        <v>670</v>
      </c>
      <c r="G327" s="130">
        <v>45411</v>
      </c>
      <c r="H327" s="130">
        <v>45371</v>
      </c>
      <c r="I327" s="130">
        <v>45402</v>
      </c>
      <c r="J327" s="130">
        <f t="shared" si="32"/>
        <v>45386.5</v>
      </c>
      <c r="K327" s="263">
        <f t="shared" si="33"/>
        <v>16</v>
      </c>
      <c r="L327" s="35">
        <f t="shared" si="34"/>
        <v>0</v>
      </c>
      <c r="M327" s="35">
        <f t="shared" si="35"/>
        <v>0</v>
      </c>
      <c r="N327" s="35">
        <f t="shared" si="36"/>
        <v>16</v>
      </c>
      <c r="O327" s="35">
        <v>654.66</v>
      </c>
      <c r="P327" s="131">
        <v>35.590000000000003</v>
      </c>
      <c r="Q327" s="132">
        <f t="shared" si="37"/>
        <v>3.8451208153490194E-5</v>
      </c>
      <c r="R327" s="38">
        <f t="shared" si="38"/>
        <v>6.152193304558431E-4</v>
      </c>
    </row>
    <row r="328" spans="1:18">
      <c r="A328" s="36">
        <f t="shared" si="39"/>
        <v>320</v>
      </c>
      <c r="B328" s="35" t="s">
        <v>1001</v>
      </c>
      <c r="C328" s="130">
        <v>45440</v>
      </c>
      <c r="D328" s="287" t="s">
        <v>1013</v>
      </c>
      <c r="E328" s="130">
        <v>45440</v>
      </c>
      <c r="F328" s="130" t="s">
        <v>670</v>
      </c>
      <c r="G328" s="130">
        <v>45440</v>
      </c>
      <c r="H328" s="130">
        <v>45401</v>
      </c>
      <c r="I328" s="130">
        <v>45431</v>
      </c>
      <c r="J328" s="130">
        <f t="shared" si="32"/>
        <v>45416</v>
      </c>
      <c r="K328" s="263">
        <f t="shared" si="33"/>
        <v>15.5</v>
      </c>
      <c r="L328" s="35">
        <f t="shared" si="34"/>
        <v>0</v>
      </c>
      <c r="M328" s="35">
        <f t="shared" si="35"/>
        <v>0</v>
      </c>
      <c r="N328" s="35">
        <f t="shared" si="36"/>
        <v>15.5</v>
      </c>
      <c r="O328" s="35">
        <v>157.69</v>
      </c>
      <c r="P328" s="131">
        <v>118.73</v>
      </c>
      <c r="Q328" s="132">
        <f t="shared" si="37"/>
        <v>1.282751318927758E-4</v>
      </c>
      <c r="R328" s="38">
        <f t="shared" si="38"/>
        <v>1.9882645443380247E-3</v>
      </c>
    </row>
    <row r="329" spans="1:18">
      <c r="A329" s="36">
        <f t="shared" si="39"/>
        <v>321</v>
      </c>
      <c r="B329" s="35" t="s">
        <v>1001</v>
      </c>
      <c r="C329" s="130">
        <v>45446</v>
      </c>
      <c r="D329" s="287" t="s">
        <v>1014</v>
      </c>
      <c r="E329" s="130">
        <v>45446</v>
      </c>
      <c r="F329" s="130" t="s">
        <v>670</v>
      </c>
      <c r="G329" s="130">
        <v>45446</v>
      </c>
      <c r="H329" s="130">
        <v>45409</v>
      </c>
      <c r="I329" s="130">
        <v>45438</v>
      </c>
      <c r="J329" s="130">
        <f t="shared" ref="J329:J392" si="40">IF(I329&lt;1," ",(((I329-H329)/2)+H329))</f>
        <v>45423.5</v>
      </c>
      <c r="K329" s="263">
        <f t="shared" ref="K329:K392" si="41">(I329-H329+1)/2</f>
        <v>15</v>
      </c>
      <c r="L329" s="35">
        <f t="shared" ref="L329:L392" si="42">E329-C329</f>
        <v>0</v>
      </c>
      <c r="M329" s="35">
        <f t="shared" ref="M329:M392" si="43">G329-E329</f>
        <v>0</v>
      </c>
      <c r="N329" s="35">
        <f t="shared" ref="N329:N392" si="44">M329+L329+K329</f>
        <v>15</v>
      </c>
      <c r="O329" s="35">
        <v>160.77000000000001</v>
      </c>
      <c r="P329" s="131">
        <v>40.520000000000003</v>
      </c>
      <c r="Q329" s="132">
        <f t="shared" ref="Q329:Q392" si="45">P329/$P$422</f>
        <v>4.3777548591723031E-5</v>
      </c>
      <c r="R329" s="38">
        <f t="shared" ref="R329:R392" si="46">Q329*N329</f>
        <v>6.5666322887584551E-4</v>
      </c>
    </row>
    <row r="330" spans="1:18">
      <c r="A330" s="36">
        <f t="shared" ref="A330:A393" si="47">1+A329</f>
        <v>322</v>
      </c>
      <c r="B330" s="35" t="s">
        <v>1015</v>
      </c>
      <c r="C330" s="130">
        <v>45252</v>
      </c>
      <c r="D330" s="287">
        <v>660362</v>
      </c>
      <c r="E330" s="130">
        <v>45278</v>
      </c>
      <c r="F330" s="130" t="s">
        <v>668</v>
      </c>
      <c r="G330" s="130">
        <v>45286</v>
      </c>
      <c r="H330" s="130">
        <v>45192</v>
      </c>
      <c r="I330" s="130">
        <v>45192</v>
      </c>
      <c r="J330" s="130">
        <f t="shared" si="40"/>
        <v>45192</v>
      </c>
      <c r="K330" s="263">
        <f t="shared" si="41"/>
        <v>0.5</v>
      </c>
      <c r="L330" s="35">
        <f t="shared" si="42"/>
        <v>26</v>
      </c>
      <c r="M330" s="35">
        <f t="shared" si="43"/>
        <v>8</v>
      </c>
      <c r="N330" s="35">
        <f t="shared" si="44"/>
        <v>34.5</v>
      </c>
      <c r="O330" s="35">
        <v>160.02000000000001</v>
      </c>
      <c r="P330" s="131">
        <v>169.62</v>
      </c>
      <c r="Q330" s="132">
        <f t="shared" si="45"/>
        <v>1.832563620959541E-4</v>
      </c>
      <c r="R330" s="38">
        <f t="shared" si="46"/>
        <v>6.3223444923104161E-3</v>
      </c>
    </row>
    <row r="331" spans="1:18">
      <c r="A331" s="36">
        <f t="shared" si="47"/>
        <v>323</v>
      </c>
      <c r="B331" s="35" t="s">
        <v>1016</v>
      </c>
      <c r="C331" s="130">
        <v>45342</v>
      </c>
      <c r="D331" s="287" t="s">
        <v>1017</v>
      </c>
      <c r="E331" s="130">
        <v>45454</v>
      </c>
      <c r="F331" s="130" t="s">
        <v>670</v>
      </c>
      <c r="G331" s="130">
        <v>45454</v>
      </c>
      <c r="H331" s="130">
        <v>45342</v>
      </c>
      <c r="I331" s="130">
        <v>45414</v>
      </c>
      <c r="J331" s="130">
        <f t="shared" si="40"/>
        <v>45378</v>
      </c>
      <c r="K331" s="263">
        <f t="shared" si="41"/>
        <v>36.5</v>
      </c>
      <c r="L331" s="35">
        <f t="shared" si="42"/>
        <v>112</v>
      </c>
      <c r="M331" s="35">
        <f t="shared" si="43"/>
        <v>0</v>
      </c>
      <c r="N331" s="35">
        <f t="shared" si="44"/>
        <v>148.5</v>
      </c>
      <c r="O331" s="35">
        <v>223.52</v>
      </c>
      <c r="P331" s="131">
        <v>223.52</v>
      </c>
      <c r="Q331" s="132">
        <f t="shared" si="45"/>
        <v>2.4148957702916911E-4</v>
      </c>
      <c r="R331" s="38">
        <f t="shared" si="46"/>
        <v>3.5861202188831612E-2</v>
      </c>
    </row>
    <row r="332" spans="1:18">
      <c r="A332" s="36">
        <f t="shared" si="47"/>
        <v>324</v>
      </c>
      <c r="B332" s="35" t="s">
        <v>1018</v>
      </c>
      <c r="C332" s="130">
        <v>45275</v>
      </c>
      <c r="D332" s="287">
        <v>4258</v>
      </c>
      <c r="E332" s="130">
        <v>45300</v>
      </c>
      <c r="F332" s="130" t="s">
        <v>671</v>
      </c>
      <c r="G332" s="130">
        <v>45300</v>
      </c>
      <c r="H332" s="130">
        <v>45261</v>
      </c>
      <c r="I332" s="130">
        <v>45291</v>
      </c>
      <c r="J332" s="130">
        <f t="shared" si="40"/>
        <v>45276</v>
      </c>
      <c r="K332" s="263">
        <f t="shared" si="41"/>
        <v>15.5</v>
      </c>
      <c r="L332" s="35">
        <f t="shared" si="42"/>
        <v>25</v>
      </c>
      <c r="M332" s="35">
        <f t="shared" si="43"/>
        <v>0</v>
      </c>
      <c r="N332" s="35">
        <f t="shared" si="44"/>
        <v>40.5</v>
      </c>
      <c r="O332" s="35">
        <v>245</v>
      </c>
      <c r="P332" s="131">
        <v>268.89</v>
      </c>
      <c r="Q332" s="132">
        <f t="shared" si="45"/>
        <v>2.9050703457128341E-4</v>
      </c>
      <c r="R332" s="38">
        <f t="shared" si="46"/>
        <v>1.1765534900136978E-2</v>
      </c>
    </row>
    <row r="333" spans="1:18">
      <c r="A333" s="36">
        <f t="shared" si="47"/>
        <v>325</v>
      </c>
      <c r="B333" s="35" t="s">
        <v>1019</v>
      </c>
      <c r="C333" s="130">
        <v>45180</v>
      </c>
      <c r="D333" s="287" t="s">
        <v>1020</v>
      </c>
      <c r="E333" s="130">
        <v>45181</v>
      </c>
      <c r="F333" s="130" t="s">
        <v>671</v>
      </c>
      <c r="G333" s="130">
        <v>45181</v>
      </c>
      <c r="H333" s="130">
        <v>45142</v>
      </c>
      <c r="I333" s="130">
        <v>45176</v>
      </c>
      <c r="J333" s="130">
        <f t="shared" si="40"/>
        <v>45159</v>
      </c>
      <c r="K333" s="263">
        <f t="shared" si="41"/>
        <v>17.5</v>
      </c>
      <c r="L333" s="35">
        <f t="shared" si="42"/>
        <v>1</v>
      </c>
      <c r="M333" s="35">
        <f t="shared" si="43"/>
        <v>0</v>
      </c>
      <c r="N333" s="35">
        <f t="shared" si="44"/>
        <v>18.5</v>
      </c>
      <c r="O333" s="35">
        <v>151.88</v>
      </c>
      <c r="P333" s="131">
        <v>151.88</v>
      </c>
      <c r="Q333" s="132">
        <f t="shared" si="45"/>
        <v>1.6409017966710003E-4</v>
      </c>
      <c r="R333" s="38">
        <f t="shared" si="46"/>
        <v>3.0356683238413505E-3</v>
      </c>
    </row>
    <row r="334" spans="1:18">
      <c r="A334" s="36">
        <f t="shared" si="47"/>
        <v>326</v>
      </c>
      <c r="B334" s="35" t="s">
        <v>1021</v>
      </c>
      <c r="C334" s="130">
        <v>45139</v>
      </c>
      <c r="D334" s="287" t="s">
        <v>1022</v>
      </c>
      <c r="E334" s="130">
        <v>45139</v>
      </c>
      <c r="F334" s="130" t="s">
        <v>670</v>
      </c>
      <c r="G334" s="130">
        <v>45139</v>
      </c>
      <c r="H334" s="130">
        <v>45101</v>
      </c>
      <c r="I334" s="130">
        <v>45131</v>
      </c>
      <c r="J334" s="130">
        <f t="shared" si="40"/>
        <v>45116</v>
      </c>
      <c r="K334" s="263">
        <f t="shared" si="41"/>
        <v>15.5</v>
      </c>
      <c r="L334" s="35">
        <f t="shared" si="42"/>
        <v>0</v>
      </c>
      <c r="M334" s="35">
        <f t="shared" si="43"/>
        <v>0</v>
      </c>
      <c r="N334" s="35">
        <f t="shared" si="44"/>
        <v>15.5</v>
      </c>
      <c r="O334" s="35">
        <v>219.23</v>
      </c>
      <c r="P334" s="131">
        <v>38.4</v>
      </c>
      <c r="Q334" s="132">
        <f t="shared" si="45"/>
        <v>4.1487114163923104E-5</v>
      </c>
      <c r="R334" s="38">
        <f t="shared" si="46"/>
        <v>6.4305026954080812E-4</v>
      </c>
    </row>
    <row r="335" spans="1:18">
      <c r="A335" s="36">
        <f t="shared" si="47"/>
        <v>327</v>
      </c>
      <c r="B335" s="35" t="s">
        <v>1021</v>
      </c>
      <c r="C335" s="130">
        <v>45292</v>
      </c>
      <c r="D335" s="287" t="s">
        <v>1023</v>
      </c>
      <c r="E335" s="130">
        <v>45293</v>
      </c>
      <c r="F335" s="130" t="s">
        <v>670</v>
      </c>
      <c r="G335" s="130">
        <v>45293</v>
      </c>
      <c r="H335" s="130">
        <v>45251</v>
      </c>
      <c r="I335" s="130">
        <v>45281</v>
      </c>
      <c r="J335" s="130">
        <f t="shared" si="40"/>
        <v>45266</v>
      </c>
      <c r="K335" s="263">
        <f t="shared" si="41"/>
        <v>15.5</v>
      </c>
      <c r="L335" s="35">
        <f t="shared" si="42"/>
        <v>1</v>
      </c>
      <c r="M335" s="35">
        <f t="shared" si="43"/>
        <v>0</v>
      </c>
      <c r="N335" s="35">
        <f t="shared" si="44"/>
        <v>16.5</v>
      </c>
      <c r="O335" s="35">
        <v>140.63999999999999</v>
      </c>
      <c r="P335" s="131">
        <v>100.4</v>
      </c>
      <c r="Q335" s="132">
        <f t="shared" si="45"/>
        <v>1.0847151724109063E-4</v>
      </c>
      <c r="R335" s="38">
        <f t="shared" si="46"/>
        <v>1.7897800344779955E-3</v>
      </c>
    </row>
    <row r="336" spans="1:18">
      <c r="A336" s="36">
        <f t="shared" si="47"/>
        <v>328</v>
      </c>
      <c r="B336" s="35" t="s">
        <v>1021</v>
      </c>
      <c r="C336" s="130">
        <v>45440</v>
      </c>
      <c r="D336" s="287" t="s">
        <v>1024</v>
      </c>
      <c r="E336" s="130">
        <v>45440</v>
      </c>
      <c r="F336" s="130" t="s">
        <v>670</v>
      </c>
      <c r="G336" s="130">
        <v>45440</v>
      </c>
      <c r="H336" s="130">
        <v>45404</v>
      </c>
      <c r="I336" s="130">
        <v>45434</v>
      </c>
      <c r="J336" s="130">
        <f t="shared" si="40"/>
        <v>45419</v>
      </c>
      <c r="K336" s="263">
        <f t="shared" si="41"/>
        <v>15.5</v>
      </c>
      <c r="L336" s="35">
        <f t="shared" si="42"/>
        <v>0</v>
      </c>
      <c r="M336" s="35">
        <f t="shared" si="43"/>
        <v>0</v>
      </c>
      <c r="N336" s="35">
        <f t="shared" si="44"/>
        <v>15.5</v>
      </c>
      <c r="O336" s="35">
        <v>40.24</v>
      </c>
      <c r="P336" s="131">
        <v>40.24</v>
      </c>
      <c r="Q336" s="132">
        <f t="shared" si="45"/>
        <v>4.3475038384277757E-5</v>
      </c>
      <c r="R336" s="38">
        <f t="shared" si="46"/>
        <v>6.7386309495630521E-4</v>
      </c>
    </row>
    <row r="337" spans="1:18">
      <c r="A337" s="36">
        <f t="shared" si="47"/>
        <v>329</v>
      </c>
      <c r="B337" s="35" t="s">
        <v>1025</v>
      </c>
      <c r="C337" s="130">
        <v>45196</v>
      </c>
      <c r="D337" s="287" t="s">
        <v>1026</v>
      </c>
      <c r="E337" s="130">
        <v>45196</v>
      </c>
      <c r="F337" s="130" t="s">
        <v>670</v>
      </c>
      <c r="G337" s="130">
        <v>45196</v>
      </c>
      <c r="H337" s="130">
        <v>45147</v>
      </c>
      <c r="I337" s="130">
        <v>45176</v>
      </c>
      <c r="J337" s="130">
        <f t="shared" si="40"/>
        <v>45161.5</v>
      </c>
      <c r="K337" s="263">
        <f t="shared" si="41"/>
        <v>15</v>
      </c>
      <c r="L337" s="35">
        <f t="shared" si="42"/>
        <v>0</v>
      </c>
      <c r="M337" s="35">
        <f t="shared" si="43"/>
        <v>0</v>
      </c>
      <c r="N337" s="35">
        <f t="shared" si="44"/>
        <v>15</v>
      </c>
      <c r="O337" s="35">
        <v>115.77</v>
      </c>
      <c r="P337" s="131">
        <v>115.77</v>
      </c>
      <c r="Q337" s="132">
        <f t="shared" si="45"/>
        <v>1.2507716684264004E-4</v>
      </c>
      <c r="R337" s="38">
        <f t="shared" si="46"/>
        <v>1.8761575026396006E-3</v>
      </c>
    </row>
    <row r="338" spans="1:18">
      <c r="A338" s="36">
        <f t="shared" si="47"/>
        <v>330</v>
      </c>
      <c r="B338" s="35" t="s">
        <v>1027</v>
      </c>
      <c r="C338" s="130">
        <v>45302</v>
      </c>
      <c r="D338" s="287">
        <v>23250</v>
      </c>
      <c r="E338" s="130">
        <v>45315</v>
      </c>
      <c r="F338" s="130" t="s">
        <v>668</v>
      </c>
      <c r="G338" s="130">
        <v>45335</v>
      </c>
      <c r="H338" s="130">
        <v>45387</v>
      </c>
      <c r="I338" s="130">
        <v>45387</v>
      </c>
      <c r="J338" s="130">
        <f t="shared" si="40"/>
        <v>45387</v>
      </c>
      <c r="K338" s="263">
        <f t="shared" si="41"/>
        <v>0.5</v>
      </c>
      <c r="L338" s="35">
        <f t="shared" si="42"/>
        <v>13</v>
      </c>
      <c r="M338" s="35">
        <f t="shared" si="43"/>
        <v>20</v>
      </c>
      <c r="N338" s="35">
        <f t="shared" si="44"/>
        <v>33.5</v>
      </c>
      <c r="O338" s="35">
        <v>994</v>
      </c>
      <c r="P338" s="131">
        <v>1053.6400000000001</v>
      </c>
      <c r="Q338" s="132">
        <f t="shared" si="45"/>
        <v>1.1383459106165611E-3</v>
      </c>
      <c r="R338" s="38">
        <f t="shared" si="46"/>
        <v>3.81345880056548E-2</v>
      </c>
    </row>
    <row r="339" spans="1:18">
      <c r="A339" s="36">
        <f t="shared" si="47"/>
        <v>331</v>
      </c>
      <c r="B339" s="35" t="s">
        <v>1028</v>
      </c>
      <c r="C339" s="130">
        <v>45168</v>
      </c>
      <c r="D339" s="287">
        <v>1257</v>
      </c>
      <c r="E339" s="130">
        <v>45175</v>
      </c>
      <c r="F339" s="130" t="s">
        <v>668</v>
      </c>
      <c r="G339" s="130">
        <v>45184</v>
      </c>
      <c r="H339" s="130">
        <v>45168</v>
      </c>
      <c r="I339" s="130">
        <v>45168</v>
      </c>
      <c r="J339" s="130">
        <f t="shared" si="40"/>
        <v>45168</v>
      </c>
      <c r="K339" s="263">
        <f t="shared" si="41"/>
        <v>0.5</v>
      </c>
      <c r="L339" s="35">
        <f t="shared" si="42"/>
        <v>7</v>
      </c>
      <c r="M339" s="35">
        <f t="shared" si="43"/>
        <v>9</v>
      </c>
      <c r="N339" s="35">
        <f t="shared" si="44"/>
        <v>16.5</v>
      </c>
      <c r="O339" s="35">
        <v>13500</v>
      </c>
      <c r="P339" s="131">
        <v>8500</v>
      </c>
      <c r="Q339" s="132">
        <f t="shared" si="45"/>
        <v>9.1833455831600627E-3</v>
      </c>
      <c r="R339" s="38">
        <f t="shared" si="46"/>
        <v>0.15152520212214105</v>
      </c>
    </row>
    <row r="340" spans="1:18">
      <c r="A340" s="36">
        <f t="shared" si="47"/>
        <v>332</v>
      </c>
      <c r="B340" s="35" t="s">
        <v>1029</v>
      </c>
      <c r="C340" s="130">
        <v>45132</v>
      </c>
      <c r="D340" s="287">
        <v>993003034793</v>
      </c>
      <c r="E340" s="130">
        <v>45145</v>
      </c>
      <c r="F340" s="130" t="s">
        <v>671</v>
      </c>
      <c r="G340" s="130">
        <v>45145</v>
      </c>
      <c r="H340" s="130">
        <v>45139</v>
      </c>
      <c r="I340" s="130">
        <v>45169</v>
      </c>
      <c r="J340" s="130">
        <f t="shared" si="40"/>
        <v>45154</v>
      </c>
      <c r="K340" s="263">
        <f t="shared" si="41"/>
        <v>15.5</v>
      </c>
      <c r="L340" s="35">
        <f t="shared" si="42"/>
        <v>13</v>
      </c>
      <c r="M340" s="35">
        <f t="shared" si="43"/>
        <v>0</v>
      </c>
      <c r="N340" s="35">
        <f t="shared" si="44"/>
        <v>28.5</v>
      </c>
      <c r="O340" s="35">
        <v>239.87</v>
      </c>
      <c r="P340" s="131">
        <v>239.87</v>
      </c>
      <c r="Q340" s="132">
        <f t="shared" si="45"/>
        <v>2.59154012356777E-4</v>
      </c>
      <c r="R340" s="38">
        <f t="shared" si="46"/>
        <v>7.3858893521681441E-3</v>
      </c>
    </row>
    <row r="341" spans="1:18">
      <c r="A341" s="36">
        <f t="shared" si="47"/>
        <v>333</v>
      </c>
      <c r="B341" s="35" t="s">
        <v>1029</v>
      </c>
      <c r="C341" s="130">
        <v>45347</v>
      </c>
      <c r="D341" s="287">
        <v>993003137626</v>
      </c>
      <c r="E341" s="130">
        <v>45358</v>
      </c>
      <c r="F341" s="130" t="s">
        <v>670</v>
      </c>
      <c r="G341" s="130">
        <v>45358</v>
      </c>
      <c r="H341" s="130">
        <v>45352</v>
      </c>
      <c r="I341" s="130">
        <v>45382</v>
      </c>
      <c r="J341" s="130">
        <f t="shared" si="40"/>
        <v>45367</v>
      </c>
      <c r="K341" s="263">
        <f t="shared" si="41"/>
        <v>15.5</v>
      </c>
      <c r="L341" s="35">
        <f t="shared" si="42"/>
        <v>11</v>
      </c>
      <c r="M341" s="35">
        <f t="shared" si="43"/>
        <v>0</v>
      </c>
      <c r="N341" s="35">
        <f t="shared" si="44"/>
        <v>26.5</v>
      </c>
      <c r="O341" s="35">
        <v>3529.81</v>
      </c>
      <c r="P341" s="131">
        <v>243.63</v>
      </c>
      <c r="Q341" s="132">
        <f t="shared" si="45"/>
        <v>2.6321629228532776E-4</v>
      </c>
      <c r="R341" s="38">
        <f t="shared" si="46"/>
        <v>6.9752317455611858E-3</v>
      </c>
    </row>
    <row r="342" spans="1:18">
      <c r="A342" s="36">
        <f t="shared" si="47"/>
        <v>334</v>
      </c>
      <c r="B342" s="35" t="s">
        <v>1029</v>
      </c>
      <c r="C342" s="130">
        <v>45224</v>
      </c>
      <c r="D342" s="287">
        <v>993003077172</v>
      </c>
      <c r="E342" s="130">
        <v>45259</v>
      </c>
      <c r="F342" s="130" t="s">
        <v>671</v>
      </c>
      <c r="G342" s="130">
        <v>45259</v>
      </c>
      <c r="H342" s="130">
        <v>45231</v>
      </c>
      <c r="I342" s="130">
        <v>45260</v>
      </c>
      <c r="J342" s="130">
        <f t="shared" si="40"/>
        <v>45245.5</v>
      </c>
      <c r="K342" s="263">
        <f t="shared" si="41"/>
        <v>15</v>
      </c>
      <c r="L342" s="35">
        <f t="shared" si="42"/>
        <v>35</v>
      </c>
      <c r="M342" s="35">
        <f t="shared" si="43"/>
        <v>0</v>
      </c>
      <c r="N342" s="35">
        <f t="shared" si="44"/>
        <v>50</v>
      </c>
      <c r="O342" s="35">
        <v>333.33</v>
      </c>
      <c r="P342" s="131">
        <v>333.33</v>
      </c>
      <c r="Q342" s="132">
        <f t="shared" si="45"/>
        <v>3.6012759802761686E-4</v>
      </c>
      <c r="R342" s="38">
        <f t="shared" si="46"/>
        <v>1.8006379901380844E-2</v>
      </c>
    </row>
    <row r="343" spans="1:18">
      <c r="A343" s="36">
        <f t="shared" si="47"/>
        <v>335</v>
      </c>
      <c r="B343" s="35" t="s">
        <v>1029</v>
      </c>
      <c r="C343" s="130">
        <v>45245</v>
      </c>
      <c r="D343" s="287">
        <v>757001300302</v>
      </c>
      <c r="E343" s="130">
        <v>45287</v>
      </c>
      <c r="F343" s="130" t="s">
        <v>671</v>
      </c>
      <c r="G343" s="130">
        <v>45287</v>
      </c>
      <c r="H343" s="130">
        <v>45261</v>
      </c>
      <c r="I343" s="130">
        <v>45291</v>
      </c>
      <c r="J343" s="130">
        <f t="shared" si="40"/>
        <v>45276</v>
      </c>
      <c r="K343" s="263">
        <f t="shared" si="41"/>
        <v>15.5</v>
      </c>
      <c r="L343" s="35">
        <f t="shared" si="42"/>
        <v>42</v>
      </c>
      <c r="M343" s="35">
        <f t="shared" si="43"/>
        <v>0</v>
      </c>
      <c r="N343" s="35">
        <f t="shared" si="44"/>
        <v>57.5</v>
      </c>
      <c r="O343" s="35">
        <v>158.24</v>
      </c>
      <c r="P343" s="131">
        <v>158.24</v>
      </c>
      <c r="Q343" s="132">
        <f t="shared" si="45"/>
        <v>1.7096148295049981E-4</v>
      </c>
      <c r="R343" s="38">
        <f t="shared" si="46"/>
        <v>9.8302852696537397E-3</v>
      </c>
    </row>
    <row r="344" spans="1:18">
      <c r="A344" s="36">
        <f t="shared" si="47"/>
        <v>336</v>
      </c>
      <c r="B344" s="35" t="s">
        <v>1029</v>
      </c>
      <c r="C344" s="130">
        <v>45092</v>
      </c>
      <c r="D344" s="287">
        <v>757001264471</v>
      </c>
      <c r="E344" s="130">
        <v>45112</v>
      </c>
      <c r="F344" s="130" t="s">
        <v>671</v>
      </c>
      <c r="G344" s="130">
        <v>45112</v>
      </c>
      <c r="H344" s="130">
        <v>45108</v>
      </c>
      <c r="I344" s="130">
        <v>45138</v>
      </c>
      <c r="J344" s="130">
        <f t="shared" si="40"/>
        <v>45123</v>
      </c>
      <c r="K344" s="263">
        <f t="shared" si="41"/>
        <v>15.5</v>
      </c>
      <c r="L344" s="35">
        <f t="shared" si="42"/>
        <v>20</v>
      </c>
      <c r="M344" s="35">
        <f t="shared" si="43"/>
        <v>0</v>
      </c>
      <c r="N344" s="35">
        <f t="shared" si="44"/>
        <v>35.5</v>
      </c>
      <c r="O344" s="35">
        <v>124.51</v>
      </c>
      <c r="P344" s="131">
        <v>124.51</v>
      </c>
      <c r="Q344" s="132">
        <f t="shared" si="45"/>
        <v>1.3451980688932463E-4</v>
      </c>
      <c r="R344" s="38">
        <f t="shared" si="46"/>
        <v>4.7754531445710242E-3</v>
      </c>
    </row>
    <row r="345" spans="1:18">
      <c r="A345" s="36">
        <f t="shared" si="47"/>
        <v>337</v>
      </c>
      <c r="B345" s="35" t="s">
        <v>1030</v>
      </c>
      <c r="C345" s="130">
        <v>45169</v>
      </c>
      <c r="D345" s="287" t="s">
        <v>1031</v>
      </c>
      <c r="E345" s="130">
        <v>45194</v>
      </c>
      <c r="F345" s="130" t="s">
        <v>671</v>
      </c>
      <c r="G345" s="130">
        <v>45194</v>
      </c>
      <c r="H345" s="130">
        <v>45135</v>
      </c>
      <c r="I345" s="130">
        <v>45167</v>
      </c>
      <c r="J345" s="130">
        <f t="shared" si="40"/>
        <v>45151</v>
      </c>
      <c r="K345" s="263">
        <f t="shared" si="41"/>
        <v>16.5</v>
      </c>
      <c r="L345" s="35">
        <f t="shared" si="42"/>
        <v>25</v>
      </c>
      <c r="M345" s="35">
        <f t="shared" si="43"/>
        <v>0</v>
      </c>
      <c r="N345" s="35">
        <f t="shared" si="44"/>
        <v>41.5</v>
      </c>
      <c r="O345" s="35">
        <v>7139.67</v>
      </c>
      <c r="P345" s="131">
        <v>285.44</v>
      </c>
      <c r="Q345" s="132">
        <f t="shared" si="45"/>
        <v>3.0838754861849512E-4</v>
      </c>
      <c r="R345" s="38">
        <f t="shared" si="46"/>
        <v>1.2798083267667548E-2</v>
      </c>
    </row>
    <row r="346" spans="1:18">
      <c r="A346" s="36">
        <f t="shared" si="47"/>
        <v>338</v>
      </c>
      <c r="B346" s="35" t="s">
        <v>1032</v>
      </c>
      <c r="C346" s="130">
        <v>45187</v>
      </c>
      <c r="D346" s="287">
        <v>23321</v>
      </c>
      <c r="E346" s="130">
        <v>45212</v>
      </c>
      <c r="F346" s="130" t="s">
        <v>671</v>
      </c>
      <c r="G346" s="130">
        <v>45212</v>
      </c>
      <c r="H346" s="130">
        <v>45209</v>
      </c>
      <c r="I346" s="130">
        <v>45215</v>
      </c>
      <c r="J346" s="130">
        <f t="shared" si="40"/>
        <v>45212</v>
      </c>
      <c r="K346" s="263">
        <f t="shared" si="41"/>
        <v>3.5</v>
      </c>
      <c r="L346" s="35">
        <f t="shared" si="42"/>
        <v>25</v>
      </c>
      <c r="M346" s="35">
        <f t="shared" si="43"/>
        <v>0</v>
      </c>
      <c r="N346" s="35">
        <f t="shared" si="44"/>
        <v>28.5</v>
      </c>
      <c r="O346" s="35">
        <v>21181</v>
      </c>
      <c r="P346" s="131">
        <v>18421</v>
      </c>
      <c r="Q346" s="132">
        <f t="shared" si="45"/>
        <v>1.9901930469104885E-2</v>
      </c>
      <c r="R346" s="38">
        <f t="shared" si="46"/>
        <v>0.56720501836948922</v>
      </c>
    </row>
    <row r="347" spans="1:18">
      <c r="A347" s="36">
        <f t="shared" si="47"/>
        <v>339</v>
      </c>
      <c r="B347" s="35" t="s">
        <v>1032</v>
      </c>
      <c r="C347" s="130">
        <v>45194</v>
      </c>
      <c r="D347" s="287">
        <v>23325</v>
      </c>
      <c r="E347" s="130">
        <v>45219</v>
      </c>
      <c r="F347" s="130" t="s">
        <v>671</v>
      </c>
      <c r="G347" s="130">
        <v>45219</v>
      </c>
      <c r="H347" s="130">
        <v>45186</v>
      </c>
      <c r="I347" s="130">
        <v>45194</v>
      </c>
      <c r="J347" s="130">
        <f t="shared" si="40"/>
        <v>45190</v>
      </c>
      <c r="K347" s="263">
        <f t="shared" si="41"/>
        <v>4.5</v>
      </c>
      <c r="L347" s="35">
        <f t="shared" si="42"/>
        <v>25</v>
      </c>
      <c r="M347" s="35">
        <f t="shared" si="43"/>
        <v>0</v>
      </c>
      <c r="N347" s="35">
        <f t="shared" si="44"/>
        <v>29.5</v>
      </c>
      <c r="O347" s="35">
        <v>23774.25</v>
      </c>
      <c r="P347" s="131">
        <v>18102.5</v>
      </c>
      <c r="Q347" s="132">
        <f t="shared" si="45"/>
        <v>1.9557825108135887E-2</v>
      </c>
      <c r="R347" s="38">
        <f t="shared" si="46"/>
        <v>0.5769558406900086</v>
      </c>
    </row>
    <row r="348" spans="1:18">
      <c r="A348" s="36">
        <f t="shared" si="47"/>
        <v>340</v>
      </c>
      <c r="B348" s="35" t="s">
        <v>1032</v>
      </c>
      <c r="C348" s="130">
        <v>45439</v>
      </c>
      <c r="D348" s="287">
        <v>24196</v>
      </c>
      <c r="E348" s="130">
        <v>45464</v>
      </c>
      <c r="F348" s="130" t="s">
        <v>670</v>
      </c>
      <c r="G348" s="130">
        <v>45464</v>
      </c>
      <c r="H348" s="130">
        <v>45431</v>
      </c>
      <c r="I348" s="130">
        <v>45437</v>
      </c>
      <c r="J348" s="130">
        <f t="shared" si="40"/>
        <v>45434</v>
      </c>
      <c r="K348" s="263">
        <f t="shared" si="41"/>
        <v>3.5</v>
      </c>
      <c r="L348" s="35">
        <f t="shared" si="42"/>
        <v>25</v>
      </c>
      <c r="M348" s="35">
        <f t="shared" si="43"/>
        <v>0</v>
      </c>
      <c r="N348" s="35">
        <f t="shared" si="44"/>
        <v>28.5</v>
      </c>
      <c r="O348" s="35">
        <v>20124</v>
      </c>
      <c r="P348" s="131">
        <v>10670.4</v>
      </c>
      <c r="Q348" s="132">
        <f t="shared" si="45"/>
        <v>1.1528231848300133E-2</v>
      </c>
      <c r="R348" s="38">
        <f t="shared" si="46"/>
        <v>0.32855460767655381</v>
      </c>
    </row>
    <row r="349" spans="1:18">
      <c r="A349" s="36">
        <f t="shared" si="47"/>
        <v>341</v>
      </c>
      <c r="B349" s="35" t="s">
        <v>1032</v>
      </c>
      <c r="C349" s="130">
        <v>45432</v>
      </c>
      <c r="D349" s="287">
        <v>24189</v>
      </c>
      <c r="E349" s="130">
        <v>45457</v>
      </c>
      <c r="F349" s="130" t="s">
        <v>670</v>
      </c>
      <c r="G349" s="130">
        <v>45457</v>
      </c>
      <c r="H349" s="130">
        <v>45424</v>
      </c>
      <c r="I349" s="130">
        <v>45430</v>
      </c>
      <c r="J349" s="130">
        <f t="shared" si="40"/>
        <v>45427</v>
      </c>
      <c r="K349" s="263">
        <f t="shared" si="41"/>
        <v>3.5</v>
      </c>
      <c r="L349" s="35">
        <f t="shared" si="42"/>
        <v>25</v>
      </c>
      <c r="M349" s="35">
        <f t="shared" si="43"/>
        <v>0</v>
      </c>
      <c r="N349" s="35">
        <f t="shared" si="44"/>
        <v>28.5</v>
      </c>
      <c r="O349" s="35">
        <v>22598.55</v>
      </c>
      <c r="P349" s="131">
        <v>12905.1</v>
      </c>
      <c r="Q349" s="132">
        <f t="shared" si="45"/>
        <v>1.3942587421792815E-2</v>
      </c>
      <c r="R349" s="38">
        <f t="shared" si="46"/>
        <v>0.39736374152109522</v>
      </c>
    </row>
    <row r="350" spans="1:18">
      <c r="A350" s="36">
        <f t="shared" si="47"/>
        <v>342</v>
      </c>
      <c r="B350" s="35" t="s">
        <v>1033</v>
      </c>
      <c r="C350" s="130">
        <v>45156</v>
      </c>
      <c r="D350" s="287" t="s">
        <v>1034</v>
      </c>
      <c r="E350" s="130">
        <v>45162</v>
      </c>
      <c r="F350" s="130" t="s">
        <v>671</v>
      </c>
      <c r="G350" s="130">
        <v>45162</v>
      </c>
      <c r="H350" s="130">
        <v>45155</v>
      </c>
      <c r="I350" s="130">
        <v>45155</v>
      </c>
      <c r="J350" s="130">
        <f t="shared" si="40"/>
        <v>45155</v>
      </c>
      <c r="K350" s="263">
        <f t="shared" si="41"/>
        <v>0.5</v>
      </c>
      <c r="L350" s="35">
        <f t="shared" si="42"/>
        <v>6</v>
      </c>
      <c r="M350" s="35">
        <f t="shared" si="43"/>
        <v>0</v>
      </c>
      <c r="N350" s="35">
        <f t="shared" si="44"/>
        <v>6.5</v>
      </c>
      <c r="O350" s="35">
        <v>83.21</v>
      </c>
      <c r="P350" s="131">
        <v>83.21</v>
      </c>
      <c r="Q350" s="132">
        <f t="shared" si="45"/>
        <v>8.9899551291146916E-5</v>
      </c>
      <c r="R350" s="38">
        <f t="shared" si="46"/>
        <v>5.8434708339245498E-4</v>
      </c>
    </row>
    <row r="351" spans="1:18">
      <c r="A351" s="36">
        <f t="shared" si="47"/>
        <v>343</v>
      </c>
      <c r="B351" s="35" t="s">
        <v>1035</v>
      </c>
      <c r="C351" s="130">
        <v>45196</v>
      </c>
      <c r="D351" s="287">
        <v>440154</v>
      </c>
      <c r="E351" s="130">
        <v>45222</v>
      </c>
      <c r="F351" s="130" t="s">
        <v>671</v>
      </c>
      <c r="G351" s="130">
        <v>45222</v>
      </c>
      <c r="H351" s="130">
        <v>45196</v>
      </c>
      <c r="I351" s="130">
        <v>45196</v>
      </c>
      <c r="J351" s="130">
        <f t="shared" si="40"/>
        <v>45196</v>
      </c>
      <c r="K351" s="263">
        <f t="shared" si="41"/>
        <v>0.5</v>
      </c>
      <c r="L351" s="35">
        <f t="shared" si="42"/>
        <v>26</v>
      </c>
      <c r="M351" s="35">
        <f t="shared" si="43"/>
        <v>0</v>
      </c>
      <c r="N351" s="35">
        <f t="shared" si="44"/>
        <v>26.5</v>
      </c>
      <c r="O351" s="35">
        <v>230.16</v>
      </c>
      <c r="P351" s="131">
        <v>230.16</v>
      </c>
      <c r="Q351" s="132">
        <f t="shared" si="45"/>
        <v>2.486633905200141E-4</v>
      </c>
      <c r="R351" s="38">
        <f t="shared" si="46"/>
        <v>6.589579848780374E-3</v>
      </c>
    </row>
    <row r="352" spans="1:18">
      <c r="A352" s="36">
        <f t="shared" si="47"/>
        <v>344</v>
      </c>
      <c r="B352" s="35" t="s">
        <v>1036</v>
      </c>
      <c r="C352" s="130">
        <v>45196</v>
      </c>
      <c r="D352" s="287" t="s">
        <v>1037</v>
      </c>
      <c r="E352" s="130">
        <v>45210</v>
      </c>
      <c r="F352" s="130" t="s">
        <v>668</v>
      </c>
      <c r="G352" s="130">
        <v>45217</v>
      </c>
      <c r="H352" s="130">
        <v>45170</v>
      </c>
      <c r="I352" s="130">
        <v>45199</v>
      </c>
      <c r="J352" s="130">
        <f t="shared" si="40"/>
        <v>45184.5</v>
      </c>
      <c r="K352" s="263">
        <f t="shared" si="41"/>
        <v>15</v>
      </c>
      <c r="L352" s="35">
        <f t="shared" si="42"/>
        <v>14</v>
      </c>
      <c r="M352" s="35">
        <f t="shared" si="43"/>
        <v>7</v>
      </c>
      <c r="N352" s="35">
        <f t="shared" si="44"/>
        <v>36</v>
      </c>
      <c r="O352" s="35">
        <v>805.79</v>
      </c>
      <c r="P352" s="131">
        <v>178.16</v>
      </c>
      <c r="Q352" s="132">
        <f t="shared" si="45"/>
        <v>1.924829234230349E-4</v>
      </c>
      <c r="R352" s="38">
        <f t="shared" si="46"/>
        <v>6.9293852432292568E-3</v>
      </c>
    </row>
    <row r="353" spans="1:18">
      <c r="A353" s="36">
        <f t="shared" si="47"/>
        <v>345</v>
      </c>
      <c r="B353" s="35" t="s">
        <v>1036</v>
      </c>
      <c r="C353" s="130">
        <v>45408</v>
      </c>
      <c r="D353" s="287" t="s">
        <v>1038</v>
      </c>
      <c r="E353" s="130">
        <v>45420</v>
      </c>
      <c r="F353" s="130" t="s">
        <v>668</v>
      </c>
      <c r="G353" s="130">
        <v>45428</v>
      </c>
      <c r="H353" s="130">
        <v>45383</v>
      </c>
      <c r="I353" s="130">
        <v>45412</v>
      </c>
      <c r="J353" s="130">
        <f t="shared" si="40"/>
        <v>45397.5</v>
      </c>
      <c r="K353" s="263">
        <f t="shared" si="41"/>
        <v>15</v>
      </c>
      <c r="L353" s="35">
        <f t="shared" si="42"/>
        <v>12</v>
      </c>
      <c r="M353" s="35">
        <f t="shared" si="43"/>
        <v>8</v>
      </c>
      <c r="N353" s="35">
        <f t="shared" si="44"/>
        <v>35</v>
      </c>
      <c r="O353" s="35">
        <v>1109.52</v>
      </c>
      <c r="P353" s="131">
        <v>369.66</v>
      </c>
      <c r="Q353" s="132">
        <f t="shared" si="45"/>
        <v>3.9937829744364104E-4</v>
      </c>
      <c r="R353" s="38">
        <f t="shared" si="46"/>
        <v>1.3978240410527436E-2</v>
      </c>
    </row>
    <row r="354" spans="1:18">
      <c r="A354" s="36">
        <f t="shared" si="47"/>
        <v>346</v>
      </c>
      <c r="B354" s="35" t="s">
        <v>1036</v>
      </c>
      <c r="C354" s="130">
        <v>45226</v>
      </c>
      <c r="D354" s="287" t="s">
        <v>1039</v>
      </c>
      <c r="E354" s="130">
        <v>45245</v>
      </c>
      <c r="F354" s="130" t="s">
        <v>668</v>
      </c>
      <c r="G354" s="130">
        <v>45251</v>
      </c>
      <c r="H354" s="130">
        <v>45200</v>
      </c>
      <c r="I354" s="130">
        <v>45230</v>
      </c>
      <c r="J354" s="130">
        <f t="shared" si="40"/>
        <v>45215</v>
      </c>
      <c r="K354" s="263">
        <f t="shared" si="41"/>
        <v>15.5</v>
      </c>
      <c r="L354" s="35">
        <f t="shared" si="42"/>
        <v>19</v>
      </c>
      <c r="M354" s="35">
        <f t="shared" si="43"/>
        <v>6</v>
      </c>
      <c r="N354" s="35">
        <f t="shared" si="44"/>
        <v>40.5</v>
      </c>
      <c r="O354" s="35">
        <v>71.88</v>
      </c>
      <c r="P354" s="131">
        <v>71.88</v>
      </c>
      <c r="Q354" s="132">
        <f t="shared" si="45"/>
        <v>7.7658691825593565E-5</v>
      </c>
      <c r="R354" s="38">
        <f t="shared" si="46"/>
        <v>3.1451770189365393E-3</v>
      </c>
    </row>
    <row r="355" spans="1:18">
      <c r="A355" s="36">
        <f t="shared" si="47"/>
        <v>347</v>
      </c>
      <c r="B355" s="35" t="s">
        <v>1036</v>
      </c>
      <c r="C355" s="130">
        <v>45320</v>
      </c>
      <c r="D355" s="287" t="s">
        <v>1040</v>
      </c>
      <c r="E355" s="130">
        <v>45336</v>
      </c>
      <c r="F355" s="130" t="s">
        <v>668</v>
      </c>
      <c r="G355" s="130">
        <v>45345</v>
      </c>
      <c r="H355" s="130">
        <v>45292</v>
      </c>
      <c r="I355" s="130">
        <v>45322</v>
      </c>
      <c r="J355" s="130">
        <f t="shared" si="40"/>
        <v>45307</v>
      </c>
      <c r="K355" s="263">
        <f t="shared" si="41"/>
        <v>15.5</v>
      </c>
      <c r="L355" s="35">
        <f t="shared" si="42"/>
        <v>16</v>
      </c>
      <c r="M355" s="35">
        <f t="shared" si="43"/>
        <v>9</v>
      </c>
      <c r="N355" s="35">
        <f t="shared" si="44"/>
        <v>40.5</v>
      </c>
      <c r="O355" s="35">
        <v>840.79</v>
      </c>
      <c r="P355" s="131">
        <v>590.75</v>
      </c>
      <c r="Q355" s="132">
        <f t="shared" si="45"/>
        <v>6.3824251802962432E-4</v>
      </c>
      <c r="R355" s="38">
        <f t="shared" si="46"/>
        <v>2.5848821980199783E-2</v>
      </c>
    </row>
    <row r="356" spans="1:18">
      <c r="A356" s="36">
        <f t="shared" si="47"/>
        <v>348</v>
      </c>
      <c r="B356" s="35" t="s">
        <v>1036</v>
      </c>
      <c r="C356" s="130">
        <v>45349</v>
      </c>
      <c r="D356" s="287" t="s">
        <v>1041</v>
      </c>
      <c r="E356" s="130">
        <v>45364</v>
      </c>
      <c r="F356" s="130" t="s">
        <v>668</v>
      </c>
      <c r="G356" s="130">
        <v>45372</v>
      </c>
      <c r="H356" s="130">
        <v>45323</v>
      </c>
      <c r="I356" s="130">
        <v>45351</v>
      </c>
      <c r="J356" s="130">
        <f t="shared" si="40"/>
        <v>45337</v>
      </c>
      <c r="K356" s="263">
        <f t="shared" si="41"/>
        <v>14.5</v>
      </c>
      <c r="L356" s="35">
        <f t="shared" si="42"/>
        <v>15</v>
      </c>
      <c r="M356" s="35">
        <f t="shared" si="43"/>
        <v>8</v>
      </c>
      <c r="N356" s="35">
        <f t="shared" si="44"/>
        <v>37.5</v>
      </c>
      <c r="O356" s="35">
        <v>805.79</v>
      </c>
      <c r="P356" s="131">
        <v>555.75</v>
      </c>
      <c r="Q356" s="132">
        <f t="shared" si="45"/>
        <v>6.0042874209896525E-4</v>
      </c>
      <c r="R356" s="38">
        <f t="shared" si="46"/>
        <v>2.2516077828711196E-2</v>
      </c>
    </row>
    <row r="357" spans="1:18">
      <c r="A357" s="36">
        <f t="shared" si="47"/>
        <v>349</v>
      </c>
      <c r="B357" s="35" t="s">
        <v>1042</v>
      </c>
      <c r="C357" s="130">
        <v>45414</v>
      </c>
      <c r="D357" s="287">
        <v>738</v>
      </c>
      <c r="E357" s="130">
        <v>45463</v>
      </c>
      <c r="F357" s="130" t="s">
        <v>668</v>
      </c>
      <c r="G357" s="130">
        <v>45471</v>
      </c>
      <c r="H357" s="130">
        <v>45406</v>
      </c>
      <c r="I357" s="130">
        <v>45406</v>
      </c>
      <c r="J357" s="130">
        <f t="shared" si="40"/>
        <v>45406</v>
      </c>
      <c r="K357" s="263">
        <f t="shared" si="41"/>
        <v>0.5</v>
      </c>
      <c r="L357" s="35">
        <f t="shared" si="42"/>
        <v>49</v>
      </c>
      <c r="M357" s="35">
        <f t="shared" si="43"/>
        <v>8</v>
      </c>
      <c r="N357" s="35">
        <f t="shared" si="44"/>
        <v>57.5</v>
      </c>
      <c r="O357" s="35">
        <v>85</v>
      </c>
      <c r="P357" s="131">
        <v>85</v>
      </c>
      <c r="Q357" s="132">
        <f t="shared" si="45"/>
        <v>9.1833455831600628E-5</v>
      </c>
      <c r="R357" s="38">
        <f t="shared" si="46"/>
        <v>5.2804237103170363E-3</v>
      </c>
    </row>
    <row r="358" spans="1:18">
      <c r="A358" s="36">
        <f t="shared" si="47"/>
        <v>350</v>
      </c>
      <c r="B358" s="35" t="s">
        <v>1043</v>
      </c>
      <c r="C358" s="130">
        <v>45176</v>
      </c>
      <c r="D358" s="287" t="s">
        <v>1044</v>
      </c>
      <c r="E358" s="130">
        <v>45176</v>
      </c>
      <c r="F358" s="130" t="s">
        <v>670</v>
      </c>
      <c r="G358" s="130">
        <v>45176</v>
      </c>
      <c r="H358" s="130">
        <v>45134</v>
      </c>
      <c r="I358" s="130">
        <v>45165</v>
      </c>
      <c r="J358" s="130">
        <f t="shared" si="40"/>
        <v>45149.5</v>
      </c>
      <c r="K358" s="263">
        <f t="shared" si="41"/>
        <v>16</v>
      </c>
      <c r="L358" s="35">
        <f t="shared" si="42"/>
        <v>0</v>
      </c>
      <c r="M358" s="35">
        <f t="shared" si="43"/>
        <v>0</v>
      </c>
      <c r="N358" s="35">
        <f t="shared" si="44"/>
        <v>16</v>
      </c>
      <c r="O358" s="35">
        <v>106.04</v>
      </c>
      <c r="P358" s="131">
        <v>28.03</v>
      </c>
      <c r="Q358" s="132">
        <f t="shared" si="45"/>
        <v>3.0283432552467831E-5</v>
      </c>
      <c r="R358" s="38">
        <f t="shared" si="46"/>
        <v>4.8453492083948529E-4</v>
      </c>
    </row>
    <row r="359" spans="1:18">
      <c r="A359" s="36">
        <f t="shared" si="47"/>
        <v>351</v>
      </c>
      <c r="B359" s="35" t="s">
        <v>1043</v>
      </c>
      <c r="C359" s="130">
        <v>45328</v>
      </c>
      <c r="D359" s="287" t="s">
        <v>1045</v>
      </c>
      <c r="E359" s="130">
        <v>45328</v>
      </c>
      <c r="F359" s="130" t="s">
        <v>670</v>
      </c>
      <c r="G359" s="130">
        <v>45328</v>
      </c>
      <c r="H359" s="130">
        <v>45287</v>
      </c>
      <c r="I359" s="130">
        <v>45317</v>
      </c>
      <c r="J359" s="130">
        <f t="shared" si="40"/>
        <v>45302</v>
      </c>
      <c r="K359" s="263">
        <f t="shared" si="41"/>
        <v>15.5</v>
      </c>
      <c r="L359" s="35">
        <f t="shared" si="42"/>
        <v>0</v>
      </c>
      <c r="M359" s="35">
        <f t="shared" si="43"/>
        <v>0</v>
      </c>
      <c r="N359" s="35">
        <f t="shared" si="44"/>
        <v>15.5</v>
      </c>
      <c r="O359" s="35">
        <v>84.83</v>
      </c>
      <c r="P359" s="131">
        <v>22.9</v>
      </c>
      <c r="Q359" s="132">
        <f t="shared" si="45"/>
        <v>2.4741013394631225E-5</v>
      </c>
      <c r="R359" s="38">
        <f t="shared" si="46"/>
        <v>3.8348570761678399E-4</v>
      </c>
    </row>
    <row r="360" spans="1:18">
      <c r="A360" s="36">
        <f t="shared" si="47"/>
        <v>352</v>
      </c>
      <c r="B360" s="35" t="s">
        <v>1046</v>
      </c>
      <c r="C360" s="130">
        <v>45148</v>
      </c>
      <c r="D360" s="287" t="s">
        <v>1047</v>
      </c>
      <c r="E360" s="130">
        <v>45148</v>
      </c>
      <c r="F360" s="130" t="s">
        <v>670</v>
      </c>
      <c r="G360" s="130">
        <v>45148</v>
      </c>
      <c r="H360" s="130">
        <v>45026</v>
      </c>
      <c r="I360" s="130">
        <v>45035</v>
      </c>
      <c r="J360" s="130">
        <f t="shared" si="40"/>
        <v>45030.5</v>
      </c>
      <c r="K360" s="263">
        <f t="shared" si="41"/>
        <v>5</v>
      </c>
      <c r="L360" s="35">
        <f t="shared" si="42"/>
        <v>0</v>
      </c>
      <c r="M360" s="35">
        <f t="shared" si="43"/>
        <v>0</v>
      </c>
      <c r="N360" s="35">
        <f t="shared" si="44"/>
        <v>5</v>
      </c>
      <c r="O360" s="35">
        <v>34.520000000000003</v>
      </c>
      <c r="P360" s="131">
        <v>36.590000000000003</v>
      </c>
      <c r="Q360" s="132">
        <f t="shared" si="45"/>
        <v>3.9531601751509026E-5</v>
      </c>
      <c r="R360" s="38">
        <f t="shared" si="46"/>
        <v>1.9765800875754511E-4</v>
      </c>
    </row>
    <row r="361" spans="1:18">
      <c r="A361" s="36">
        <f t="shared" si="47"/>
        <v>353</v>
      </c>
      <c r="B361" s="35" t="s">
        <v>1048</v>
      </c>
      <c r="C361" s="130">
        <v>45138</v>
      </c>
      <c r="D361" s="287">
        <v>3074877</v>
      </c>
      <c r="E361" s="130">
        <v>45166</v>
      </c>
      <c r="F361" s="130" t="s">
        <v>668</v>
      </c>
      <c r="G361" s="130">
        <v>45174</v>
      </c>
      <c r="H361" s="130">
        <v>45110</v>
      </c>
      <c r="I361" s="130">
        <v>45138</v>
      </c>
      <c r="J361" s="130">
        <f t="shared" si="40"/>
        <v>45124</v>
      </c>
      <c r="K361" s="263">
        <f t="shared" si="41"/>
        <v>14.5</v>
      </c>
      <c r="L361" s="35">
        <f t="shared" si="42"/>
        <v>28</v>
      </c>
      <c r="M361" s="35">
        <f t="shared" si="43"/>
        <v>8</v>
      </c>
      <c r="N361" s="35">
        <f t="shared" si="44"/>
        <v>50.5</v>
      </c>
      <c r="O361" s="35">
        <v>2327.84</v>
      </c>
      <c r="P361" s="131">
        <v>2327.84</v>
      </c>
      <c r="Q361" s="132">
        <f t="shared" si="45"/>
        <v>2.5149834332121555E-3</v>
      </c>
      <c r="R361" s="38">
        <f t="shared" si="46"/>
        <v>0.12700666337721386</v>
      </c>
    </row>
    <row r="362" spans="1:18">
      <c r="A362" s="36">
        <f t="shared" si="47"/>
        <v>354</v>
      </c>
      <c r="B362" s="35" t="s">
        <v>1049</v>
      </c>
      <c r="C362" s="130">
        <v>45141</v>
      </c>
      <c r="D362" s="287" t="s">
        <v>1050</v>
      </c>
      <c r="E362" s="130">
        <v>45146</v>
      </c>
      <c r="F362" s="130" t="s">
        <v>671</v>
      </c>
      <c r="G362" s="130">
        <v>45146</v>
      </c>
      <c r="H362" s="130">
        <v>45141</v>
      </c>
      <c r="I362" s="130">
        <v>45141</v>
      </c>
      <c r="J362" s="130">
        <f t="shared" si="40"/>
        <v>45141</v>
      </c>
      <c r="K362" s="263">
        <f t="shared" si="41"/>
        <v>0.5</v>
      </c>
      <c r="L362" s="35">
        <f t="shared" si="42"/>
        <v>5</v>
      </c>
      <c r="M362" s="35">
        <f t="shared" si="43"/>
        <v>0</v>
      </c>
      <c r="N362" s="35">
        <f t="shared" si="44"/>
        <v>5.5</v>
      </c>
      <c r="O362" s="35">
        <v>523.98</v>
      </c>
      <c r="P362" s="131">
        <v>523.98</v>
      </c>
      <c r="Q362" s="132">
        <f t="shared" si="45"/>
        <v>5.66104637489907E-4</v>
      </c>
      <c r="R362" s="38">
        <f t="shared" si="46"/>
        <v>3.1135755061944886E-3</v>
      </c>
    </row>
    <row r="363" spans="1:18">
      <c r="A363" s="36">
        <f t="shared" si="47"/>
        <v>355</v>
      </c>
      <c r="B363" s="35" t="s">
        <v>1051</v>
      </c>
      <c r="C363" s="130">
        <v>45356</v>
      </c>
      <c r="D363" s="287" t="s">
        <v>1052</v>
      </c>
      <c r="E363" s="130">
        <v>45356</v>
      </c>
      <c r="F363" s="130" t="s">
        <v>670</v>
      </c>
      <c r="G363" s="130">
        <v>45356</v>
      </c>
      <c r="H363" s="130">
        <v>45302</v>
      </c>
      <c r="I363" s="130">
        <v>45330</v>
      </c>
      <c r="J363" s="130">
        <f t="shared" si="40"/>
        <v>45316</v>
      </c>
      <c r="K363" s="263">
        <f t="shared" si="41"/>
        <v>14.5</v>
      </c>
      <c r="L363" s="35">
        <f t="shared" si="42"/>
        <v>0</v>
      </c>
      <c r="M363" s="35">
        <f t="shared" si="43"/>
        <v>0</v>
      </c>
      <c r="N363" s="35">
        <f t="shared" si="44"/>
        <v>14.5</v>
      </c>
      <c r="O363" s="35">
        <v>77.2</v>
      </c>
      <c r="P363" s="131">
        <v>19.3</v>
      </c>
      <c r="Q363" s="132">
        <f t="shared" si="45"/>
        <v>2.0851596441763438E-5</v>
      </c>
      <c r="R363" s="38">
        <f t="shared" si="46"/>
        <v>3.0234814840556987E-4</v>
      </c>
    </row>
    <row r="364" spans="1:18">
      <c r="A364" s="36">
        <f t="shared" si="47"/>
        <v>356</v>
      </c>
      <c r="B364" s="35" t="s">
        <v>1053</v>
      </c>
      <c r="C364" s="130">
        <v>45189</v>
      </c>
      <c r="D364" s="287">
        <v>1084</v>
      </c>
      <c r="E364" s="130">
        <v>45215</v>
      </c>
      <c r="F364" s="130" t="s">
        <v>668</v>
      </c>
      <c r="G364" s="130">
        <v>45222</v>
      </c>
      <c r="H364" s="130">
        <v>45189</v>
      </c>
      <c r="I364" s="130">
        <v>45189</v>
      </c>
      <c r="J364" s="130">
        <f t="shared" si="40"/>
        <v>45189</v>
      </c>
      <c r="K364" s="263">
        <f t="shared" si="41"/>
        <v>0.5</v>
      </c>
      <c r="L364" s="35">
        <f t="shared" si="42"/>
        <v>26</v>
      </c>
      <c r="M364" s="35">
        <f t="shared" si="43"/>
        <v>7</v>
      </c>
      <c r="N364" s="35">
        <f t="shared" si="44"/>
        <v>33.5</v>
      </c>
      <c r="O364" s="35">
        <v>21995</v>
      </c>
      <c r="P364" s="131">
        <v>21995</v>
      </c>
      <c r="Q364" s="132">
        <f t="shared" si="45"/>
        <v>2.3763257188424185E-2</v>
      </c>
      <c r="R364" s="38">
        <f t="shared" si="46"/>
        <v>0.79606911581221018</v>
      </c>
    </row>
    <row r="365" spans="1:18">
      <c r="A365" s="36">
        <f t="shared" si="47"/>
        <v>357</v>
      </c>
      <c r="B365" s="35" t="s">
        <v>1054</v>
      </c>
      <c r="C365" s="130">
        <v>45182</v>
      </c>
      <c r="D365" s="287" t="s">
        <v>1055</v>
      </c>
      <c r="E365" s="130">
        <v>45182</v>
      </c>
      <c r="F365" s="130" t="s">
        <v>670</v>
      </c>
      <c r="G365" s="130">
        <v>45182</v>
      </c>
      <c r="H365" s="130">
        <v>45138</v>
      </c>
      <c r="I365" s="130">
        <v>45169</v>
      </c>
      <c r="J365" s="130">
        <f t="shared" si="40"/>
        <v>45153.5</v>
      </c>
      <c r="K365" s="263">
        <f t="shared" si="41"/>
        <v>16</v>
      </c>
      <c r="L365" s="35">
        <f t="shared" si="42"/>
        <v>0</v>
      </c>
      <c r="M365" s="35">
        <f t="shared" si="43"/>
        <v>0</v>
      </c>
      <c r="N365" s="35">
        <f t="shared" si="44"/>
        <v>16</v>
      </c>
      <c r="O365" s="35">
        <v>404.48</v>
      </c>
      <c r="P365" s="131">
        <v>21.56</v>
      </c>
      <c r="Q365" s="132">
        <f t="shared" si="45"/>
        <v>2.3293285973285991E-5</v>
      </c>
      <c r="R365" s="38">
        <f t="shared" si="46"/>
        <v>3.7269257557257586E-4</v>
      </c>
    </row>
    <row r="366" spans="1:18">
      <c r="A366" s="36">
        <f t="shared" si="47"/>
        <v>358</v>
      </c>
      <c r="B366" s="35" t="s">
        <v>1054</v>
      </c>
      <c r="C366" s="130">
        <v>45335</v>
      </c>
      <c r="D366" s="287" t="s">
        <v>1056</v>
      </c>
      <c r="E366" s="130">
        <v>45335</v>
      </c>
      <c r="F366" s="130" t="s">
        <v>670</v>
      </c>
      <c r="G366" s="130">
        <v>45335</v>
      </c>
      <c r="H366" s="130">
        <v>45291</v>
      </c>
      <c r="I366" s="130">
        <v>45322</v>
      </c>
      <c r="J366" s="130">
        <f t="shared" si="40"/>
        <v>45306.5</v>
      </c>
      <c r="K366" s="263">
        <f t="shared" si="41"/>
        <v>16</v>
      </c>
      <c r="L366" s="35">
        <f t="shared" si="42"/>
        <v>0</v>
      </c>
      <c r="M366" s="35">
        <f t="shared" si="43"/>
        <v>0</v>
      </c>
      <c r="N366" s="35">
        <f t="shared" si="44"/>
        <v>16</v>
      </c>
      <c r="O366" s="35">
        <v>274.95999999999998</v>
      </c>
      <c r="P366" s="131">
        <v>220.55</v>
      </c>
      <c r="Q366" s="132">
        <f t="shared" si="45"/>
        <v>2.3828080804305318E-4</v>
      </c>
      <c r="R366" s="38">
        <f t="shared" si="46"/>
        <v>3.8124929286888509E-3</v>
      </c>
    </row>
    <row r="367" spans="1:18">
      <c r="A367" s="36">
        <f t="shared" si="47"/>
        <v>359</v>
      </c>
      <c r="B367" s="35" t="s">
        <v>1054</v>
      </c>
      <c r="C367" s="130">
        <v>45335</v>
      </c>
      <c r="D367" s="287" t="s">
        <v>1057</v>
      </c>
      <c r="E367" s="130">
        <v>45335</v>
      </c>
      <c r="F367" s="130" t="s">
        <v>670</v>
      </c>
      <c r="G367" s="130">
        <v>45335</v>
      </c>
      <c r="H367" s="130">
        <v>45291</v>
      </c>
      <c r="I367" s="130">
        <v>45322</v>
      </c>
      <c r="J367" s="130">
        <f t="shared" si="40"/>
        <v>45306.5</v>
      </c>
      <c r="K367" s="263">
        <f t="shared" si="41"/>
        <v>16</v>
      </c>
      <c r="L367" s="35">
        <f t="shared" si="42"/>
        <v>0</v>
      </c>
      <c r="M367" s="35">
        <f t="shared" si="43"/>
        <v>0</v>
      </c>
      <c r="N367" s="35">
        <f t="shared" si="44"/>
        <v>16</v>
      </c>
      <c r="O367" s="35">
        <v>274.95999999999998</v>
      </c>
      <c r="P367" s="131">
        <v>33.450000000000003</v>
      </c>
      <c r="Q367" s="132">
        <f t="shared" si="45"/>
        <v>3.61391658537299E-5</v>
      </c>
      <c r="R367" s="38">
        <f t="shared" si="46"/>
        <v>5.782266536596784E-4</v>
      </c>
    </row>
    <row r="368" spans="1:18">
      <c r="A368" s="36">
        <f t="shared" si="47"/>
        <v>360</v>
      </c>
      <c r="B368" s="35" t="s">
        <v>1058</v>
      </c>
      <c r="C368" s="130">
        <v>45183</v>
      </c>
      <c r="D368" s="287" t="s">
        <v>1059</v>
      </c>
      <c r="E368" s="130">
        <v>45187</v>
      </c>
      <c r="F368" s="130" t="s">
        <v>671</v>
      </c>
      <c r="G368" s="130">
        <v>45187</v>
      </c>
      <c r="H368" s="130">
        <v>45167</v>
      </c>
      <c r="I368" s="130">
        <v>45183</v>
      </c>
      <c r="J368" s="130">
        <f t="shared" si="40"/>
        <v>45175</v>
      </c>
      <c r="K368" s="263">
        <f t="shared" si="41"/>
        <v>8.5</v>
      </c>
      <c r="L368" s="35">
        <f t="shared" si="42"/>
        <v>4</v>
      </c>
      <c r="M368" s="35">
        <f t="shared" si="43"/>
        <v>0</v>
      </c>
      <c r="N368" s="35">
        <f t="shared" si="44"/>
        <v>12.5</v>
      </c>
      <c r="O368" s="35">
        <v>1682.05</v>
      </c>
      <c r="P368" s="131">
        <v>283.23</v>
      </c>
      <c r="Q368" s="132">
        <f t="shared" si="45"/>
        <v>3.059998787668735E-4</v>
      </c>
      <c r="R368" s="38">
        <f t="shared" si="46"/>
        <v>3.8249984845859187E-3</v>
      </c>
    </row>
    <row r="369" spans="1:18">
      <c r="A369" s="36">
        <f t="shared" si="47"/>
        <v>361</v>
      </c>
      <c r="B369" s="35" t="s">
        <v>1060</v>
      </c>
      <c r="C369" s="130">
        <v>45251</v>
      </c>
      <c r="D369" s="287">
        <v>440538511</v>
      </c>
      <c r="E369" s="130">
        <v>45278</v>
      </c>
      <c r="F369" s="130" t="s">
        <v>668</v>
      </c>
      <c r="G369" s="130">
        <v>45286</v>
      </c>
      <c r="H369" s="130">
        <v>45251</v>
      </c>
      <c r="I369" s="130">
        <v>45251</v>
      </c>
      <c r="J369" s="130">
        <f t="shared" si="40"/>
        <v>45251</v>
      </c>
      <c r="K369" s="263">
        <f t="shared" si="41"/>
        <v>0.5</v>
      </c>
      <c r="L369" s="35">
        <f t="shared" si="42"/>
        <v>27</v>
      </c>
      <c r="M369" s="35">
        <f t="shared" si="43"/>
        <v>8</v>
      </c>
      <c r="N369" s="35">
        <f t="shared" si="44"/>
        <v>35.5</v>
      </c>
      <c r="O369" s="35">
        <v>415.81</v>
      </c>
      <c r="P369" s="131">
        <v>157</v>
      </c>
      <c r="Q369" s="132">
        <f t="shared" si="45"/>
        <v>1.6962179488895645E-4</v>
      </c>
      <c r="R369" s="38">
        <f t="shared" si="46"/>
        <v>6.0215737185579541E-3</v>
      </c>
    </row>
    <row r="370" spans="1:18">
      <c r="A370" s="36">
        <f t="shared" si="47"/>
        <v>362</v>
      </c>
      <c r="B370" s="35" t="s">
        <v>1061</v>
      </c>
      <c r="C370" s="130">
        <v>45200</v>
      </c>
      <c r="D370" s="287" t="s">
        <v>1062</v>
      </c>
      <c r="E370" s="130">
        <v>45210</v>
      </c>
      <c r="F370" s="130" t="s">
        <v>668</v>
      </c>
      <c r="G370" s="130">
        <v>45217</v>
      </c>
      <c r="H370" s="130">
        <v>45170</v>
      </c>
      <c r="I370" s="130">
        <v>45200</v>
      </c>
      <c r="J370" s="130">
        <f t="shared" si="40"/>
        <v>45185</v>
      </c>
      <c r="K370" s="263">
        <f t="shared" si="41"/>
        <v>15.5</v>
      </c>
      <c r="L370" s="35">
        <f t="shared" si="42"/>
        <v>10</v>
      </c>
      <c r="M370" s="35">
        <f t="shared" si="43"/>
        <v>7</v>
      </c>
      <c r="N370" s="35">
        <f t="shared" si="44"/>
        <v>32.5</v>
      </c>
      <c r="O370" s="35">
        <v>52714.94</v>
      </c>
      <c r="P370" s="131">
        <v>1945.67</v>
      </c>
      <c r="Q370" s="132">
        <f t="shared" si="45"/>
        <v>2.1020894118572988E-3</v>
      </c>
      <c r="R370" s="38">
        <f t="shared" si="46"/>
        <v>6.8317905885362212E-2</v>
      </c>
    </row>
    <row r="371" spans="1:18">
      <c r="A371" s="36">
        <f t="shared" si="47"/>
        <v>363</v>
      </c>
      <c r="B371" s="35" t="s">
        <v>1063</v>
      </c>
      <c r="C371" s="130">
        <v>45120</v>
      </c>
      <c r="D371" s="287" t="s">
        <v>1064</v>
      </c>
      <c r="E371" s="130">
        <v>45124</v>
      </c>
      <c r="F371" s="130" t="s">
        <v>671</v>
      </c>
      <c r="G371" s="130">
        <v>45124</v>
      </c>
      <c r="H371" s="130">
        <v>45110</v>
      </c>
      <c r="I371" s="130">
        <v>45120</v>
      </c>
      <c r="J371" s="130">
        <f t="shared" si="40"/>
        <v>45115</v>
      </c>
      <c r="K371" s="263">
        <f t="shared" si="41"/>
        <v>5.5</v>
      </c>
      <c r="L371" s="35">
        <f t="shared" si="42"/>
        <v>4</v>
      </c>
      <c r="M371" s="35">
        <f t="shared" si="43"/>
        <v>0</v>
      </c>
      <c r="N371" s="35">
        <f t="shared" si="44"/>
        <v>9.5</v>
      </c>
      <c r="O371" s="35">
        <v>1473.17</v>
      </c>
      <c r="P371" s="131">
        <v>1238.97</v>
      </c>
      <c r="Q371" s="132">
        <f t="shared" si="45"/>
        <v>1.3385752561373909E-3</v>
      </c>
      <c r="R371" s="38">
        <f t="shared" si="46"/>
        <v>1.2716464933305213E-2</v>
      </c>
    </row>
    <row r="372" spans="1:18">
      <c r="A372" s="36">
        <f t="shared" si="47"/>
        <v>364</v>
      </c>
      <c r="B372" s="35" t="s">
        <v>1065</v>
      </c>
      <c r="C372" s="130">
        <v>45446</v>
      </c>
      <c r="D372" s="287" t="s">
        <v>1066</v>
      </c>
      <c r="E372" s="130">
        <v>45449</v>
      </c>
      <c r="F372" s="130" t="s">
        <v>670</v>
      </c>
      <c r="G372" s="130">
        <v>45449</v>
      </c>
      <c r="H372" s="130">
        <v>45446</v>
      </c>
      <c r="I372" s="130">
        <v>45446</v>
      </c>
      <c r="J372" s="130">
        <f t="shared" si="40"/>
        <v>45446</v>
      </c>
      <c r="K372" s="263">
        <f t="shared" si="41"/>
        <v>0.5</v>
      </c>
      <c r="L372" s="35">
        <f t="shared" si="42"/>
        <v>3</v>
      </c>
      <c r="M372" s="35">
        <f t="shared" si="43"/>
        <v>0</v>
      </c>
      <c r="N372" s="35">
        <f t="shared" si="44"/>
        <v>3.5</v>
      </c>
      <c r="O372" s="35">
        <v>63.39</v>
      </c>
      <c r="P372" s="131">
        <v>63.39</v>
      </c>
      <c r="Q372" s="132">
        <f t="shared" si="45"/>
        <v>6.8486150178413685E-5</v>
      </c>
      <c r="R372" s="38">
        <f t="shared" si="46"/>
        <v>2.397015256244479E-4</v>
      </c>
    </row>
    <row r="373" spans="1:18">
      <c r="A373" s="36">
        <f t="shared" si="47"/>
        <v>365</v>
      </c>
      <c r="B373" s="35" t="s">
        <v>1067</v>
      </c>
      <c r="C373" s="130">
        <v>45252</v>
      </c>
      <c r="D373" s="287" t="s">
        <v>1068</v>
      </c>
      <c r="E373" s="130">
        <v>45260</v>
      </c>
      <c r="F373" s="130" t="s">
        <v>671</v>
      </c>
      <c r="G373" s="130">
        <v>45260</v>
      </c>
      <c r="H373" s="130">
        <v>45250</v>
      </c>
      <c r="I373" s="130">
        <v>45251</v>
      </c>
      <c r="J373" s="130">
        <f t="shared" si="40"/>
        <v>45250.5</v>
      </c>
      <c r="K373" s="263">
        <f t="shared" si="41"/>
        <v>1</v>
      </c>
      <c r="L373" s="35">
        <f t="shared" si="42"/>
        <v>8</v>
      </c>
      <c r="M373" s="35">
        <f t="shared" si="43"/>
        <v>0</v>
      </c>
      <c r="N373" s="35">
        <f t="shared" si="44"/>
        <v>9</v>
      </c>
      <c r="O373" s="35">
        <v>305.89</v>
      </c>
      <c r="P373" s="131">
        <v>305.89</v>
      </c>
      <c r="Q373" s="132">
        <f t="shared" si="45"/>
        <v>3.3048159769798018E-4</v>
      </c>
      <c r="R373" s="38">
        <f t="shared" si="46"/>
        <v>2.9743343792818216E-3</v>
      </c>
    </row>
    <row r="374" spans="1:18">
      <c r="A374" s="36">
        <f t="shared" si="47"/>
        <v>366</v>
      </c>
      <c r="B374" s="35" t="s">
        <v>1067</v>
      </c>
      <c r="C374" s="130">
        <v>45264</v>
      </c>
      <c r="D374" s="287" t="s">
        <v>1069</v>
      </c>
      <c r="E374" s="130">
        <v>45279</v>
      </c>
      <c r="F374" s="130" t="s">
        <v>671</v>
      </c>
      <c r="G374" s="130">
        <v>45279</v>
      </c>
      <c r="H374" s="130">
        <v>45218</v>
      </c>
      <c r="I374" s="130">
        <v>45273</v>
      </c>
      <c r="J374" s="130">
        <f t="shared" si="40"/>
        <v>45245.5</v>
      </c>
      <c r="K374" s="263">
        <f t="shared" si="41"/>
        <v>28</v>
      </c>
      <c r="L374" s="35">
        <f t="shared" si="42"/>
        <v>15</v>
      </c>
      <c r="M374" s="35">
        <f t="shared" si="43"/>
        <v>0</v>
      </c>
      <c r="N374" s="35">
        <f t="shared" si="44"/>
        <v>43</v>
      </c>
      <c r="O374" s="35">
        <v>575.47</v>
      </c>
      <c r="P374" s="131">
        <v>575.47</v>
      </c>
      <c r="Q374" s="132">
        <f t="shared" si="45"/>
        <v>6.2173410385189668E-4</v>
      </c>
      <c r="R374" s="38">
        <f t="shared" si="46"/>
        <v>2.6734566465631559E-2</v>
      </c>
    </row>
    <row r="375" spans="1:18">
      <c r="A375" s="36">
        <f t="shared" si="47"/>
        <v>367</v>
      </c>
      <c r="B375" s="35" t="s">
        <v>1067</v>
      </c>
      <c r="C375" s="130">
        <v>45401</v>
      </c>
      <c r="D375" s="287" t="s">
        <v>1070</v>
      </c>
      <c r="E375" s="130">
        <v>45404</v>
      </c>
      <c r="F375" s="130" t="s">
        <v>670</v>
      </c>
      <c r="G375" s="130">
        <v>45404</v>
      </c>
      <c r="H375" s="130">
        <v>45307</v>
      </c>
      <c r="I375" s="130">
        <v>45310</v>
      </c>
      <c r="J375" s="130">
        <f t="shared" si="40"/>
        <v>45308.5</v>
      </c>
      <c r="K375" s="263">
        <f t="shared" si="41"/>
        <v>2</v>
      </c>
      <c r="L375" s="35">
        <f t="shared" si="42"/>
        <v>3</v>
      </c>
      <c r="M375" s="35">
        <f t="shared" si="43"/>
        <v>0</v>
      </c>
      <c r="N375" s="35">
        <f t="shared" si="44"/>
        <v>5</v>
      </c>
      <c r="O375" s="35">
        <v>530.96</v>
      </c>
      <c r="P375" s="131">
        <v>530.96</v>
      </c>
      <c r="Q375" s="132">
        <f t="shared" si="45"/>
        <v>5.7364578480407851E-4</v>
      </c>
      <c r="R375" s="38">
        <f t="shared" si="46"/>
        <v>2.8682289240203928E-3</v>
      </c>
    </row>
    <row r="376" spans="1:18">
      <c r="A376" s="36">
        <f t="shared" si="47"/>
        <v>368</v>
      </c>
      <c r="B376" s="35" t="s">
        <v>1071</v>
      </c>
      <c r="C376" s="130">
        <v>45352</v>
      </c>
      <c r="D376" s="287" t="s">
        <v>1072</v>
      </c>
      <c r="E376" s="130">
        <v>45383</v>
      </c>
      <c r="F376" s="130" t="s">
        <v>670</v>
      </c>
      <c r="G376" s="130">
        <v>45383</v>
      </c>
      <c r="H376" s="130">
        <v>45350</v>
      </c>
      <c r="I376" s="130">
        <v>45378</v>
      </c>
      <c r="J376" s="130">
        <f t="shared" si="40"/>
        <v>45364</v>
      </c>
      <c r="K376" s="263">
        <f t="shared" si="41"/>
        <v>14.5</v>
      </c>
      <c r="L376" s="35">
        <f t="shared" si="42"/>
        <v>31</v>
      </c>
      <c r="M376" s="35">
        <f t="shared" si="43"/>
        <v>0</v>
      </c>
      <c r="N376" s="35">
        <f t="shared" si="44"/>
        <v>45.5</v>
      </c>
      <c r="O376" s="35">
        <v>403.97</v>
      </c>
      <c r="P376" s="131">
        <v>403.97</v>
      </c>
      <c r="Q376" s="132">
        <f t="shared" si="45"/>
        <v>4.3644660179166717E-4</v>
      </c>
      <c r="R376" s="38">
        <f t="shared" si="46"/>
        <v>1.9858320381520855E-2</v>
      </c>
    </row>
    <row r="377" spans="1:18">
      <c r="A377" s="36">
        <f t="shared" si="47"/>
        <v>369</v>
      </c>
      <c r="B377" s="35" t="s">
        <v>1073</v>
      </c>
      <c r="C377" s="130">
        <v>45294</v>
      </c>
      <c r="D377" s="287" t="s">
        <v>1074</v>
      </c>
      <c r="E377" s="130">
        <v>45295</v>
      </c>
      <c r="F377" s="130" t="s">
        <v>670</v>
      </c>
      <c r="G377" s="130">
        <v>45295</v>
      </c>
      <c r="H377" s="130">
        <v>45252</v>
      </c>
      <c r="I377" s="130">
        <v>45281</v>
      </c>
      <c r="J377" s="130">
        <f t="shared" si="40"/>
        <v>45266.5</v>
      </c>
      <c r="K377" s="263">
        <f t="shared" si="41"/>
        <v>15</v>
      </c>
      <c r="L377" s="35">
        <f t="shared" si="42"/>
        <v>1</v>
      </c>
      <c r="M377" s="35">
        <f t="shared" si="43"/>
        <v>0</v>
      </c>
      <c r="N377" s="35">
        <f t="shared" si="44"/>
        <v>16</v>
      </c>
      <c r="O377" s="35">
        <v>70.209999999999994</v>
      </c>
      <c r="P377" s="131">
        <v>24.29</v>
      </c>
      <c r="Q377" s="132">
        <f t="shared" si="45"/>
        <v>2.6242760495877403E-5</v>
      </c>
      <c r="R377" s="38">
        <f t="shared" si="46"/>
        <v>4.1988416793403845E-4</v>
      </c>
    </row>
    <row r="378" spans="1:18">
      <c r="A378" s="36">
        <f t="shared" si="47"/>
        <v>370</v>
      </c>
      <c r="B378" s="35" t="s">
        <v>1075</v>
      </c>
      <c r="C378" s="130">
        <v>45306</v>
      </c>
      <c r="D378" s="287" t="s">
        <v>1076</v>
      </c>
      <c r="E378" s="130">
        <v>45322</v>
      </c>
      <c r="F378" s="130" t="s">
        <v>668</v>
      </c>
      <c r="G378" s="130">
        <v>45334</v>
      </c>
      <c r="H378" s="130">
        <v>45275</v>
      </c>
      <c r="I378" s="130">
        <v>45306</v>
      </c>
      <c r="J378" s="130">
        <f t="shared" si="40"/>
        <v>45290.5</v>
      </c>
      <c r="K378" s="263">
        <f t="shared" si="41"/>
        <v>16</v>
      </c>
      <c r="L378" s="35">
        <f t="shared" si="42"/>
        <v>16</v>
      </c>
      <c r="M378" s="35">
        <f t="shared" si="43"/>
        <v>12</v>
      </c>
      <c r="N378" s="35">
        <f t="shared" si="44"/>
        <v>44</v>
      </c>
      <c r="O378" s="35">
        <v>57395.47</v>
      </c>
      <c r="P378" s="131">
        <v>364.85</v>
      </c>
      <c r="Q378" s="132">
        <f t="shared" si="45"/>
        <v>3.9418160423717046E-4</v>
      </c>
      <c r="R378" s="38">
        <f t="shared" si="46"/>
        <v>1.7343990586435501E-2</v>
      </c>
    </row>
    <row r="379" spans="1:18">
      <c r="A379" s="36">
        <f t="shared" si="47"/>
        <v>371</v>
      </c>
      <c r="B379" s="35" t="s">
        <v>1077</v>
      </c>
      <c r="C379" s="130">
        <v>45198</v>
      </c>
      <c r="D379" s="287" t="s">
        <v>1078</v>
      </c>
      <c r="E379" s="130">
        <v>45224</v>
      </c>
      <c r="F379" s="130" t="s">
        <v>668</v>
      </c>
      <c r="G379" s="130">
        <v>45231</v>
      </c>
      <c r="H379" s="130">
        <v>45198</v>
      </c>
      <c r="I379" s="130">
        <v>45198</v>
      </c>
      <c r="J379" s="130">
        <f t="shared" si="40"/>
        <v>45198</v>
      </c>
      <c r="K379" s="263">
        <f t="shared" si="41"/>
        <v>0.5</v>
      </c>
      <c r="L379" s="35">
        <f t="shared" si="42"/>
        <v>26</v>
      </c>
      <c r="M379" s="35">
        <f t="shared" si="43"/>
        <v>7</v>
      </c>
      <c r="N379" s="35">
        <f t="shared" si="44"/>
        <v>33.5</v>
      </c>
      <c r="O379" s="35">
        <v>7740</v>
      </c>
      <c r="P379" s="131">
        <v>3073</v>
      </c>
      <c r="Q379" s="132">
        <f t="shared" si="45"/>
        <v>3.3200495267118675E-3</v>
      </c>
      <c r="R379" s="38">
        <f t="shared" si="46"/>
        <v>0.11122165914484756</v>
      </c>
    </row>
    <row r="380" spans="1:18">
      <c r="A380" s="36">
        <f t="shared" si="47"/>
        <v>372</v>
      </c>
      <c r="B380" s="35" t="s">
        <v>1079</v>
      </c>
      <c r="C380" s="130">
        <v>45257</v>
      </c>
      <c r="D380" s="287" t="s">
        <v>1080</v>
      </c>
      <c r="E380" s="130">
        <v>45257</v>
      </c>
      <c r="F380" s="130" t="s">
        <v>670</v>
      </c>
      <c r="G380" s="130">
        <v>45257</v>
      </c>
      <c r="H380" s="130">
        <v>45221</v>
      </c>
      <c r="I380" s="130">
        <v>45252</v>
      </c>
      <c r="J380" s="130">
        <f t="shared" si="40"/>
        <v>45236.5</v>
      </c>
      <c r="K380" s="263">
        <f t="shared" si="41"/>
        <v>16</v>
      </c>
      <c r="L380" s="35">
        <f t="shared" si="42"/>
        <v>0</v>
      </c>
      <c r="M380" s="35">
        <f t="shared" si="43"/>
        <v>0</v>
      </c>
      <c r="N380" s="35">
        <f t="shared" si="44"/>
        <v>16</v>
      </c>
      <c r="O380" s="35">
        <v>293.14999999999998</v>
      </c>
      <c r="P380" s="131">
        <v>124.25</v>
      </c>
      <c r="Q380" s="132">
        <f t="shared" si="45"/>
        <v>1.3423890455383975E-4</v>
      </c>
      <c r="R380" s="38">
        <f t="shared" si="46"/>
        <v>2.147822472861436E-3</v>
      </c>
    </row>
    <row r="381" spans="1:18">
      <c r="A381" s="36">
        <f t="shared" si="47"/>
        <v>373</v>
      </c>
      <c r="B381" s="35" t="s">
        <v>1081</v>
      </c>
      <c r="C381" s="130">
        <v>45119</v>
      </c>
      <c r="D381" s="287" t="s">
        <v>1082</v>
      </c>
      <c r="E381" s="130">
        <v>45119</v>
      </c>
      <c r="F381" s="130" t="s">
        <v>670</v>
      </c>
      <c r="G381" s="130">
        <v>45119</v>
      </c>
      <c r="H381" s="130">
        <v>45078</v>
      </c>
      <c r="I381" s="130">
        <v>45108</v>
      </c>
      <c r="J381" s="130">
        <f t="shared" si="40"/>
        <v>45093</v>
      </c>
      <c r="K381" s="263">
        <f t="shared" si="41"/>
        <v>15.5</v>
      </c>
      <c r="L381" s="35">
        <f t="shared" si="42"/>
        <v>0</v>
      </c>
      <c r="M381" s="35">
        <f t="shared" si="43"/>
        <v>0</v>
      </c>
      <c r="N381" s="35">
        <f t="shared" si="44"/>
        <v>15.5</v>
      </c>
      <c r="O381" s="35">
        <v>53.13</v>
      </c>
      <c r="P381" s="131">
        <v>27.42</v>
      </c>
      <c r="Q381" s="132">
        <f t="shared" si="45"/>
        <v>2.9624392457676345E-5</v>
      </c>
      <c r="R381" s="38">
        <f t="shared" si="46"/>
        <v>4.5917808309398333E-4</v>
      </c>
    </row>
    <row r="382" spans="1:18">
      <c r="A382" s="36">
        <f t="shared" si="47"/>
        <v>374</v>
      </c>
      <c r="B382" s="35" t="s">
        <v>1081</v>
      </c>
      <c r="C382" s="130">
        <v>45133</v>
      </c>
      <c r="D382" s="287" t="s">
        <v>1083</v>
      </c>
      <c r="E382" s="130">
        <v>45133</v>
      </c>
      <c r="F382" s="130" t="s">
        <v>670</v>
      </c>
      <c r="G382" s="130">
        <v>45133</v>
      </c>
      <c r="H382" s="130">
        <v>45094</v>
      </c>
      <c r="I382" s="130">
        <v>45124</v>
      </c>
      <c r="J382" s="130">
        <f t="shared" si="40"/>
        <v>45109</v>
      </c>
      <c r="K382" s="263">
        <f t="shared" si="41"/>
        <v>15.5</v>
      </c>
      <c r="L382" s="35">
        <f t="shared" si="42"/>
        <v>0</v>
      </c>
      <c r="M382" s="35">
        <f t="shared" si="43"/>
        <v>0</v>
      </c>
      <c r="N382" s="35">
        <f t="shared" si="44"/>
        <v>15.5</v>
      </c>
      <c r="O382" s="35">
        <v>70.06</v>
      </c>
      <c r="P382" s="131">
        <v>25.81</v>
      </c>
      <c r="Q382" s="132">
        <f t="shared" si="45"/>
        <v>2.7884958764866025E-5</v>
      </c>
      <c r="R382" s="38">
        <f t="shared" si="46"/>
        <v>4.3221686085542337E-4</v>
      </c>
    </row>
    <row r="383" spans="1:18">
      <c r="A383" s="36">
        <f t="shared" si="47"/>
        <v>375</v>
      </c>
      <c r="B383" s="35" t="s">
        <v>1081</v>
      </c>
      <c r="C383" s="130">
        <v>45189</v>
      </c>
      <c r="D383" s="287" t="s">
        <v>1084</v>
      </c>
      <c r="E383" s="130">
        <v>45189</v>
      </c>
      <c r="F383" s="130" t="s">
        <v>670</v>
      </c>
      <c r="G383" s="130">
        <v>45189</v>
      </c>
      <c r="H383" s="130">
        <v>45150</v>
      </c>
      <c r="I383" s="130">
        <v>45181</v>
      </c>
      <c r="J383" s="130">
        <f t="shared" si="40"/>
        <v>45165.5</v>
      </c>
      <c r="K383" s="263">
        <f t="shared" si="41"/>
        <v>16</v>
      </c>
      <c r="L383" s="35">
        <f t="shared" si="42"/>
        <v>0</v>
      </c>
      <c r="M383" s="35">
        <f t="shared" si="43"/>
        <v>0</v>
      </c>
      <c r="N383" s="35">
        <f t="shared" si="44"/>
        <v>16</v>
      </c>
      <c r="O383" s="35">
        <v>24.45</v>
      </c>
      <c r="P383" s="131">
        <v>24.45</v>
      </c>
      <c r="Q383" s="132">
        <f t="shared" si="45"/>
        <v>2.6415623471560414E-5</v>
      </c>
      <c r="R383" s="38">
        <f t="shared" si="46"/>
        <v>4.2264997554496662E-4</v>
      </c>
    </row>
    <row r="384" spans="1:18">
      <c r="A384" s="36">
        <f t="shared" si="47"/>
        <v>376</v>
      </c>
      <c r="B384" s="35" t="s">
        <v>1081</v>
      </c>
      <c r="C384" s="130">
        <v>45224</v>
      </c>
      <c r="D384" s="287" t="s">
        <v>1085</v>
      </c>
      <c r="E384" s="130">
        <v>45224</v>
      </c>
      <c r="F384" s="130" t="s">
        <v>670</v>
      </c>
      <c r="G384" s="130">
        <v>45224</v>
      </c>
      <c r="H384" s="130">
        <v>45186</v>
      </c>
      <c r="I384" s="130">
        <v>45216</v>
      </c>
      <c r="J384" s="130">
        <f t="shared" si="40"/>
        <v>45201</v>
      </c>
      <c r="K384" s="263">
        <f t="shared" si="41"/>
        <v>15.5</v>
      </c>
      <c r="L384" s="35">
        <f t="shared" si="42"/>
        <v>0</v>
      </c>
      <c r="M384" s="35">
        <f t="shared" si="43"/>
        <v>0</v>
      </c>
      <c r="N384" s="35">
        <f t="shared" si="44"/>
        <v>15.5</v>
      </c>
      <c r="O384" s="35">
        <v>50.44</v>
      </c>
      <c r="P384" s="131">
        <v>25.99</v>
      </c>
      <c r="Q384" s="132">
        <f t="shared" si="45"/>
        <v>2.8079429612509413E-5</v>
      </c>
      <c r="R384" s="38">
        <f t="shared" si="46"/>
        <v>4.3523115899389591E-4</v>
      </c>
    </row>
    <row r="385" spans="1:18">
      <c r="A385" s="36">
        <f t="shared" si="47"/>
        <v>377</v>
      </c>
      <c r="B385" s="35" t="s">
        <v>1081</v>
      </c>
      <c r="C385" s="130">
        <v>45224</v>
      </c>
      <c r="D385" s="287" t="s">
        <v>1086</v>
      </c>
      <c r="E385" s="130">
        <v>45224</v>
      </c>
      <c r="F385" s="130" t="s">
        <v>670</v>
      </c>
      <c r="G385" s="130">
        <v>45224</v>
      </c>
      <c r="H385" s="130">
        <v>45186</v>
      </c>
      <c r="I385" s="130">
        <v>45216</v>
      </c>
      <c r="J385" s="130">
        <f t="shared" si="40"/>
        <v>45201</v>
      </c>
      <c r="K385" s="263">
        <f t="shared" si="41"/>
        <v>15.5</v>
      </c>
      <c r="L385" s="35">
        <f t="shared" si="42"/>
        <v>0</v>
      </c>
      <c r="M385" s="35">
        <f t="shared" si="43"/>
        <v>0</v>
      </c>
      <c r="N385" s="35">
        <f t="shared" si="44"/>
        <v>15.5</v>
      </c>
      <c r="O385" s="35">
        <v>50.44</v>
      </c>
      <c r="P385" s="131">
        <v>24.45</v>
      </c>
      <c r="Q385" s="132">
        <f t="shared" si="45"/>
        <v>2.6415623471560414E-5</v>
      </c>
      <c r="R385" s="38">
        <f t="shared" si="46"/>
        <v>4.0944216380918642E-4</v>
      </c>
    </row>
    <row r="386" spans="1:18">
      <c r="A386" s="36">
        <f t="shared" si="47"/>
        <v>378</v>
      </c>
      <c r="B386" s="35" t="s">
        <v>1081</v>
      </c>
      <c r="C386" s="130">
        <v>45238</v>
      </c>
      <c r="D386" s="287" t="s">
        <v>1087</v>
      </c>
      <c r="E386" s="130">
        <v>45238</v>
      </c>
      <c r="F386" s="130" t="s">
        <v>670</v>
      </c>
      <c r="G386" s="130">
        <v>45238</v>
      </c>
      <c r="H386" s="130">
        <v>45198</v>
      </c>
      <c r="I386" s="130">
        <v>45228</v>
      </c>
      <c r="J386" s="130">
        <f t="shared" si="40"/>
        <v>45213</v>
      </c>
      <c r="K386" s="263">
        <f t="shared" si="41"/>
        <v>15.5</v>
      </c>
      <c r="L386" s="35">
        <f t="shared" si="42"/>
        <v>0</v>
      </c>
      <c r="M386" s="35">
        <f t="shared" si="43"/>
        <v>0</v>
      </c>
      <c r="N386" s="35">
        <f t="shared" si="44"/>
        <v>15.5</v>
      </c>
      <c r="O386" s="35">
        <v>82.14</v>
      </c>
      <c r="P386" s="131">
        <v>26.56</v>
      </c>
      <c r="Q386" s="132">
        <f t="shared" si="45"/>
        <v>2.8695253963380147E-5</v>
      </c>
      <c r="R386" s="38">
        <f t="shared" si="46"/>
        <v>4.4477643643239226E-4</v>
      </c>
    </row>
    <row r="387" spans="1:18">
      <c r="A387" s="36">
        <f t="shared" si="47"/>
        <v>379</v>
      </c>
      <c r="B387" s="35" t="s">
        <v>1081</v>
      </c>
      <c r="C387" s="130">
        <v>45302</v>
      </c>
      <c r="D387" s="287" t="s">
        <v>1088</v>
      </c>
      <c r="E387" s="130">
        <v>45302</v>
      </c>
      <c r="F387" s="130" t="s">
        <v>670</v>
      </c>
      <c r="G387" s="130">
        <v>45302</v>
      </c>
      <c r="H387" s="130">
        <v>45261</v>
      </c>
      <c r="I387" s="130">
        <v>45292</v>
      </c>
      <c r="J387" s="130">
        <f t="shared" si="40"/>
        <v>45276.5</v>
      </c>
      <c r="K387" s="263">
        <f t="shared" si="41"/>
        <v>16</v>
      </c>
      <c r="L387" s="35">
        <f t="shared" si="42"/>
        <v>0</v>
      </c>
      <c r="M387" s="35">
        <f t="shared" si="43"/>
        <v>0</v>
      </c>
      <c r="N387" s="35">
        <f t="shared" si="44"/>
        <v>16</v>
      </c>
      <c r="O387" s="35">
        <v>27.85</v>
      </c>
      <c r="P387" s="131">
        <v>27.85</v>
      </c>
      <c r="Q387" s="132">
        <f t="shared" si="45"/>
        <v>3.0088961704824443E-5</v>
      </c>
      <c r="R387" s="38">
        <f t="shared" si="46"/>
        <v>4.8142338727719109E-4</v>
      </c>
    </row>
    <row r="388" spans="1:18">
      <c r="A388" s="36">
        <f t="shared" si="47"/>
        <v>380</v>
      </c>
      <c r="B388" s="35" t="s">
        <v>1081</v>
      </c>
      <c r="C388" s="130">
        <v>45313</v>
      </c>
      <c r="D388" s="287" t="s">
        <v>1089</v>
      </c>
      <c r="E388" s="130">
        <v>45313</v>
      </c>
      <c r="F388" s="130" t="s">
        <v>670</v>
      </c>
      <c r="G388" s="130">
        <v>45313</v>
      </c>
      <c r="H388" s="130">
        <v>45271</v>
      </c>
      <c r="I388" s="130">
        <v>45302</v>
      </c>
      <c r="J388" s="130">
        <f t="shared" si="40"/>
        <v>45286.5</v>
      </c>
      <c r="K388" s="263">
        <f t="shared" si="41"/>
        <v>16</v>
      </c>
      <c r="L388" s="35">
        <f t="shared" si="42"/>
        <v>0</v>
      </c>
      <c r="M388" s="35">
        <f t="shared" si="43"/>
        <v>0</v>
      </c>
      <c r="N388" s="35">
        <f t="shared" si="44"/>
        <v>16</v>
      </c>
      <c r="O388" s="35">
        <v>28.2</v>
      </c>
      <c r="P388" s="131">
        <v>28.2</v>
      </c>
      <c r="Q388" s="132">
        <f t="shared" si="45"/>
        <v>3.0467099464131032E-5</v>
      </c>
      <c r="R388" s="38">
        <f t="shared" si="46"/>
        <v>4.8747359142609651E-4</v>
      </c>
    </row>
    <row r="389" spans="1:18">
      <c r="A389" s="36">
        <f t="shared" si="47"/>
        <v>381</v>
      </c>
      <c r="B389" s="35" t="s">
        <v>1081</v>
      </c>
      <c r="C389" s="130">
        <v>45316</v>
      </c>
      <c r="D389" s="287" t="s">
        <v>1090</v>
      </c>
      <c r="E389" s="130">
        <v>45316</v>
      </c>
      <c r="F389" s="130" t="s">
        <v>670</v>
      </c>
      <c r="G389" s="130">
        <v>45316</v>
      </c>
      <c r="H389" s="130">
        <v>45274</v>
      </c>
      <c r="I389" s="130">
        <v>45305</v>
      </c>
      <c r="J389" s="130">
        <f t="shared" si="40"/>
        <v>45289.5</v>
      </c>
      <c r="K389" s="263">
        <f t="shared" si="41"/>
        <v>16</v>
      </c>
      <c r="L389" s="35">
        <f t="shared" si="42"/>
        <v>0</v>
      </c>
      <c r="M389" s="35">
        <f t="shared" si="43"/>
        <v>0</v>
      </c>
      <c r="N389" s="35">
        <f t="shared" si="44"/>
        <v>16</v>
      </c>
      <c r="O389" s="35">
        <v>61.24</v>
      </c>
      <c r="P389" s="131">
        <v>32.909999999999997</v>
      </c>
      <c r="Q389" s="132">
        <f t="shared" si="45"/>
        <v>3.555575331079972E-5</v>
      </c>
      <c r="R389" s="38">
        <f t="shared" si="46"/>
        <v>5.6889205297279552E-4</v>
      </c>
    </row>
    <row r="390" spans="1:18">
      <c r="A390" s="36">
        <f t="shared" si="47"/>
        <v>382</v>
      </c>
      <c r="B390" s="35" t="s">
        <v>1081</v>
      </c>
      <c r="C390" s="130">
        <v>45110</v>
      </c>
      <c r="D390" s="287" t="s">
        <v>1091</v>
      </c>
      <c r="E390" s="130">
        <v>45112</v>
      </c>
      <c r="F390" s="130" t="s">
        <v>670</v>
      </c>
      <c r="G390" s="130">
        <v>45112</v>
      </c>
      <c r="H390" s="130">
        <v>45068</v>
      </c>
      <c r="I390" s="130">
        <v>45099</v>
      </c>
      <c r="J390" s="130">
        <f t="shared" si="40"/>
        <v>45083.5</v>
      </c>
      <c r="K390" s="263">
        <f t="shared" si="41"/>
        <v>16</v>
      </c>
      <c r="L390" s="35">
        <f t="shared" si="42"/>
        <v>2</v>
      </c>
      <c r="M390" s="35">
        <f t="shared" si="43"/>
        <v>0</v>
      </c>
      <c r="N390" s="35">
        <f t="shared" si="44"/>
        <v>18</v>
      </c>
      <c r="O390" s="35">
        <v>84.3</v>
      </c>
      <c r="P390" s="131">
        <v>29</v>
      </c>
      <c r="Q390" s="132">
        <f t="shared" si="45"/>
        <v>3.1331414342546095E-5</v>
      </c>
      <c r="R390" s="38">
        <f t="shared" si="46"/>
        <v>5.6396545816582975E-4</v>
      </c>
    </row>
    <row r="391" spans="1:18">
      <c r="A391" s="36">
        <f t="shared" si="47"/>
        <v>383</v>
      </c>
      <c r="B391" s="35" t="s">
        <v>1092</v>
      </c>
      <c r="C391" s="130">
        <v>45177</v>
      </c>
      <c r="D391" s="287">
        <v>1222332</v>
      </c>
      <c r="E391" s="130">
        <v>45203</v>
      </c>
      <c r="F391" s="130" t="s">
        <v>668</v>
      </c>
      <c r="G391" s="130">
        <v>45216</v>
      </c>
      <c r="H391" s="130">
        <v>45177</v>
      </c>
      <c r="I391" s="130">
        <v>45177</v>
      </c>
      <c r="J391" s="130">
        <f t="shared" si="40"/>
        <v>45177</v>
      </c>
      <c r="K391" s="263">
        <f t="shared" si="41"/>
        <v>0.5</v>
      </c>
      <c r="L391" s="35">
        <f t="shared" si="42"/>
        <v>26</v>
      </c>
      <c r="M391" s="35">
        <f t="shared" si="43"/>
        <v>13</v>
      </c>
      <c r="N391" s="35">
        <f t="shared" si="44"/>
        <v>39.5</v>
      </c>
      <c r="O391" s="35">
        <v>157.29</v>
      </c>
      <c r="P391" s="131">
        <v>157.29</v>
      </c>
      <c r="Q391" s="132">
        <f t="shared" si="45"/>
        <v>1.6993510903238191E-4</v>
      </c>
      <c r="R391" s="38">
        <f t="shared" si="46"/>
        <v>6.7124368067790858E-3</v>
      </c>
    </row>
    <row r="392" spans="1:18">
      <c r="A392" s="36">
        <f t="shared" si="47"/>
        <v>384</v>
      </c>
      <c r="B392" s="35" t="s">
        <v>1093</v>
      </c>
      <c r="C392" s="130">
        <v>45208</v>
      </c>
      <c r="D392" s="287" t="s">
        <v>1094</v>
      </c>
      <c r="E392" s="130">
        <v>45208</v>
      </c>
      <c r="F392" s="130" t="s">
        <v>670</v>
      </c>
      <c r="G392" s="130">
        <v>45208</v>
      </c>
      <c r="H392" s="130">
        <v>45162</v>
      </c>
      <c r="I392" s="130">
        <v>45191</v>
      </c>
      <c r="J392" s="130">
        <f t="shared" si="40"/>
        <v>45176.5</v>
      </c>
      <c r="K392" s="263">
        <f t="shared" si="41"/>
        <v>15</v>
      </c>
      <c r="L392" s="35">
        <f t="shared" si="42"/>
        <v>0</v>
      </c>
      <c r="M392" s="35">
        <f t="shared" si="43"/>
        <v>0</v>
      </c>
      <c r="N392" s="35">
        <f t="shared" si="44"/>
        <v>15</v>
      </c>
      <c r="O392" s="35">
        <v>456.28</v>
      </c>
      <c r="P392" s="131">
        <v>2.4700000000000002</v>
      </c>
      <c r="Q392" s="132">
        <f t="shared" si="45"/>
        <v>2.6685721871065125E-6</v>
      </c>
      <c r="R392" s="38">
        <f t="shared" si="46"/>
        <v>4.0028582806597684E-5</v>
      </c>
    </row>
    <row r="393" spans="1:18">
      <c r="A393" s="36">
        <f t="shared" si="47"/>
        <v>385</v>
      </c>
      <c r="B393" s="35" t="s">
        <v>1095</v>
      </c>
      <c r="C393" s="130">
        <v>45188</v>
      </c>
      <c r="D393" s="287" t="s">
        <v>1096</v>
      </c>
      <c r="E393" s="130">
        <v>45188</v>
      </c>
      <c r="F393" s="130" t="s">
        <v>670</v>
      </c>
      <c r="G393" s="130">
        <v>45188</v>
      </c>
      <c r="H393" s="130">
        <v>45151</v>
      </c>
      <c r="I393" s="130">
        <v>45182</v>
      </c>
      <c r="J393" s="130">
        <f t="shared" ref="J393:J421" si="48">IF(I393&lt;1," ",(((I393-H393)/2)+H393))</f>
        <v>45166.5</v>
      </c>
      <c r="K393" s="263">
        <f t="shared" ref="K393:K421" si="49">(I393-H393+1)/2</f>
        <v>16</v>
      </c>
      <c r="L393" s="35">
        <f t="shared" ref="L393:L421" si="50">E393-C393</f>
        <v>0</v>
      </c>
      <c r="M393" s="35">
        <f t="shared" ref="M393:M421" si="51">G393-E393</f>
        <v>0</v>
      </c>
      <c r="N393" s="35">
        <f t="shared" ref="N393:N421" si="52">M393+L393+K393</f>
        <v>16</v>
      </c>
      <c r="O393" s="35">
        <v>47.93</v>
      </c>
      <c r="P393" s="131">
        <v>47.93</v>
      </c>
      <c r="Q393" s="132">
        <f t="shared" ref="Q393:Q421" si="53">P393/$P$422</f>
        <v>5.1783265153042564E-5</v>
      </c>
      <c r="R393" s="38">
        <f t="shared" ref="R393:R421" si="54">Q393*N393</f>
        <v>8.2853224244868102E-4</v>
      </c>
    </row>
    <row r="394" spans="1:18">
      <c r="A394" s="36">
        <f t="shared" ref="A394:A424" si="55">1+A393</f>
        <v>386</v>
      </c>
      <c r="B394" s="35" t="s">
        <v>1097</v>
      </c>
      <c r="C394" s="130">
        <v>45181</v>
      </c>
      <c r="D394" s="287" t="s">
        <v>1098</v>
      </c>
      <c r="E394" s="130">
        <v>45183</v>
      </c>
      <c r="F394" s="130" t="s">
        <v>671</v>
      </c>
      <c r="G394" s="130">
        <v>45183</v>
      </c>
      <c r="H394" s="130">
        <v>45020</v>
      </c>
      <c r="I394" s="130">
        <v>45168</v>
      </c>
      <c r="J394" s="130">
        <f t="shared" si="48"/>
        <v>45094</v>
      </c>
      <c r="K394" s="263">
        <f t="shared" si="49"/>
        <v>74.5</v>
      </c>
      <c r="L394" s="35">
        <f t="shared" si="50"/>
        <v>2</v>
      </c>
      <c r="M394" s="35">
        <f t="shared" si="51"/>
        <v>0</v>
      </c>
      <c r="N394" s="35">
        <f t="shared" si="52"/>
        <v>76.5</v>
      </c>
      <c r="O394" s="35">
        <v>890.77</v>
      </c>
      <c r="P394" s="131">
        <v>890.77</v>
      </c>
      <c r="Q394" s="132">
        <f t="shared" si="53"/>
        <v>9.6238220530723401E-4</v>
      </c>
      <c r="R394" s="38">
        <f t="shared" si="54"/>
        <v>7.3622238706003401E-2</v>
      </c>
    </row>
    <row r="395" spans="1:18">
      <c r="A395" s="36">
        <f t="shared" si="55"/>
        <v>387</v>
      </c>
      <c r="B395" s="35" t="s">
        <v>1099</v>
      </c>
      <c r="C395" s="130">
        <v>45281</v>
      </c>
      <c r="D395" s="287">
        <v>101</v>
      </c>
      <c r="E395" s="130">
        <v>45315</v>
      </c>
      <c r="F395" s="130" t="s">
        <v>668</v>
      </c>
      <c r="G395" s="130">
        <v>45330</v>
      </c>
      <c r="H395" s="130">
        <v>45281</v>
      </c>
      <c r="I395" s="130">
        <v>45281</v>
      </c>
      <c r="J395" s="130">
        <f t="shared" si="48"/>
        <v>45281</v>
      </c>
      <c r="K395" s="263">
        <f t="shared" si="49"/>
        <v>0.5</v>
      </c>
      <c r="L395" s="35">
        <f t="shared" si="50"/>
        <v>34</v>
      </c>
      <c r="M395" s="35">
        <f t="shared" si="51"/>
        <v>15</v>
      </c>
      <c r="N395" s="35">
        <f t="shared" si="52"/>
        <v>49.5</v>
      </c>
      <c r="O395" s="35">
        <v>400</v>
      </c>
      <c r="P395" s="131">
        <v>400</v>
      </c>
      <c r="Q395" s="132">
        <f t="shared" si="53"/>
        <v>4.3215743920753234E-4</v>
      </c>
      <c r="R395" s="38">
        <f t="shared" si="54"/>
        <v>2.1391793240772852E-2</v>
      </c>
    </row>
    <row r="396" spans="1:18">
      <c r="A396" s="36">
        <f t="shared" si="55"/>
        <v>388</v>
      </c>
      <c r="B396" s="35" t="s">
        <v>1100</v>
      </c>
      <c r="C396" s="130">
        <v>45370</v>
      </c>
      <c r="D396" s="287" t="s">
        <v>1101</v>
      </c>
      <c r="E396" s="130">
        <v>45373</v>
      </c>
      <c r="F396" s="130" t="s">
        <v>670</v>
      </c>
      <c r="G396" s="130">
        <v>45373</v>
      </c>
      <c r="H396" s="130">
        <v>45338</v>
      </c>
      <c r="I396" s="130">
        <v>45363</v>
      </c>
      <c r="J396" s="130">
        <f t="shared" si="48"/>
        <v>45350.5</v>
      </c>
      <c r="K396" s="263">
        <f t="shared" si="49"/>
        <v>13</v>
      </c>
      <c r="L396" s="35">
        <f t="shared" si="50"/>
        <v>3</v>
      </c>
      <c r="M396" s="35">
        <f t="shared" si="51"/>
        <v>0</v>
      </c>
      <c r="N396" s="35">
        <f t="shared" si="52"/>
        <v>16</v>
      </c>
      <c r="O396" s="35">
        <v>248.85</v>
      </c>
      <c r="P396" s="131">
        <v>248.85</v>
      </c>
      <c r="Q396" s="132">
        <f t="shared" si="53"/>
        <v>2.6885594686698605E-4</v>
      </c>
      <c r="R396" s="38">
        <f t="shared" si="54"/>
        <v>4.3016951498717768E-3</v>
      </c>
    </row>
    <row r="397" spans="1:18">
      <c r="A397" s="36">
        <f t="shared" si="55"/>
        <v>389</v>
      </c>
      <c r="B397" s="35" t="s">
        <v>1102</v>
      </c>
      <c r="C397" s="130">
        <v>45156</v>
      </c>
      <c r="D397" s="287">
        <v>14293</v>
      </c>
      <c r="E397" s="130">
        <v>45168</v>
      </c>
      <c r="F397" s="130" t="s">
        <v>668</v>
      </c>
      <c r="G397" s="130">
        <v>45175</v>
      </c>
      <c r="H397" s="130">
        <v>45156</v>
      </c>
      <c r="I397" s="130">
        <v>45156</v>
      </c>
      <c r="J397" s="130">
        <f t="shared" si="48"/>
        <v>45156</v>
      </c>
      <c r="K397" s="263">
        <f t="shared" si="49"/>
        <v>0.5</v>
      </c>
      <c r="L397" s="35">
        <f t="shared" si="50"/>
        <v>12</v>
      </c>
      <c r="M397" s="35">
        <f t="shared" si="51"/>
        <v>7</v>
      </c>
      <c r="N397" s="35">
        <f t="shared" si="52"/>
        <v>19.5</v>
      </c>
      <c r="O397" s="35">
        <v>7950.29</v>
      </c>
      <c r="P397" s="131">
        <v>2500</v>
      </c>
      <c r="Q397" s="132">
        <f t="shared" si="53"/>
        <v>2.7009839950470774E-3</v>
      </c>
      <c r="R397" s="38">
        <f t="shared" si="54"/>
        <v>5.2669187903418006E-2</v>
      </c>
    </row>
    <row r="398" spans="1:18">
      <c r="A398" s="36">
        <f t="shared" si="55"/>
        <v>390</v>
      </c>
      <c r="B398" s="35" t="s">
        <v>1102</v>
      </c>
      <c r="C398" s="130">
        <v>45135</v>
      </c>
      <c r="D398" s="287">
        <v>14290</v>
      </c>
      <c r="E398" s="130">
        <v>45154</v>
      </c>
      <c r="F398" s="130" t="s">
        <v>668</v>
      </c>
      <c r="G398" s="130">
        <v>45161</v>
      </c>
      <c r="H398" s="130">
        <v>45135</v>
      </c>
      <c r="I398" s="130">
        <v>45135</v>
      </c>
      <c r="J398" s="130">
        <f t="shared" si="48"/>
        <v>45135</v>
      </c>
      <c r="K398" s="263">
        <f t="shared" si="49"/>
        <v>0.5</v>
      </c>
      <c r="L398" s="35">
        <f t="shared" si="50"/>
        <v>19</v>
      </c>
      <c r="M398" s="35">
        <f t="shared" si="51"/>
        <v>7</v>
      </c>
      <c r="N398" s="35">
        <f t="shared" si="52"/>
        <v>26.5</v>
      </c>
      <c r="O398" s="35">
        <v>14231.86</v>
      </c>
      <c r="P398" s="131">
        <v>3728</v>
      </c>
      <c r="Q398" s="132">
        <f t="shared" si="53"/>
        <v>4.0277073334142018E-3</v>
      </c>
      <c r="R398" s="38">
        <f t="shared" si="54"/>
        <v>0.10673424433547635</v>
      </c>
    </row>
    <row r="399" spans="1:18">
      <c r="A399" s="36">
        <f t="shared" si="55"/>
        <v>391</v>
      </c>
      <c r="B399" s="35" t="s">
        <v>1103</v>
      </c>
      <c r="C399" s="130">
        <v>45384</v>
      </c>
      <c r="D399" s="287">
        <v>54395020</v>
      </c>
      <c r="E399" s="130">
        <v>45411</v>
      </c>
      <c r="F399" s="130" t="s">
        <v>670</v>
      </c>
      <c r="G399" s="130">
        <v>45411</v>
      </c>
      <c r="H399" s="130">
        <v>45379</v>
      </c>
      <c r="I399" s="130">
        <v>45379</v>
      </c>
      <c r="J399" s="130">
        <f t="shared" si="48"/>
        <v>45379</v>
      </c>
      <c r="K399" s="263">
        <f t="shared" si="49"/>
        <v>0.5</v>
      </c>
      <c r="L399" s="35">
        <f t="shared" si="50"/>
        <v>27</v>
      </c>
      <c r="M399" s="35">
        <f t="shared" si="51"/>
        <v>0</v>
      </c>
      <c r="N399" s="35">
        <f t="shared" si="52"/>
        <v>27.5</v>
      </c>
      <c r="O399" s="35">
        <v>12025.14</v>
      </c>
      <c r="P399" s="131">
        <v>104.68</v>
      </c>
      <c r="Q399" s="132">
        <f t="shared" si="53"/>
        <v>1.1309560184061123E-4</v>
      </c>
      <c r="R399" s="38">
        <f t="shared" si="54"/>
        <v>3.1101290506168086E-3</v>
      </c>
    </row>
    <row r="400" spans="1:18">
      <c r="A400" s="36">
        <f t="shared" si="55"/>
        <v>392</v>
      </c>
      <c r="B400" s="35" t="s">
        <v>1103</v>
      </c>
      <c r="C400" s="130">
        <v>45268</v>
      </c>
      <c r="D400" s="287">
        <v>53570165</v>
      </c>
      <c r="E400" s="130">
        <v>45293</v>
      </c>
      <c r="F400" s="130" t="s">
        <v>671</v>
      </c>
      <c r="G400" s="130">
        <v>45293</v>
      </c>
      <c r="H400" s="130">
        <v>45223</v>
      </c>
      <c r="I400" s="130">
        <v>45230</v>
      </c>
      <c r="J400" s="130">
        <f t="shared" si="48"/>
        <v>45226.5</v>
      </c>
      <c r="K400" s="263">
        <f t="shared" si="49"/>
        <v>4</v>
      </c>
      <c r="L400" s="35">
        <f t="shared" si="50"/>
        <v>25</v>
      </c>
      <c r="M400" s="35">
        <f t="shared" si="51"/>
        <v>0</v>
      </c>
      <c r="N400" s="35">
        <f t="shared" si="52"/>
        <v>29</v>
      </c>
      <c r="O400" s="35">
        <v>31376.39</v>
      </c>
      <c r="P400" s="131">
        <v>52.82</v>
      </c>
      <c r="Q400" s="132">
        <f t="shared" si="53"/>
        <v>5.7066389847354647E-5</v>
      </c>
      <c r="R400" s="38">
        <f t="shared" si="54"/>
        <v>1.6549253055732848E-3</v>
      </c>
    </row>
    <row r="401" spans="1:18">
      <c r="A401" s="36">
        <f t="shared" si="55"/>
        <v>393</v>
      </c>
      <c r="B401" s="35" t="s">
        <v>1103</v>
      </c>
      <c r="C401" s="130">
        <v>45412</v>
      </c>
      <c r="D401" s="287">
        <v>54622412</v>
      </c>
      <c r="E401" s="130">
        <v>45440</v>
      </c>
      <c r="F401" s="130" t="s">
        <v>670</v>
      </c>
      <c r="G401" s="130">
        <v>45440</v>
      </c>
      <c r="H401" s="130">
        <v>45408</v>
      </c>
      <c r="I401" s="130">
        <v>45408</v>
      </c>
      <c r="J401" s="130">
        <f t="shared" si="48"/>
        <v>45408</v>
      </c>
      <c r="K401" s="263">
        <f t="shared" si="49"/>
        <v>0.5</v>
      </c>
      <c r="L401" s="35">
        <f t="shared" si="50"/>
        <v>28</v>
      </c>
      <c r="M401" s="35">
        <f t="shared" si="51"/>
        <v>0</v>
      </c>
      <c r="N401" s="35">
        <f t="shared" si="52"/>
        <v>28.5</v>
      </c>
      <c r="O401" s="35">
        <v>26291.95</v>
      </c>
      <c r="P401" s="131">
        <v>181.36</v>
      </c>
      <c r="Q401" s="132">
        <f t="shared" si="53"/>
        <v>1.959401829366952E-4</v>
      </c>
      <c r="R401" s="38">
        <f t="shared" si="54"/>
        <v>5.5842952136958132E-3</v>
      </c>
    </row>
    <row r="402" spans="1:18">
      <c r="A402" s="36">
        <f t="shared" si="55"/>
        <v>394</v>
      </c>
      <c r="B402" s="35" t="s">
        <v>1103</v>
      </c>
      <c r="C402" s="130">
        <v>45443</v>
      </c>
      <c r="D402" s="287">
        <v>54883063</v>
      </c>
      <c r="E402" s="130">
        <v>45468</v>
      </c>
      <c r="F402" s="130" t="s">
        <v>670</v>
      </c>
      <c r="G402" s="130">
        <v>45468</v>
      </c>
      <c r="H402" s="130">
        <v>45442</v>
      </c>
      <c r="I402" s="130">
        <v>45442</v>
      </c>
      <c r="J402" s="130">
        <f t="shared" si="48"/>
        <v>45442</v>
      </c>
      <c r="K402" s="263">
        <f t="shared" si="49"/>
        <v>0.5</v>
      </c>
      <c r="L402" s="35">
        <f t="shared" si="50"/>
        <v>25</v>
      </c>
      <c r="M402" s="35">
        <f t="shared" si="51"/>
        <v>0</v>
      </c>
      <c r="N402" s="35">
        <f t="shared" si="52"/>
        <v>25.5</v>
      </c>
      <c r="O402" s="35">
        <v>33896.839999999997</v>
      </c>
      <c r="P402" s="131">
        <v>42.88</v>
      </c>
      <c r="Q402" s="132">
        <f t="shared" si="53"/>
        <v>4.632727748304747E-5</v>
      </c>
      <c r="R402" s="38">
        <f t="shared" si="54"/>
        <v>1.1813455758177104E-3</v>
      </c>
    </row>
    <row r="403" spans="1:18">
      <c r="A403" s="36">
        <f t="shared" si="55"/>
        <v>395</v>
      </c>
      <c r="B403" s="35" t="s">
        <v>1103</v>
      </c>
      <c r="C403" s="130">
        <v>45335</v>
      </c>
      <c r="D403" s="287">
        <v>54002577</v>
      </c>
      <c r="E403" s="130">
        <v>45362</v>
      </c>
      <c r="F403" s="130" t="s">
        <v>670</v>
      </c>
      <c r="G403" s="130">
        <v>45362</v>
      </c>
      <c r="H403" s="130">
        <v>45323</v>
      </c>
      <c r="I403" s="130">
        <v>45331</v>
      </c>
      <c r="J403" s="130">
        <f t="shared" si="48"/>
        <v>45327</v>
      </c>
      <c r="K403" s="263">
        <f t="shared" si="49"/>
        <v>4.5</v>
      </c>
      <c r="L403" s="35">
        <f t="shared" si="50"/>
        <v>27</v>
      </c>
      <c r="M403" s="35">
        <f t="shared" si="51"/>
        <v>0</v>
      </c>
      <c r="N403" s="35">
        <f t="shared" si="52"/>
        <v>31.5</v>
      </c>
      <c r="O403" s="35">
        <v>17807.38</v>
      </c>
      <c r="P403" s="131">
        <v>267.3</v>
      </c>
      <c r="Q403" s="132">
        <f t="shared" si="53"/>
        <v>2.8878920875043351E-4</v>
      </c>
      <c r="R403" s="38">
        <f t="shared" si="54"/>
        <v>9.0968600756386551E-3</v>
      </c>
    </row>
    <row r="404" spans="1:18">
      <c r="A404" s="36">
        <f t="shared" si="55"/>
        <v>396</v>
      </c>
      <c r="B404" s="35" t="s">
        <v>1103</v>
      </c>
      <c r="C404" s="130">
        <v>45387</v>
      </c>
      <c r="D404" s="287">
        <v>54430676</v>
      </c>
      <c r="E404" s="130">
        <v>45412</v>
      </c>
      <c r="F404" s="130" t="s">
        <v>670</v>
      </c>
      <c r="G404" s="130">
        <v>45412</v>
      </c>
      <c r="H404" s="130">
        <v>45385</v>
      </c>
      <c r="I404" s="130">
        <v>45385</v>
      </c>
      <c r="J404" s="130">
        <f t="shared" si="48"/>
        <v>45385</v>
      </c>
      <c r="K404" s="263">
        <f t="shared" si="49"/>
        <v>0.5</v>
      </c>
      <c r="L404" s="35">
        <f t="shared" si="50"/>
        <v>25</v>
      </c>
      <c r="M404" s="35">
        <f t="shared" si="51"/>
        <v>0</v>
      </c>
      <c r="N404" s="35">
        <f t="shared" si="52"/>
        <v>25.5</v>
      </c>
      <c r="O404" s="35">
        <v>7987</v>
      </c>
      <c r="P404" s="131">
        <v>275.60000000000002</v>
      </c>
      <c r="Q404" s="132">
        <f t="shared" si="53"/>
        <v>2.977564756139898E-4</v>
      </c>
      <c r="R404" s="38">
        <f t="shared" si="54"/>
        <v>7.5927901281567399E-3</v>
      </c>
    </row>
    <row r="405" spans="1:18">
      <c r="A405" s="36">
        <f t="shared" si="55"/>
        <v>397</v>
      </c>
      <c r="B405" s="35" t="s">
        <v>1103</v>
      </c>
      <c r="C405" s="130">
        <v>45370</v>
      </c>
      <c r="D405" s="287">
        <v>54281447</v>
      </c>
      <c r="E405" s="130">
        <v>45397</v>
      </c>
      <c r="F405" s="130" t="s">
        <v>670</v>
      </c>
      <c r="G405" s="130">
        <v>45397</v>
      </c>
      <c r="H405" s="130">
        <v>45334</v>
      </c>
      <c r="I405" s="130">
        <v>45355</v>
      </c>
      <c r="J405" s="130">
        <f t="shared" si="48"/>
        <v>45344.5</v>
      </c>
      <c r="K405" s="263">
        <f t="shared" si="49"/>
        <v>11</v>
      </c>
      <c r="L405" s="35">
        <f t="shared" si="50"/>
        <v>27</v>
      </c>
      <c r="M405" s="35">
        <f t="shared" si="51"/>
        <v>0</v>
      </c>
      <c r="N405" s="35">
        <f t="shared" si="52"/>
        <v>38</v>
      </c>
      <c r="O405" s="35">
        <v>21471.1</v>
      </c>
      <c r="P405" s="131">
        <v>40.090000000000003</v>
      </c>
      <c r="Q405" s="132">
        <f t="shared" si="53"/>
        <v>4.3312979344574934E-5</v>
      </c>
      <c r="R405" s="38">
        <f t="shared" si="54"/>
        <v>1.6458932150938475E-3</v>
      </c>
    </row>
    <row r="406" spans="1:18">
      <c r="A406" s="36">
        <f t="shared" si="55"/>
        <v>398</v>
      </c>
      <c r="B406" s="35" t="s">
        <v>1103</v>
      </c>
      <c r="C406" s="130">
        <v>45258</v>
      </c>
      <c r="D406" s="287">
        <v>53477925</v>
      </c>
      <c r="E406" s="130">
        <v>45287</v>
      </c>
      <c r="F406" s="130" t="s">
        <v>671</v>
      </c>
      <c r="G406" s="130">
        <v>45287</v>
      </c>
      <c r="H406" s="130">
        <v>45223</v>
      </c>
      <c r="I406" s="130">
        <v>45223</v>
      </c>
      <c r="J406" s="130">
        <f t="shared" si="48"/>
        <v>45223</v>
      </c>
      <c r="K406" s="263">
        <f t="shared" si="49"/>
        <v>0.5</v>
      </c>
      <c r="L406" s="35">
        <f t="shared" si="50"/>
        <v>29</v>
      </c>
      <c r="M406" s="35">
        <f t="shared" si="51"/>
        <v>0</v>
      </c>
      <c r="N406" s="35">
        <f t="shared" si="52"/>
        <v>29.5</v>
      </c>
      <c r="O406" s="35">
        <v>78296.44</v>
      </c>
      <c r="P406" s="131">
        <v>164.45</v>
      </c>
      <c r="Q406" s="132">
        <f t="shared" si="53"/>
        <v>1.7767072719419673E-4</v>
      </c>
      <c r="R406" s="38">
        <f t="shared" si="54"/>
        <v>5.2412864522288034E-3</v>
      </c>
    </row>
    <row r="407" spans="1:18">
      <c r="A407" s="36">
        <f t="shared" si="55"/>
        <v>399</v>
      </c>
      <c r="B407" s="35" t="s">
        <v>1103</v>
      </c>
      <c r="C407" s="130">
        <v>45258</v>
      </c>
      <c r="D407" s="287">
        <v>53477942</v>
      </c>
      <c r="E407" s="130">
        <v>45287</v>
      </c>
      <c r="F407" s="130" t="s">
        <v>671</v>
      </c>
      <c r="G407" s="130">
        <v>45287</v>
      </c>
      <c r="H407" s="130">
        <v>45225</v>
      </c>
      <c r="I407" s="130">
        <v>45225</v>
      </c>
      <c r="J407" s="130">
        <f t="shared" si="48"/>
        <v>45225</v>
      </c>
      <c r="K407" s="263">
        <f t="shared" si="49"/>
        <v>0.5</v>
      </c>
      <c r="L407" s="35">
        <f t="shared" si="50"/>
        <v>29</v>
      </c>
      <c r="M407" s="35">
        <f t="shared" si="51"/>
        <v>0</v>
      </c>
      <c r="N407" s="35">
        <f t="shared" si="52"/>
        <v>29.5</v>
      </c>
      <c r="O407" s="35">
        <v>78296.44</v>
      </c>
      <c r="P407" s="131">
        <v>242.05</v>
      </c>
      <c r="Q407" s="132">
        <f t="shared" si="53"/>
        <v>2.6150927040045804E-4</v>
      </c>
      <c r="R407" s="38">
        <f t="shared" si="54"/>
        <v>7.7145234768135123E-3</v>
      </c>
    </row>
    <row r="408" spans="1:18">
      <c r="A408" s="36">
        <f t="shared" si="55"/>
        <v>400</v>
      </c>
      <c r="B408" s="35" t="s">
        <v>1103</v>
      </c>
      <c r="C408" s="130">
        <v>45352</v>
      </c>
      <c r="D408" s="287">
        <v>54154599</v>
      </c>
      <c r="E408" s="130">
        <v>45377</v>
      </c>
      <c r="F408" s="130" t="s">
        <v>670</v>
      </c>
      <c r="G408" s="130">
        <v>45377</v>
      </c>
      <c r="H408" s="130">
        <v>45351</v>
      </c>
      <c r="I408" s="130">
        <v>45351</v>
      </c>
      <c r="J408" s="130">
        <f t="shared" si="48"/>
        <v>45351</v>
      </c>
      <c r="K408" s="263">
        <f t="shared" si="49"/>
        <v>0.5</v>
      </c>
      <c r="L408" s="35">
        <f t="shared" si="50"/>
        <v>25</v>
      </c>
      <c r="M408" s="35">
        <f t="shared" si="51"/>
        <v>0</v>
      </c>
      <c r="N408" s="35">
        <f t="shared" si="52"/>
        <v>25.5</v>
      </c>
      <c r="O408" s="35">
        <v>8741.4</v>
      </c>
      <c r="P408" s="131">
        <v>177.14</v>
      </c>
      <c r="Q408" s="132">
        <f t="shared" si="53"/>
        <v>1.913809219530557E-4</v>
      </c>
      <c r="R408" s="38">
        <f t="shared" si="54"/>
        <v>4.8802135098029208E-3</v>
      </c>
    </row>
    <row r="409" spans="1:18">
      <c r="A409" s="36">
        <f t="shared" si="55"/>
        <v>401</v>
      </c>
      <c r="B409" s="35" t="s">
        <v>1103</v>
      </c>
      <c r="C409" s="130">
        <v>45215</v>
      </c>
      <c r="D409" s="287">
        <v>53150998</v>
      </c>
      <c r="E409" s="130">
        <v>45240</v>
      </c>
      <c r="F409" s="130" t="s">
        <v>671</v>
      </c>
      <c r="G409" s="130">
        <v>45240</v>
      </c>
      <c r="H409" s="130">
        <v>45208</v>
      </c>
      <c r="I409" s="130">
        <v>45208</v>
      </c>
      <c r="J409" s="130">
        <f t="shared" si="48"/>
        <v>45208</v>
      </c>
      <c r="K409" s="263">
        <f t="shared" si="49"/>
        <v>0.5</v>
      </c>
      <c r="L409" s="35">
        <f t="shared" si="50"/>
        <v>25</v>
      </c>
      <c r="M409" s="35">
        <f t="shared" si="51"/>
        <v>0</v>
      </c>
      <c r="N409" s="35">
        <f t="shared" si="52"/>
        <v>25.5</v>
      </c>
      <c r="O409" s="35">
        <v>19712.22</v>
      </c>
      <c r="P409" s="131">
        <v>241.53</v>
      </c>
      <c r="Q409" s="132">
        <f t="shared" si="53"/>
        <v>2.6094746572948821E-4</v>
      </c>
      <c r="R409" s="38">
        <f t="shared" si="54"/>
        <v>6.6541603761019492E-3</v>
      </c>
    </row>
    <row r="410" spans="1:18">
      <c r="A410" s="36">
        <f t="shared" si="55"/>
        <v>402</v>
      </c>
      <c r="B410" s="35" t="s">
        <v>1103</v>
      </c>
      <c r="C410" s="130">
        <v>45427</v>
      </c>
      <c r="D410" s="287">
        <v>54752571</v>
      </c>
      <c r="E410" s="130">
        <v>45453</v>
      </c>
      <c r="F410" s="130" t="s">
        <v>670</v>
      </c>
      <c r="G410" s="130">
        <v>45453</v>
      </c>
      <c r="H410" s="130">
        <v>45425</v>
      </c>
      <c r="I410" s="130">
        <v>45425</v>
      </c>
      <c r="J410" s="130">
        <f t="shared" si="48"/>
        <v>45425</v>
      </c>
      <c r="K410" s="263">
        <f t="shared" si="49"/>
        <v>0.5</v>
      </c>
      <c r="L410" s="35">
        <f t="shared" si="50"/>
        <v>26</v>
      </c>
      <c r="M410" s="35">
        <f t="shared" si="51"/>
        <v>0</v>
      </c>
      <c r="N410" s="35">
        <f t="shared" si="52"/>
        <v>26.5</v>
      </c>
      <c r="O410" s="35">
        <v>58192.91</v>
      </c>
      <c r="P410" s="131">
        <v>40.6</v>
      </c>
      <c r="Q410" s="132">
        <f t="shared" si="53"/>
        <v>4.386398007956454E-5</v>
      </c>
      <c r="R410" s="38">
        <f t="shared" si="54"/>
        <v>1.1623954721084603E-3</v>
      </c>
    </row>
    <row r="411" spans="1:18">
      <c r="A411" s="36">
        <f t="shared" si="55"/>
        <v>403</v>
      </c>
      <c r="B411" s="35" t="s">
        <v>1103</v>
      </c>
      <c r="C411" s="130">
        <v>45204</v>
      </c>
      <c r="D411" s="287">
        <v>53073984</v>
      </c>
      <c r="E411" s="130">
        <v>45229</v>
      </c>
      <c r="F411" s="130" t="s">
        <v>671</v>
      </c>
      <c r="G411" s="130">
        <v>45229</v>
      </c>
      <c r="H411" s="130">
        <v>45180</v>
      </c>
      <c r="I411" s="130">
        <v>45180</v>
      </c>
      <c r="J411" s="130">
        <f t="shared" si="48"/>
        <v>45180</v>
      </c>
      <c r="K411" s="263">
        <f t="shared" si="49"/>
        <v>0.5</v>
      </c>
      <c r="L411" s="35">
        <f t="shared" si="50"/>
        <v>25</v>
      </c>
      <c r="M411" s="35">
        <f t="shared" si="51"/>
        <v>0</v>
      </c>
      <c r="N411" s="35">
        <f t="shared" si="52"/>
        <v>25.5</v>
      </c>
      <c r="O411" s="35">
        <v>31798.79</v>
      </c>
      <c r="P411" s="131">
        <v>81.36</v>
      </c>
      <c r="Q411" s="132">
        <f t="shared" si="53"/>
        <v>8.7900823134812083E-5</v>
      </c>
      <c r="R411" s="38">
        <f t="shared" si="54"/>
        <v>2.2414709899377079E-3</v>
      </c>
    </row>
    <row r="412" spans="1:18">
      <c r="A412" s="36">
        <f t="shared" si="55"/>
        <v>404</v>
      </c>
      <c r="B412" s="35" t="s">
        <v>1103</v>
      </c>
      <c r="C412" s="130">
        <v>45271</v>
      </c>
      <c r="D412" s="287">
        <v>53582214</v>
      </c>
      <c r="E412" s="130">
        <v>45296</v>
      </c>
      <c r="F412" s="130" t="s">
        <v>671</v>
      </c>
      <c r="G412" s="130">
        <v>45296</v>
      </c>
      <c r="H412" s="130">
        <v>45256</v>
      </c>
      <c r="I412" s="130">
        <v>45256</v>
      </c>
      <c r="J412" s="130">
        <f t="shared" si="48"/>
        <v>45256</v>
      </c>
      <c r="K412" s="263">
        <f t="shared" si="49"/>
        <v>0.5</v>
      </c>
      <c r="L412" s="35">
        <f t="shared" si="50"/>
        <v>25</v>
      </c>
      <c r="M412" s="35">
        <f t="shared" si="51"/>
        <v>0</v>
      </c>
      <c r="N412" s="35">
        <f t="shared" si="52"/>
        <v>25.5</v>
      </c>
      <c r="O412" s="35">
        <v>25396.74</v>
      </c>
      <c r="P412" s="131">
        <v>699.75</v>
      </c>
      <c r="Q412" s="132">
        <f t="shared" si="53"/>
        <v>7.5600542021367692E-4</v>
      </c>
      <c r="R412" s="38">
        <f t="shared" si="54"/>
        <v>1.9278138215448763E-2</v>
      </c>
    </row>
    <row r="413" spans="1:18">
      <c r="A413" s="36">
        <f t="shared" si="55"/>
        <v>405</v>
      </c>
      <c r="B413" s="35" t="s">
        <v>1103</v>
      </c>
      <c r="C413" s="130">
        <v>45397</v>
      </c>
      <c r="D413" s="287">
        <v>54496112</v>
      </c>
      <c r="E413" s="130">
        <v>45422</v>
      </c>
      <c r="F413" s="130" t="s">
        <v>670</v>
      </c>
      <c r="G413" s="130">
        <v>45422</v>
      </c>
      <c r="H413" s="130">
        <v>45394</v>
      </c>
      <c r="I413" s="130">
        <v>45394</v>
      </c>
      <c r="J413" s="130">
        <f t="shared" si="48"/>
        <v>45394</v>
      </c>
      <c r="K413" s="263">
        <f t="shared" si="49"/>
        <v>0.5</v>
      </c>
      <c r="L413" s="35">
        <f t="shared" si="50"/>
        <v>25</v>
      </c>
      <c r="M413" s="35">
        <f t="shared" si="51"/>
        <v>0</v>
      </c>
      <c r="N413" s="35">
        <f t="shared" si="52"/>
        <v>25.5</v>
      </c>
      <c r="O413" s="35">
        <v>4026.91</v>
      </c>
      <c r="P413" s="131">
        <v>201.31</v>
      </c>
      <c r="Q413" s="132">
        <f t="shared" si="53"/>
        <v>2.1749403521717086E-4</v>
      </c>
      <c r="R413" s="38">
        <f t="shared" si="54"/>
        <v>5.5460978980378566E-3</v>
      </c>
    </row>
    <row r="414" spans="1:18">
      <c r="A414" s="36">
        <f t="shared" si="55"/>
        <v>406</v>
      </c>
      <c r="B414" s="35" t="s">
        <v>1103</v>
      </c>
      <c r="C414" s="130">
        <v>45349</v>
      </c>
      <c r="D414" s="287">
        <v>54117383</v>
      </c>
      <c r="E414" s="130">
        <v>45376</v>
      </c>
      <c r="F414" s="130" t="s">
        <v>670</v>
      </c>
      <c r="G414" s="130">
        <v>45376</v>
      </c>
      <c r="H414" s="130">
        <v>45257</v>
      </c>
      <c r="I414" s="130">
        <v>45275</v>
      </c>
      <c r="J414" s="130">
        <f t="shared" si="48"/>
        <v>45266</v>
      </c>
      <c r="K414" s="263">
        <f t="shared" si="49"/>
        <v>9.5</v>
      </c>
      <c r="L414" s="35">
        <f t="shared" si="50"/>
        <v>27</v>
      </c>
      <c r="M414" s="35">
        <f t="shared" si="51"/>
        <v>0</v>
      </c>
      <c r="N414" s="35">
        <f t="shared" si="52"/>
        <v>36.5</v>
      </c>
      <c r="O414" s="35">
        <v>22013.35</v>
      </c>
      <c r="P414" s="131">
        <v>60.43</v>
      </c>
      <c r="Q414" s="132">
        <f t="shared" si="53"/>
        <v>6.5288185128277958E-5</v>
      </c>
      <c r="R414" s="38">
        <f t="shared" si="54"/>
        <v>2.3830187571821453E-3</v>
      </c>
    </row>
    <row r="415" spans="1:18">
      <c r="A415" s="36">
        <f t="shared" si="55"/>
        <v>407</v>
      </c>
      <c r="B415" s="35" t="s">
        <v>1103</v>
      </c>
      <c r="C415" s="130">
        <v>45236</v>
      </c>
      <c r="D415" s="287">
        <v>53312127</v>
      </c>
      <c r="E415" s="130">
        <v>45261</v>
      </c>
      <c r="F415" s="130" t="s">
        <v>671</v>
      </c>
      <c r="G415" s="130">
        <v>45261</v>
      </c>
      <c r="H415" s="130">
        <v>45230</v>
      </c>
      <c r="I415" s="130">
        <v>45230</v>
      </c>
      <c r="J415" s="130">
        <f t="shared" si="48"/>
        <v>45230</v>
      </c>
      <c r="K415" s="263">
        <f t="shared" si="49"/>
        <v>0.5</v>
      </c>
      <c r="L415" s="35">
        <f t="shared" si="50"/>
        <v>25</v>
      </c>
      <c r="M415" s="35">
        <f t="shared" si="51"/>
        <v>0</v>
      </c>
      <c r="N415" s="35">
        <f t="shared" si="52"/>
        <v>25.5</v>
      </c>
      <c r="O415" s="35">
        <v>40052.230000000003</v>
      </c>
      <c r="P415" s="131">
        <v>572.44000000000005</v>
      </c>
      <c r="Q415" s="132">
        <f t="shared" si="53"/>
        <v>6.1846051124989966E-4</v>
      </c>
      <c r="R415" s="38">
        <f t="shared" si="54"/>
        <v>1.5770743036872443E-2</v>
      </c>
    </row>
    <row r="416" spans="1:18">
      <c r="A416" s="36">
        <f t="shared" si="55"/>
        <v>408</v>
      </c>
      <c r="B416" s="35" t="s">
        <v>1103</v>
      </c>
      <c r="C416" s="130">
        <v>45420</v>
      </c>
      <c r="D416" s="287">
        <v>54696313</v>
      </c>
      <c r="E416" s="130">
        <v>45446</v>
      </c>
      <c r="F416" s="130" t="s">
        <v>670</v>
      </c>
      <c r="G416" s="130">
        <v>45446</v>
      </c>
      <c r="H416" s="130">
        <v>45419</v>
      </c>
      <c r="I416" s="130">
        <v>45419</v>
      </c>
      <c r="J416" s="130">
        <f t="shared" si="48"/>
        <v>45419</v>
      </c>
      <c r="K416" s="263">
        <f t="shared" si="49"/>
        <v>0.5</v>
      </c>
      <c r="L416" s="35">
        <f t="shared" si="50"/>
        <v>26</v>
      </c>
      <c r="M416" s="35">
        <f t="shared" si="51"/>
        <v>0</v>
      </c>
      <c r="N416" s="35">
        <f t="shared" si="52"/>
        <v>26.5</v>
      </c>
      <c r="O416" s="35">
        <v>22602.35</v>
      </c>
      <c r="P416" s="131">
        <v>224.55</v>
      </c>
      <c r="Q416" s="132">
        <f t="shared" si="53"/>
        <v>2.4260238243512848E-4</v>
      </c>
      <c r="R416" s="38">
        <f t="shared" si="54"/>
        <v>6.4289631345309049E-3</v>
      </c>
    </row>
    <row r="417" spans="1:18">
      <c r="A417" s="36">
        <f t="shared" si="55"/>
        <v>409</v>
      </c>
      <c r="B417" s="35" t="s">
        <v>1103</v>
      </c>
      <c r="C417" s="130">
        <v>45434</v>
      </c>
      <c r="D417" s="287">
        <v>54815764</v>
      </c>
      <c r="E417" s="130">
        <v>45460</v>
      </c>
      <c r="F417" s="130" t="s">
        <v>670</v>
      </c>
      <c r="G417" s="130">
        <v>45460</v>
      </c>
      <c r="H417" s="130">
        <v>45432</v>
      </c>
      <c r="I417" s="130">
        <v>45432</v>
      </c>
      <c r="J417" s="130">
        <f t="shared" si="48"/>
        <v>45432</v>
      </c>
      <c r="K417" s="263">
        <f t="shared" si="49"/>
        <v>0.5</v>
      </c>
      <c r="L417" s="35">
        <f t="shared" si="50"/>
        <v>26</v>
      </c>
      <c r="M417" s="35">
        <f t="shared" si="51"/>
        <v>0</v>
      </c>
      <c r="N417" s="35">
        <f t="shared" si="52"/>
        <v>26.5</v>
      </c>
      <c r="O417" s="35">
        <v>52678.29</v>
      </c>
      <c r="P417" s="131">
        <v>53.72</v>
      </c>
      <c r="Q417" s="132">
        <f t="shared" si="53"/>
        <v>5.8038744085571596E-5</v>
      </c>
      <c r="R417" s="38">
        <f t="shared" si="54"/>
        <v>1.5380267182676472E-3</v>
      </c>
    </row>
    <row r="418" spans="1:18">
      <c r="A418" s="36">
        <f t="shared" si="55"/>
        <v>410</v>
      </c>
      <c r="B418" s="35" t="s">
        <v>1103</v>
      </c>
      <c r="C418" s="130">
        <v>45197</v>
      </c>
      <c r="D418" s="287">
        <v>53021601</v>
      </c>
      <c r="E418" s="130">
        <v>45222</v>
      </c>
      <c r="F418" s="130" t="s">
        <v>671</v>
      </c>
      <c r="G418" s="130">
        <v>45222</v>
      </c>
      <c r="H418" s="130">
        <v>45196</v>
      </c>
      <c r="I418" s="130">
        <v>45196</v>
      </c>
      <c r="J418" s="130">
        <f t="shared" si="48"/>
        <v>45196</v>
      </c>
      <c r="K418" s="263">
        <f t="shared" si="49"/>
        <v>0.5</v>
      </c>
      <c r="L418" s="35">
        <f t="shared" si="50"/>
        <v>25</v>
      </c>
      <c r="M418" s="35">
        <f t="shared" si="51"/>
        <v>0</v>
      </c>
      <c r="N418" s="35">
        <f t="shared" si="52"/>
        <v>25.5</v>
      </c>
      <c r="O418" s="35">
        <v>33632.400000000001</v>
      </c>
      <c r="P418" s="131">
        <v>522.59</v>
      </c>
      <c r="Q418" s="132">
        <f t="shared" si="53"/>
        <v>5.646028903886609E-4</v>
      </c>
      <c r="R418" s="38">
        <f t="shared" si="54"/>
        <v>1.4397373704910853E-2</v>
      </c>
    </row>
    <row r="419" spans="1:18">
      <c r="A419" s="36">
        <f t="shared" si="55"/>
        <v>411</v>
      </c>
      <c r="B419" s="35" t="s">
        <v>1103</v>
      </c>
      <c r="C419" s="130">
        <v>45334</v>
      </c>
      <c r="D419" s="287">
        <v>53988597</v>
      </c>
      <c r="E419" s="130">
        <v>45359</v>
      </c>
      <c r="F419" s="130" t="s">
        <v>670</v>
      </c>
      <c r="G419" s="130">
        <v>45359</v>
      </c>
      <c r="H419" s="130">
        <v>45301</v>
      </c>
      <c r="I419" s="130">
        <v>45307</v>
      </c>
      <c r="J419" s="130">
        <f t="shared" si="48"/>
        <v>45304</v>
      </c>
      <c r="K419" s="263">
        <f t="shared" si="49"/>
        <v>3.5</v>
      </c>
      <c r="L419" s="35">
        <f t="shared" si="50"/>
        <v>25</v>
      </c>
      <c r="M419" s="35">
        <f t="shared" si="51"/>
        <v>0</v>
      </c>
      <c r="N419" s="35">
        <f t="shared" si="52"/>
        <v>28.5</v>
      </c>
      <c r="O419" s="35">
        <v>7298.88</v>
      </c>
      <c r="P419" s="131">
        <v>37.229999999999997</v>
      </c>
      <c r="Q419" s="132">
        <f t="shared" si="53"/>
        <v>4.0223053654241068E-5</v>
      </c>
      <c r="R419" s="38">
        <f t="shared" si="54"/>
        <v>1.1463570291458704E-3</v>
      </c>
    </row>
    <row r="420" spans="1:18">
      <c r="A420" s="36">
        <f t="shared" si="55"/>
        <v>412</v>
      </c>
      <c r="B420" s="35" t="s">
        <v>1103</v>
      </c>
      <c r="C420" s="130">
        <v>45419</v>
      </c>
      <c r="D420" s="287">
        <v>54686124</v>
      </c>
      <c r="E420" s="130">
        <v>45446</v>
      </c>
      <c r="F420" s="130" t="s">
        <v>670</v>
      </c>
      <c r="G420" s="130">
        <v>45446</v>
      </c>
      <c r="H420" s="130">
        <v>45419</v>
      </c>
      <c r="I420" s="130">
        <v>45419</v>
      </c>
      <c r="J420" s="130">
        <f t="shared" si="48"/>
        <v>45419</v>
      </c>
      <c r="K420" s="263">
        <f t="shared" si="49"/>
        <v>0.5</v>
      </c>
      <c r="L420" s="35">
        <f t="shared" si="50"/>
        <v>27</v>
      </c>
      <c r="M420" s="35">
        <f t="shared" si="51"/>
        <v>0</v>
      </c>
      <c r="N420" s="35">
        <f t="shared" si="52"/>
        <v>27.5</v>
      </c>
      <c r="O420" s="35">
        <v>22602.35</v>
      </c>
      <c r="P420" s="131">
        <v>460.37</v>
      </c>
      <c r="Q420" s="132">
        <f t="shared" si="53"/>
        <v>4.9738080071992923E-4</v>
      </c>
      <c r="R420" s="38">
        <f t="shared" si="54"/>
        <v>1.3677972019798054E-2</v>
      </c>
    </row>
    <row r="421" spans="1:18">
      <c r="A421" s="36">
        <f t="shared" si="55"/>
        <v>413</v>
      </c>
      <c r="B421" s="35" t="s">
        <v>1103</v>
      </c>
      <c r="C421" s="130">
        <v>45217</v>
      </c>
      <c r="D421" s="287">
        <v>53175695</v>
      </c>
      <c r="E421" s="130">
        <v>45296</v>
      </c>
      <c r="F421" s="130" t="s">
        <v>671</v>
      </c>
      <c r="G421" s="130">
        <v>45296</v>
      </c>
      <c r="H421" s="130">
        <v>45208</v>
      </c>
      <c r="I421" s="130">
        <v>45208</v>
      </c>
      <c r="J421" s="130">
        <f t="shared" si="48"/>
        <v>45208</v>
      </c>
      <c r="K421" s="263">
        <f t="shared" si="49"/>
        <v>0.5</v>
      </c>
      <c r="L421" s="35">
        <f t="shared" si="50"/>
        <v>79</v>
      </c>
      <c r="M421" s="35">
        <f t="shared" si="51"/>
        <v>0</v>
      </c>
      <c r="N421" s="35">
        <f t="shared" si="52"/>
        <v>79.5</v>
      </c>
      <c r="O421" s="35">
        <v>25396.74</v>
      </c>
      <c r="P421" s="131">
        <v>837.34</v>
      </c>
      <c r="Q421" s="132">
        <f t="shared" si="53"/>
        <v>9.0465677536508788E-4</v>
      </c>
      <c r="R421" s="38">
        <f t="shared" si="54"/>
        <v>7.1920213641524483E-2</v>
      </c>
    </row>
    <row r="422" spans="1:18" ht="16.5" thickBot="1">
      <c r="A422" s="36">
        <f t="shared" si="55"/>
        <v>414</v>
      </c>
      <c r="B422" s="35" t="s">
        <v>236</v>
      </c>
      <c r="C422" s="35"/>
      <c r="D422" s="119"/>
      <c r="E422"/>
      <c r="F422" s="35"/>
      <c r="G422" s="35"/>
      <c r="H422" s="38"/>
      <c r="I422" s="35"/>
      <c r="J422" s="122"/>
      <c r="K422" s="37" t="s">
        <v>131</v>
      </c>
      <c r="L422" s="35"/>
      <c r="M422"/>
      <c r="N422" s="35"/>
      <c r="O422" s="269">
        <f>SUM(O9:O421)</f>
        <v>77532993.149999946</v>
      </c>
      <c r="P422" s="269">
        <f>SUM(P9:P421)</f>
        <v>925588.6020000003</v>
      </c>
      <c r="Q422" s="270">
        <f>SUM(Q9:Q421)</f>
        <v>0.99999999999999944</v>
      </c>
      <c r="R422" s="271">
        <f>SUM(R9:R421)</f>
        <v>23.738277166036223</v>
      </c>
    </row>
    <row r="423" spans="1:18" ht="13.5" thickTop="1">
      <c r="A423" s="36">
        <f t="shared" si="55"/>
        <v>415</v>
      </c>
      <c r="B423" s="35"/>
      <c r="C423" s="35"/>
      <c r="D423" s="119"/>
      <c r="E423" s="163"/>
      <c r="F423" s="35"/>
      <c r="G423" s="35"/>
      <c r="H423" s="35"/>
      <c r="I423" s="35"/>
      <c r="J423" s="122"/>
      <c r="K423" s="37"/>
      <c r="L423" s="35"/>
      <c r="M423" s="163"/>
      <c r="N423" s="35"/>
      <c r="O423" s="35"/>
      <c r="P423" s="163"/>
      <c r="Q423" s="35"/>
    </row>
    <row r="424" spans="1:18" ht="15.75">
      <c r="A424" s="36">
        <f t="shared" si="55"/>
        <v>416</v>
      </c>
      <c r="B424" s="35"/>
      <c r="C424" s="35"/>
      <c r="D424" s="119"/>
      <c r="E424" s="35"/>
      <c r="F424" s="35"/>
      <c r="G424" s="35"/>
      <c r="H424" s="35"/>
      <c r="I424" s="35"/>
      <c r="J424" s="122"/>
      <c r="K424" s="37"/>
      <c r="L424" s="35"/>
      <c r="M424"/>
      <c r="N424"/>
      <c r="O424"/>
      <c r="P424"/>
      <c r="Q424"/>
      <c r="R424"/>
    </row>
    <row r="425" spans="1:18" ht="15.75">
      <c r="A425" s="158"/>
      <c r="P425"/>
    </row>
    <row r="426" spans="1:18" ht="15.75">
      <c r="A426" s="158"/>
      <c r="M426"/>
      <c r="N426"/>
      <c r="O426"/>
      <c r="P426"/>
    </row>
    <row r="427" spans="1:18" ht="15.75">
      <c r="A427" s="158"/>
      <c r="M427"/>
      <c r="N427"/>
      <c r="O427"/>
      <c r="P427"/>
    </row>
    <row r="428" spans="1:18" ht="15.75">
      <c r="M428"/>
      <c r="N428"/>
      <c r="O428"/>
      <c r="P428"/>
    </row>
    <row r="429" spans="1:18" ht="15.75">
      <c r="M429"/>
      <c r="N429"/>
      <c r="O429"/>
      <c r="P429"/>
    </row>
    <row r="430" spans="1:18" ht="15.75">
      <c r="M430"/>
      <c r="N430"/>
      <c r="O430"/>
      <c r="P430"/>
    </row>
    <row r="431" spans="1:18" ht="15.75">
      <c r="M431"/>
      <c r="N431"/>
      <c r="O431"/>
      <c r="P431"/>
    </row>
    <row r="432" spans="1:18" ht="15.75">
      <c r="M432"/>
      <c r="N432"/>
      <c r="O432"/>
      <c r="P432"/>
    </row>
    <row r="433" spans="13:16" ht="15.75">
      <c r="M433"/>
      <c r="N433"/>
      <c r="O433"/>
      <c r="P433"/>
    </row>
  </sheetData>
  <sortState xmlns:xlrd2="http://schemas.microsoft.com/office/spreadsheetml/2017/richdata2" ref="B9:R421">
    <sortCondition ref="B9:B421"/>
  </sortState>
  <phoneticPr fontId="9" type="noConversion"/>
  <printOptions horizontalCentered="1"/>
  <pageMargins left="0.25" right="0.25" top="1" bottom="0.75" header="0.5" footer="0.5"/>
  <pageSetup scale="5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>
    <tabColor theme="6" tint="0.59999389629810485"/>
    <pageSetUpPr fitToPage="1"/>
  </sheetPr>
  <dimension ref="A1:N46"/>
  <sheetViews>
    <sheetView showGridLines="0" zoomScaleNormal="100" zoomScaleSheetLayoutView="90" workbookViewId="0"/>
  </sheetViews>
  <sheetFormatPr defaultColWidth="9.625" defaultRowHeight="12.75"/>
  <cols>
    <col min="1" max="1" width="4.375" style="7" customWidth="1"/>
    <col min="2" max="2" width="57.75" style="7" bestFit="1" customWidth="1"/>
    <col min="3" max="3" width="11.5" style="7" bestFit="1" customWidth="1"/>
    <col min="4" max="4" width="10" style="7" customWidth="1"/>
    <col min="5" max="5" width="9.75" style="7" customWidth="1"/>
    <col min="6" max="6" width="2.5" style="7" customWidth="1"/>
    <col min="7" max="16384" width="9.625" style="7"/>
  </cols>
  <sheetData>
    <row r="1" spans="1:10" ht="14.25">
      <c r="A1" s="22"/>
      <c r="B1" s="22"/>
      <c r="C1" s="22"/>
      <c r="D1" s="22"/>
      <c r="E1" s="22"/>
      <c r="F1" s="97" t="s">
        <v>177</v>
      </c>
    </row>
    <row r="2" spans="1:10" ht="15">
      <c r="A2" s="282" t="str">
        <f>CONCATENATE(COMPANY,"-",JURISDICTION)</f>
        <v>Atmos Energy Corporation-Kentucky</v>
      </c>
      <c r="B2" s="282"/>
      <c r="C2" s="282"/>
      <c r="D2" s="282"/>
      <c r="E2" s="282"/>
      <c r="F2" s="22"/>
    </row>
    <row r="3" spans="1:10" ht="15">
      <c r="A3" s="82" t="s">
        <v>92</v>
      </c>
      <c r="B3" s="82"/>
      <c r="C3" s="82"/>
      <c r="D3" s="82"/>
      <c r="E3" s="82"/>
      <c r="F3" s="22"/>
    </row>
    <row r="4" spans="1:10" ht="13.9" customHeight="1">
      <c r="A4" s="281" t="str">
        <f>'ATO-CWC2'!A4</f>
        <v>For Base Period Ended  June 30, 2024</v>
      </c>
      <c r="B4" s="281"/>
      <c r="C4" s="281"/>
      <c r="D4" s="281"/>
      <c r="E4" s="281"/>
      <c r="F4" s="281"/>
    </row>
    <row r="5" spans="1:10" ht="15">
      <c r="A5" s="82"/>
      <c r="B5" s="82"/>
      <c r="C5" s="82"/>
      <c r="D5" s="82"/>
      <c r="E5" s="82"/>
      <c r="F5" s="22"/>
    </row>
    <row r="6" spans="1:10" ht="15">
      <c r="A6" s="82"/>
      <c r="B6" s="82"/>
      <c r="C6" s="82"/>
      <c r="D6" s="82"/>
      <c r="E6" s="39" t="s">
        <v>140</v>
      </c>
      <c r="F6" s="22"/>
    </row>
    <row r="7" spans="1:10" ht="14.25">
      <c r="A7" s="86" t="s">
        <v>111</v>
      </c>
      <c r="B7" s="22"/>
      <c r="C7" s="86" t="s">
        <v>142</v>
      </c>
      <c r="D7" s="86" t="s">
        <v>126</v>
      </c>
      <c r="E7" s="86" t="s">
        <v>126</v>
      </c>
      <c r="F7" s="22"/>
    </row>
    <row r="8" spans="1:10" ht="14.25">
      <c r="A8" s="98" t="s">
        <v>113</v>
      </c>
      <c r="B8" s="98" t="s">
        <v>114</v>
      </c>
      <c r="C8" s="98" t="s">
        <v>143</v>
      </c>
      <c r="D8" s="98" t="s">
        <v>116</v>
      </c>
      <c r="E8" s="98" t="s">
        <v>69</v>
      </c>
      <c r="F8" s="22"/>
    </row>
    <row r="9" spans="1:10" ht="15.75">
      <c r="A9" s="86"/>
      <c r="B9" s="39" t="s">
        <v>118</v>
      </c>
      <c r="C9" s="86" t="s">
        <v>119</v>
      </c>
      <c r="D9" s="99" t="s">
        <v>77</v>
      </c>
      <c r="E9" s="99" t="s">
        <v>121</v>
      </c>
      <c r="F9" s="86"/>
      <c r="G9" s="13"/>
      <c r="I9"/>
      <c r="J9"/>
    </row>
    <row r="10" spans="1:10" ht="14.25">
      <c r="A10" s="22"/>
      <c r="B10" s="22"/>
      <c r="C10" s="22"/>
      <c r="D10" s="22"/>
      <c r="E10" s="22"/>
      <c r="F10" s="22"/>
    </row>
    <row r="11" spans="1:10" ht="15">
      <c r="A11" s="100">
        <f>1+A10</f>
        <v>1</v>
      </c>
      <c r="B11" s="101" t="s">
        <v>93</v>
      </c>
      <c r="C11" s="22"/>
      <c r="D11" s="22"/>
      <c r="E11" s="22"/>
      <c r="F11" s="22"/>
    </row>
    <row r="12" spans="1:10" ht="14.25">
      <c r="A12" s="100">
        <f t="shared" ref="A12:A21" si="0">1+A11</f>
        <v>2</v>
      </c>
      <c r="B12" s="22" t="s">
        <v>222</v>
      </c>
      <c r="C12" s="22">
        <v>372195.67000000004</v>
      </c>
      <c r="D12" s="29">
        <f>'ATO-CWC4'!I40-1</f>
        <v>13</v>
      </c>
      <c r="E12" s="102">
        <f>SUM(C12/$C$20)*$D$12</f>
        <v>12.87470778056651</v>
      </c>
      <c r="F12" s="22"/>
    </row>
    <row r="13" spans="1:10" ht="14.25">
      <c r="A13" s="100">
        <f t="shared" si="0"/>
        <v>3</v>
      </c>
      <c r="B13" s="22"/>
      <c r="C13" s="22"/>
      <c r="D13" s="29"/>
      <c r="E13" s="22"/>
      <c r="F13" s="22"/>
      <c r="H13" s="27"/>
    </row>
    <row r="14" spans="1:10" ht="14.25">
      <c r="A14" s="100">
        <f t="shared" si="0"/>
        <v>4</v>
      </c>
      <c r="B14" s="22" t="s">
        <v>151</v>
      </c>
      <c r="C14" s="22"/>
      <c r="D14" s="29"/>
      <c r="E14" s="22"/>
      <c r="F14" s="22"/>
      <c r="H14" s="27"/>
    </row>
    <row r="15" spans="1:10" ht="14.25">
      <c r="A15" s="100">
        <f t="shared" si="0"/>
        <v>5</v>
      </c>
      <c r="B15" s="22" t="s">
        <v>223</v>
      </c>
      <c r="C15" s="22">
        <v>2564.7400000000002</v>
      </c>
      <c r="D15" s="29">
        <f>(365/8)+31+7</f>
        <v>83.625</v>
      </c>
      <c r="E15" s="102">
        <f>SUM(C15/$C$20)*$D$15</f>
        <v>0.57069252982329854</v>
      </c>
      <c r="F15" s="22"/>
      <c r="H15" s="27"/>
    </row>
    <row r="16" spans="1:10" ht="14.25">
      <c r="A16" s="100">
        <f t="shared" si="0"/>
        <v>6</v>
      </c>
      <c r="B16" s="22"/>
      <c r="C16" s="22"/>
      <c r="D16" s="29"/>
      <c r="E16" s="22"/>
      <c r="F16" s="22"/>
      <c r="H16" s="27"/>
    </row>
    <row r="17" spans="1:10" ht="14.25">
      <c r="A17" s="100">
        <f t="shared" si="0"/>
        <v>7</v>
      </c>
      <c r="B17" s="22" t="s">
        <v>181</v>
      </c>
      <c r="C17" s="22"/>
      <c r="D17" s="22"/>
      <c r="E17" s="22"/>
      <c r="F17" s="22"/>
      <c r="H17" s="27"/>
    </row>
    <row r="18" spans="1:10" ht="14.25">
      <c r="A18" s="100">
        <f t="shared" si="0"/>
        <v>8</v>
      </c>
      <c r="B18" s="22" t="s">
        <v>223</v>
      </c>
      <c r="C18" s="80">
        <v>1057.3400000000001</v>
      </c>
      <c r="D18" s="29">
        <f>(365/8)+31+7</f>
        <v>83.625</v>
      </c>
      <c r="E18" s="103">
        <f>SUM(C18/$C$20)*$D$15</f>
        <v>0.23527376634020081</v>
      </c>
      <c r="F18" s="22"/>
      <c r="H18" s="27"/>
    </row>
    <row r="19" spans="1:10" ht="14.25">
      <c r="A19" s="100">
        <f t="shared" si="0"/>
        <v>9</v>
      </c>
      <c r="B19" s="22"/>
      <c r="C19" s="22"/>
      <c r="D19" s="29"/>
      <c r="E19" s="22"/>
      <c r="F19" s="22"/>
      <c r="H19" s="27"/>
      <c r="I19" s="208"/>
    </row>
    <row r="20" spans="1:10" ht="15">
      <c r="A20" s="100">
        <f t="shared" si="0"/>
        <v>10</v>
      </c>
      <c r="B20" s="101" t="s">
        <v>163</v>
      </c>
      <c r="C20" s="22">
        <f>SUM(C12:C18)</f>
        <v>375817.75000000006</v>
      </c>
      <c r="D20" s="29"/>
      <c r="E20" s="24">
        <f>SUM(E12:E18)</f>
        <v>13.680674076730011</v>
      </c>
      <c r="F20" s="22"/>
      <c r="H20" s="27"/>
    </row>
    <row r="21" spans="1:10" ht="14.25">
      <c r="A21" s="100">
        <f t="shared" si="0"/>
        <v>11</v>
      </c>
      <c r="B21" s="22"/>
      <c r="C21" s="22"/>
      <c r="D21" s="22"/>
      <c r="E21" s="22"/>
      <c r="F21" s="22"/>
      <c r="H21" s="27"/>
    </row>
    <row r="22" spans="1:10" ht="15">
      <c r="A22" s="100">
        <v>12</v>
      </c>
      <c r="B22" s="101" t="s">
        <v>219</v>
      </c>
      <c r="C22" s="101"/>
      <c r="D22" s="101"/>
      <c r="E22" s="104"/>
      <c r="F22" s="22"/>
      <c r="G22" s="209"/>
      <c r="H22" s="27"/>
    </row>
    <row r="23" spans="1:10" ht="15">
      <c r="A23" s="100">
        <v>13</v>
      </c>
      <c r="B23" s="161" t="s">
        <v>214</v>
      </c>
      <c r="C23" s="101"/>
      <c r="D23" s="101"/>
      <c r="F23" s="22"/>
      <c r="G23" s="209"/>
      <c r="H23" s="210"/>
    </row>
    <row r="24" spans="1:10" ht="15">
      <c r="A24" s="100">
        <v>14</v>
      </c>
      <c r="B24" s="161" t="s">
        <v>215</v>
      </c>
      <c r="C24" s="101"/>
      <c r="D24" s="101"/>
      <c r="E24" s="24">
        <v>278.98849309944291</v>
      </c>
      <c r="F24" s="22"/>
      <c r="G24" s="209"/>
      <c r="H24" s="210"/>
    </row>
    <row r="25" spans="1:10" ht="15">
      <c r="A25" s="100">
        <v>15</v>
      </c>
      <c r="B25" s="161"/>
      <c r="C25" s="101"/>
      <c r="D25" s="101"/>
      <c r="E25" s="24"/>
      <c r="F25" s="22"/>
      <c r="G25" s="209"/>
      <c r="H25" s="210"/>
    </row>
    <row r="26" spans="1:10" ht="15">
      <c r="A26" s="100">
        <v>16</v>
      </c>
      <c r="B26" s="161" t="s">
        <v>220</v>
      </c>
      <c r="C26" s="101"/>
      <c r="D26" s="101"/>
      <c r="E26" s="24"/>
      <c r="F26" s="22"/>
      <c r="G26" s="209"/>
      <c r="H26" s="210"/>
    </row>
    <row r="27" spans="1:10" ht="15">
      <c r="A27" s="100">
        <v>17</v>
      </c>
      <c r="B27" s="161" t="s">
        <v>221</v>
      </c>
      <c r="C27" s="101"/>
      <c r="D27" s="101"/>
      <c r="E27" s="24">
        <f>(365/2)+31</f>
        <v>213.5</v>
      </c>
      <c r="F27" s="22"/>
      <c r="G27" s="209"/>
      <c r="H27" s="210"/>
    </row>
    <row r="28" spans="1:10" ht="14.25">
      <c r="A28" s="100">
        <v>18</v>
      </c>
      <c r="B28" s="22"/>
      <c r="C28" s="22"/>
      <c r="D28" s="22"/>
      <c r="E28" s="22"/>
      <c r="F28" s="22"/>
      <c r="G28" s="209"/>
      <c r="H28" s="210"/>
    </row>
    <row r="29" spans="1:10" ht="15">
      <c r="A29" s="100">
        <v>19</v>
      </c>
      <c r="B29" s="161" t="s">
        <v>226</v>
      </c>
      <c r="C29" s="22"/>
      <c r="D29" s="22"/>
      <c r="E29" s="24">
        <v>58.821697777196263</v>
      </c>
      <c r="F29" s="22"/>
      <c r="G29" s="209"/>
      <c r="H29" s="210"/>
    </row>
    <row r="30" spans="1:10" ht="14.25">
      <c r="A30" s="100">
        <v>20</v>
      </c>
      <c r="B30" s="22"/>
      <c r="C30" s="22"/>
      <c r="D30" s="22"/>
      <c r="E30" s="22"/>
      <c r="F30" s="22"/>
      <c r="G30" s="209"/>
      <c r="H30" s="210"/>
    </row>
    <row r="31" spans="1:10" ht="15.75">
      <c r="A31" s="100">
        <v>21</v>
      </c>
      <c r="B31" s="101" t="s">
        <v>225</v>
      </c>
      <c r="C31" s="22"/>
      <c r="D31" s="22"/>
      <c r="E31" s="24">
        <v>40.374790215605223</v>
      </c>
      <c r="F31" s="22"/>
      <c r="H31"/>
      <c r="I31"/>
      <c r="J31"/>
    </row>
    <row r="32" spans="1:10" ht="14.25">
      <c r="A32" s="100">
        <v>22</v>
      </c>
      <c r="B32" s="22"/>
      <c r="C32" s="22"/>
      <c r="D32" s="22"/>
      <c r="E32" s="22"/>
      <c r="F32" s="22"/>
      <c r="G32" s="8"/>
      <c r="H32" s="27"/>
      <c r="I32" s="7" t="s">
        <v>2</v>
      </c>
    </row>
    <row r="33" spans="1:14" ht="15">
      <c r="A33" s="100">
        <v>23</v>
      </c>
      <c r="B33" s="101" t="s">
        <v>217</v>
      </c>
      <c r="C33" s="22"/>
      <c r="D33" s="22"/>
      <c r="E33" s="22"/>
      <c r="F33" s="22"/>
      <c r="H33" s="210"/>
      <c r="I33" s="210"/>
    </row>
    <row r="34" spans="1:14" ht="15">
      <c r="A34" s="100">
        <v>24</v>
      </c>
      <c r="B34" s="101" t="s">
        <v>289</v>
      </c>
      <c r="C34" s="22"/>
      <c r="D34" s="22"/>
      <c r="F34" s="22"/>
      <c r="H34" s="210"/>
      <c r="I34" s="210"/>
    </row>
    <row r="35" spans="1:14" ht="15">
      <c r="A35" s="100">
        <v>25</v>
      </c>
      <c r="B35" s="101" t="s">
        <v>288</v>
      </c>
      <c r="C35" s="22"/>
      <c r="D35" s="22"/>
      <c r="E35" s="24">
        <f>(-365/2)-4</f>
        <v>-186.5</v>
      </c>
      <c r="F35" s="22"/>
      <c r="H35" s="210"/>
      <c r="I35" s="210"/>
    </row>
    <row r="36" spans="1:14" ht="14.25">
      <c r="A36" s="100">
        <v>26</v>
      </c>
      <c r="B36" s="22"/>
      <c r="C36" s="22"/>
      <c r="D36" s="22"/>
      <c r="E36" s="22"/>
      <c r="F36" s="22"/>
      <c r="H36" s="211"/>
      <c r="I36" s="211"/>
      <c r="J36" s="211"/>
      <c r="K36" s="212"/>
      <c r="L36" s="213"/>
      <c r="M36" s="8"/>
      <c r="N36" s="8"/>
    </row>
    <row r="37" spans="1:14" ht="15">
      <c r="A37" s="100">
        <v>27</v>
      </c>
      <c r="B37" s="101" t="s">
        <v>170</v>
      </c>
      <c r="C37" s="22"/>
      <c r="D37" s="29"/>
      <c r="E37" s="22"/>
      <c r="F37" s="22"/>
      <c r="H37" s="211"/>
      <c r="I37" s="211"/>
      <c r="J37" s="211"/>
      <c r="K37" s="212"/>
      <c r="L37" s="213"/>
      <c r="M37" s="8"/>
      <c r="N37" s="8"/>
    </row>
    <row r="38" spans="1:14" ht="15">
      <c r="A38" s="100">
        <v>28</v>
      </c>
      <c r="B38" s="101" t="s">
        <v>291</v>
      </c>
      <c r="C38" s="22"/>
      <c r="D38" s="29"/>
      <c r="E38" s="24">
        <v>59</v>
      </c>
      <c r="F38" s="22"/>
      <c r="H38" s="211"/>
      <c r="I38" s="211"/>
      <c r="J38" s="211"/>
      <c r="K38" s="212"/>
      <c r="L38" s="213"/>
      <c r="M38" s="8"/>
      <c r="N38" s="8"/>
    </row>
    <row r="39" spans="1:14" ht="14.25">
      <c r="A39" s="100"/>
      <c r="B39" s="22"/>
      <c r="C39" s="22"/>
      <c r="D39" s="22"/>
      <c r="E39" s="22"/>
      <c r="F39" s="22"/>
      <c r="H39" s="211"/>
      <c r="I39" s="211"/>
      <c r="J39" s="211"/>
      <c r="K39" s="212"/>
      <c r="L39" s="213"/>
      <c r="M39" s="8"/>
      <c r="N39" s="8"/>
    </row>
    <row r="40" spans="1:14">
      <c r="A40" s="214"/>
      <c r="B40" s="35"/>
      <c r="C40" s="35"/>
      <c r="D40" s="35"/>
      <c r="E40" s="35"/>
      <c r="F40" s="35"/>
      <c r="H40" s="211"/>
      <c r="I40" s="211"/>
      <c r="J40" s="211"/>
      <c r="K40" s="212"/>
      <c r="L40" s="213"/>
      <c r="M40" s="8"/>
      <c r="N40" s="8"/>
    </row>
    <row r="41" spans="1:14" ht="15.75">
      <c r="A41" s="214"/>
      <c r="B41" s="35"/>
      <c r="C41" s="35"/>
      <c r="D41" s="35"/>
      <c r="E41"/>
      <c r="F41" s="35"/>
      <c r="H41" s="211"/>
      <c r="I41" s="211"/>
      <c r="J41" s="211"/>
      <c r="K41" s="212"/>
      <c r="L41" s="213"/>
      <c r="M41" s="8"/>
      <c r="N41" s="8"/>
    </row>
    <row r="42" spans="1:14" ht="15.75">
      <c r="A42" s="215"/>
      <c r="E42"/>
      <c r="H42" s="211"/>
      <c r="I42" s="211"/>
      <c r="J42" s="211"/>
      <c r="K42" s="212"/>
      <c r="L42" s="213"/>
      <c r="M42" s="8"/>
      <c r="N42" s="8"/>
    </row>
    <row r="43" spans="1:14" ht="15.75">
      <c r="A43" s="215"/>
      <c r="E43"/>
      <c r="G43" s="216"/>
      <c r="H43" s="211"/>
      <c r="I43" s="211"/>
      <c r="J43" s="211"/>
      <c r="K43" s="212"/>
      <c r="L43" s="213"/>
      <c r="M43" s="8"/>
      <c r="N43" s="8"/>
    </row>
    <row r="44" spans="1:14">
      <c r="A44" s="215"/>
      <c r="H44" s="211"/>
      <c r="I44" s="211"/>
      <c r="J44" s="211"/>
      <c r="K44" s="212"/>
      <c r="L44" s="213"/>
      <c r="M44" s="8"/>
      <c r="N44" s="8"/>
    </row>
    <row r="45" spans="1:14">
      <c r="H45" s="211"/>
      <c r="I45" s="211"/>
      <c r="J45" s="211"/>
      <c r="K45" s="212"/>
      <c r="L45" s="213"/>
      <c r="M45" s="8"/>
      <c r="N45" s="8"/>
    </row>
    <row r="46" spans="1:14">
      <c r="H46" s="27"/>
    </row>
  </sheetData>
  <mergeCells count="2">
    <mergeCell ref="A2:E2"/>
    <mergeCell ref="A4:F4"/>
  </mergeCells>
  <phoneticPr fontId="9" type="noConversion"/>
  <printOptions horizontalCentered="1"/>
  <pageMargins left="0.95" right="0.5" top="1" bottom="0.5" header="0.5" footer="0.5"/>
  <pageSetup scale="92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>
    <tabColor theme="6" tint="0.39997558519241921"/>
    <pageSetUpPr fitToPage="1"/>
  </sheetPr>
  <dimension ref="A1:M24"/>
  <sheetViews>
    <sheetView showGridLines="0" zoomScaleNormal="100" zoomScaleSheetLayoutView="95" workbookViewId="0"/>
  </sheetViews>
  <sheetFormatPr defaultColWidth="9.625" defaultRowHeight="12.75"/>
  <cols>
    <col min="1" max="1" width="4.875" style="7" customWidth="1"/>
    <col min="2" max="2" width="29.625" style="7" bestFit="1" customWidth="1"/>
    <col min="3" max="3" width="14.25" style="7" customWidth="1"/>
    <col min="4" max="4" width="17.625" style="7" bestFit="1" customWidth="1"/>
    <col min="5" max="5" width="9.375" style="7" customWidth="1"/>
    <col min="6" max="6" width="9.625" style="7"/>
    <col min="7" max="7" width="10.125" style="7" bestFit="1" customWidth="1"/>
    <col min="8" max="8" width="13.75" style="7" bestFit="1" customWidth="1"/>
    <col min="9" max="9" width="3.125" style="7" customWidth="1"/>
    <col min="10" max="10" width="13.625" style="7" bestFit="1" customWidth="1"/>
    <col min="11" max="16384" width="9.625" style="7"/>
  </cols>
  <sheetData>
    <row r="1" spans="1:13" ht="15">
      <c r="A1" s="81" t="str">
        <f>CONCATENATE(COMPANY,"-",JURISDICTION)</f>
        <v>Atmos Energy Corporation-Kentucky</v>
      </c>
      <c r="B1" s="39"/>
      <c r="C1" s="39"/>
      <c r="D1" s="39"/>
      <c r="E1" s="39"/>
      <c r="F1" s="39"/>
      <c r="G1" s="39"/>
      <c r="H1" s="39"/>
      <c r="I1" s="97" t="s">
        <v>180</v>
      </c>
    </row>
    <row r="2" spans="1:13" ht="15">
      <c r="A2" s="82" t="s">
        <v>107</v>
      </c>
      <c r="B2" s="39"/>
      <c r="C2" s="39"/>
      <c r="D2" s="39"/>
      <c r="E2" s="39"/>
      <c r="F2" s="39"/>
      <c r="G2" s="39"/>
      <c r="H2" s="39"/>
      <c r="I2" s="22"/>
    </row>
    <row r="3" spans="1:13" ht="14.25">
      <c r="A3" s="281" t="str">
        <f>'ATO-CWC2'!A4</f>
        <v>For Base Period Ended  June 30, 2024</v>
      </c>
      <c r="B3" s="281"/>
      <c r="C3" s="281"/>
      <c r="D3" s="281"/>
      <c r="E3" s="281"/>
      <c r="F3" s="281"/>
      <c r="G3" s="281"/>
      <c r="H3" s="281"/>
      <c r="I3" s="22"/>
    </row>
    <row r="4" spans="1:13" ht="15">
      <c r="A4" s="82"/>
      <c r="B4" s="39"/>
      <c r="C4" s="39"/>
      <c r="D4" s="39"/>
      <c r="E4" s="39"/>
      <c r="F4" s="39"/>
      <c r="G4" s="39"/>
      <c r="H4" s="39"/>
      <c r="I4" s="22"/>
    </row>
    <row r="5" spans="1:13" ht="14.25">
      <c r="A5" s="22"/>
      <c r="B5" s="22"/>
      <c r="C5" s="22"/>
      <c r="D5" s="22"/>
      <c r="E5" s="22"/>
      <c r="F5" s="22"/>
      <c r="G5" s="22"/>
      <c r="H5" s="22"/>
      <c r="I5" s="22"/>
    </row>
    <row r="6" spans="1:13" ht="14.25">
      <c r="A6" s="22" t="s">
        <v>111</v>
      </c>
      <c r="B6" s="22" t="s">
        <v>139</v>
      </c>
      <c r="C6" s="86" t="s">
        <v>55</v>
      </c>
      <c r="D6" s="86" t="s">
        <v>128</v>
      </c>
      <c r="E6" s="22"/>
      <c r="F6" s="22"/>
      <c r="G6" s="86" t="s">
        <v>70</v>
      </c>
      <c r="H6" s="86" t="s">
        <v>140</v>
      </c>
      <c r="I6" s="22"/>
    </row>
    <row r="7" spans="1:13" ht="14.25">
      <c r="A7" s="106" t="s">
        <v>113</v>
      </c>
      <c r="B7" s="106" t="s">
        <v>136</v>
      </c>
      <c r="C7" s="106" t="s">
        <v>56</v>
      </c>
      <c r="D7" s="98" t="s">
        <v>56</v>
      </c>
      <c r="E7" s="98" t="s">
        <v>28</v>
      </c>
      <c r="F7" s="98" t="s">
        <v>141</v>
      </c>
      <c r="G7" s="98" t="s">
        <v>116</v>
      </c>
      <c r="H7" s="98" t="s">
        <v>81</v>
      </c>
      <c r="I7" s="22"/>
    </row>
    <row r="8" spans="1:13" ht="14.25">
      <c r="A8" s="22"/>
      <c r="B8" s="86" t="s">
        <v>118</v>
      </c>
      <c r="C8" s="86" t="s">
        <v>77</v>
      </c>
      <c r="D8" s="86" t="s">
        <v>121</v>
      </c>
      <c r="E8" s="86" t="s">
        <v>122</v>
      </c>
      <c r="F8" s="99" t="s">
        <v>123</v>
      </c>
      <c r="G8" s="99" t="s">
        <v>124</v>
      </c>
      <c r="H8" s="22"/>
      <c r="I8" s="22"/>
    </row>
    <row r="9" spans="1:13" ht="14.25">
      <c r="A9" s="22"/>
      <c r="B9" s="22"/>
      <c r="C9" s="22"/>
      <c r="D9" s="22"/>
      <c r="E9" s="22"/>
      <c r="F9" s="22"/>
      <c r="G9" s="22"/>
      <c r="H9" s="22"/>
      <c r="I9" s="22"/>
    </row>
    <row r="10" spans="1:13" ht="15">
      <c r="A10" s="22">
        <v>1</v>
      </c>
      <c r="B10" s="23" t="s">
        <v>101</v>
      </c>
      <c r="C10" s="22"/>
      <c r="D10" s="22"/>
      <c r="E10" s="22"/>
      <c r="F10" s="22"/>
      <c r="G10" s="22"/>
      <c r="H10" s="22"/>
      <c r="I10" s="22"/>
    </row>
    <row r="11" spans="1:13" ht="15.75">
      <c r="A11" s="22">
        <v>2</v>
      </c>
      <c r="B11" s="277">
        <v>45184</v>
      </c>
      <c r="C11" s="68">
        <v>45108</v>
      </c>
      <c r="D11" s="68">
        <v>45473</v>
      </c>
      <c r="E11" s="24">
        <f>(D11+1-C11)/2</f>
        <v>183</v>
      </c>
      <c r="F11" s="275">
        <v>0.25</v>
      </c>
      <c r="G11" s="24">
        <f>SUM(B11-(C11+E11))</f>
        <v>-107</v>
      </c>
      <c r="H11" s="24">
        <f>G11*F11</f>
        <v>-26.75</v>
      </c>
      <c r="I11"/>
      <c r="J11"/>
      <c r="K11"/>
      <c r="L11"/>
      <c r="M11"/>
    </row>
    <row r="12" spans="1:13" ht="14.25">
      <c r="A12" s="22">
        <v>3</v>
      </c>
      <c r="B12" s="277">
        <v>45275</v>
      </c>
      <c r="C12" s="68">
        <v>45108</v>
      </c>
      <c r="D12" s="68">
        <v>45473</v>
      </c>
      <c r="E12" s="24">
        <f>(D12+1-C12)/2</f>
        <v>183</v>
      </c>
      <c r="F12" s="108">
        <v>0.25</v>
      </c>
      <c r="G12" s="24">
        <f>SUM(B12-(C12+E12))</f>
        <v>-16</v>
      </c>
      <c r="H12" s="24">
        <f>G12*F12</f>
        <v>-4</v>
      </c>
      <c r="I12" s="22"/>
      <c r="J12" s="217"/>
    </row>
    <row r="13" spans="1:13" ht="14.25">
      <c r="A13" s="22">
        <v>4</v>
      </c>
      <c r="B13" s="277">
        <v>45400</v>
      </c>
      <c r="C13" s="68">
        <v>45108</v>
      </c>
      <c r="D13" s="68">
        <v>45473</v>
      </c>
      <c r="E13" s="24">
        <f>(D13+1-C13)/2</f>
        <v>183</v>
      </c>
      <c r="F13" s="108">
        <v>0.25</v>
      </c>
      <c r="G13" s="24">
        <f>SUM(B13-(C13+E13))</f>
        <v>109</v>
      </c>
      <c r="H13" s="24">
        <f>G13*F13</f>
        <v>27.25</v>
      </c>
      <c r="I13" s="22"/>
      <c r="J13" s="217"/>
    </row>
    <row r="14" spans="1:13" ht="14.25">
      <c r="A14" s="22">
        <v>5</v>
      </c>
      <c r="B14" s="277">
        <v>45458</v>
      </c>
      <c r="C14" s="68">
        <v>45108</v>
      </c>
      <c r="D14" s="68">
        <v>45473</v>
      </c>
      <c r="E14" s="24">
        <f>(D14+1-C14)/2</f>
        <v>183</v>
      </c>
      <c r="F14" s="109">
        <v>0.25</v>
      </c>
      <c r="G14" s="25">
        <f>SUM(B14-(C14+E14))</f>
        <v>167</v>
      </c>
      <c r="H14" s="25">
        <f>G14*F14</f>
        <v>41.75</v>
      </c>
      <c r="I14" s="22"/>
      <c r="J14" s="217"/>
    </row>
    <row r="15" spans="1:13" ht="14.25">
      <c r="A15" s="22">
        <v>6</v>
      </c>
      <c r="B15" s="22"/>
      <c r="C15" s="22"/>
      <c r="D15" s="22"/>
      <c r="E15" s="22"/>
      <c r="F15" s="22"/>
      <c r="G15" s="22"/>
      <c r="H15" s="22"/>
      <c r="I15" s="22"/>
    </row>
    <row r="16" spans="1:13" ht="15" thickBot="1">
      <c r="A16" s="22">
        <v>7</v>
      </c>
      <c r="B16" s="22"/>
      <c r="C16" s="22"/>
      <c r="D16" s="22"/>
      <c r="E16" s="22"/>
      <c r="F16" s="108">
        <f>SUM(F11:F15)</f>
        <v>1</v>
      </c>
      <c r="G16" s="22" t="s">
        <v>2</v>
      </c>
      <c r="H16" s="111">
        <f>SUM(H11:H15)</f>
        <v>38.25</v>
      </c>
      <c r="I16" s="22"/>
    </row>
    <row r="17" spans="1:9" ht="16.5" thickTop="1">
      <c r="A17" s="22"/>
      <c r="B17"/>
      <c r="C17" s="22"/>
      <c r="D17" s="22"/>
      <c r="E17" s="22"/>
      <c r="F17" s="22"/>
      <c r="G17" s="22"/>
      <c r="H17" s="22"/>
      <c r="I17" s="22"/>
    </row>
    <row r="18" spans="1:9" ht="15.75">
      <c r="A18" s="22"/>
      <c r="B18"/>
      <c r="C18" s="22"/>
      <c r="D18" s="22"/>
      <c r="E18" s="22"/>
      <c r="F18" s="22"/>
      <c r="G18" s="22"/>
      <c r="H18" s="22"/>
      <c r="I18" s="22"/>
    </row>
    <row r="19" spans="1:9" ht="15.75">
      <c r="B19"/>
    </row>
    <row r="20" spans="1:9" ht="15.75">
      <c r="B20"/>
    </row>
    <row r="21" spans="1:9">
      <c r="D21" s="218"/>
    </row>
    <row r="22" spans="1:9">
      <c r="D22" s="218"/>
    </row>
    <row r="23" spans="1:9">
      <c r="D23" s="218"/>
    </row>
    <row r="24" spans="1:9">
      <c r="D24" s="218"/>
    </row>
  </sheetData>
  <mergeCells count="1">
    <mergeCell ref="A3:H3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transitionEntry="1">
    <tabColor theme="6" tint="0.39997558519241921"/>
    <pageSetUpPr fitToPage="1"/>
  </sheetPr>
  <dimension ref="A1:I19"/>
  <sheetViews>
    <sheetView showGridLines="0" zoomScaleNormal="100" zoomScaleSheetLayoutView="100" workbookViewId="0"/>
  </sheetViews>
  <sheetFormatPr defaultColWidth="9.625" defaultRowHeight="12.75"/>
  <cols>
    <col min="1" max="1" width="4.125" style="7" customWidth="1"/>
    <col min="2" max="2" width="29.625" style="7" customWidth="1"/>
    <col min="3" max="3" width="14.125" style="7" bestFit="1" customWidth="1"/>
    <col min="4" max="4" width="17.625" style="7" bestFit="1" customWidth="1"/>
    <col min="5" max="6" width="9.625" style="7"/>
    <col min="7" max="7" width="11" style="7" bestFit="1" customWidth="1"/>
    <col min="8" max="8" width="13.25" style="7" bestFit="1" customWidth="1"/>
    <col min="9" max="9" width="4.5" style="7" customWidth="1"/>
    <col min="10" max="16384" width="9.625" style="7"/>
  </cols>
  <sheetData>
    <row r="1" spans="1:9" ht="15">
      <c r="A1" s="81" t="str">
        <f>CONCATENATE(COMPANY,"-",JURISDICTION)</f>
        <v>Atmos Energy Corporation-Kentucky</v>
      </c>
      <c r="B1" s="39"/>
      <c r="C1" s="39"/>
      <c r="D1" s="39"/>
      <c r="E1" s="39"/>
      <c r="F1" s="39"/>
      <c r="G1" s="39"/>
      <c r="H1" s="39"/>
      <c r="I1" s="97" t="s">
        <v>179</v>
      </c>
    </row>
    <row r="2" spans="1:9" ht="15">
      <c r="A2" s="82" t="s">
        <v>212</v>
      </c>
      <c r="B2" s="39"/>
      <c r="C2" s="39"/>
      <c r="D2" s="39"/>
      <c r="E2" s="39"/>
      <c r="F2" s="39"/>
      <c r="G2" s="39"/>
      <c r="H2" s="39"/>
      <c r="I2" s="22"/>
    </row>
    <row r="3" spans="1:9" ht="15">
      <c r="A3" s="282" t="str">
        <f>'ATO-CWC2'!A4</f>
        <v>For Base Period Ended  June 30, 2024</v>
      </c>
      <c r="B3" s="282"/>
      <c r="C3" s="282"/>
      <c r="D3" s="282"/>
      <c r="E3" s="282"/>
      <c r="F3" s="282"/>
      <c r="G3" s="282"/>
      <c r="H3" s="282"/>
      <c r="I3" s="22"/>
    </row>
    <row r="4" spans="1:9" ht="15">
      <c r="A4" s="82"/>
      <c r="B4" s="39"/>
      <c r="C4" s="39"/>
      <c r="D4" s="39"/>
      <c r="E4" s="39"/>
      <c r="F4" s="39"/>
      <c r="G4" s="39"/>
      <c r="H4" s="39"/>
      <c r="I4" s="22"/>
    </row>
    <row r="5" spans="1:9" ht="14.25">
      <c r="A5" s="22"/>
      <c r="B5" s="22"/>
      <c r="C5" s="22"/>
      <c r="D5" s="22"/>
      <c r="E5" s="22"/>
      <c r="F5" s="22"/>
      <c r="G5" s="22"/>
      <c r="H5" s="22"/>
      <c r="I5" s="22"/>
    </row>
    <row r="6" spans="1:9" ht="14.25">
      <c r="A6" s="22" t="s">
        <v>111</v>
      </c>
      <c r="B6" s="22"/>
      <c r="C6" s="86" t="s">
        <v>55</v>
      </c>
      <c r="D6" s="86" t="s">
        <v>128</v>
      </c>
      <c r="E6" s="22"/>
      <c r="F6" s="22"/>
      <c r="G6" s="86" t="s">
        <v>70</v>
      </c>
      <c r="H6" s="86" t="s">
        <v>140</v>
      </c>
      <c r="I6" s="22"/>
    </row>
    <row r="7" spans="1:9" ht="14.25">
      <c r="A7" s="106" t="s">
        <v>113</v>
      </c>
      <c r="B7" s="98" t="s">
        <v>162</v>
      </c>
      <c r="C7" s="106" t="s">
        <v>56</v>
      </c>
      <c r="D7" s="106" t="s">
        <v>56</v>
      </c>
      <c r="E7" s="98" t="s">
        <v>28</v>
      </c>
      <c r="F7" s="98" t="s">
        <v>141</v>
      </c>
      <c r="G7" s="98" t="s">
        <v>116</v>
      </c>
      <c r="H7" s="98" t="s">
        <v>81</v>
      </c>
      <c r="I7" s="22"/>
    </row>
    <row r="8" spans="1:9" ht="14.25">
      <c r="A8" s="22"/>
      <c r="B8" s="86" t="s">
        <v>118</v>
      </c>
      <c r="C8" s="86" t="s">
        <v>119</v>
      </c>
      <c r="D8" s="86" t="s">
        <v>77</v>
      </c>
      <c r="E8" s="86" t="s">
        <v>121</v>
      </c>
      <c r="F8" s="86" t="s">
        <v>122</v>
      </c>
      <c r="G8" s="99" t="s">
        <v>123</v>
      </c>
      <c r="H8" s="99" t="s">
        <v>124</v>
      </c>
      <c r="I8" s="22"/>
    </row>
    <row r="9" spans="1:9" ht="14.25">
      <c r="A9" s="22"/>
      <c r="B9" s="22"/>
      <c r="C9" s="22"/>
      <c r="D9" s="22"/>
      <c r="E9" s="22"/>
      <c r="F9" s="22"/>
      <c r="G9" s="22"/>
      <c r="H9" s="22"/>
      <c r="I9" s="22"/>
    </row>
    <row r="10" spans="1:9" ht="15">
      <c r="A10" s="22">
        <v>1</v>
      </c>
      <c r="B10" s="23" t="s">
        <v>213</v>
      </c>
      <c r="C10" s="22"/>
      <c r="D10" s="22"/>
      <c r="E10" s="22"/>
      <c r="F10" s="22"/>
      <c r="G10" s="22"/>
      <c r="H10" s="22"/>
      <c r="I10" s="22"/>
    </row>
    <row r="11" spans="1:9" ht="14.25">
      <c r="A11" s="22">
        <v>2</v>
      </c>
      <c r="B11" s="105">
        <f>'ATO-CWC7'!B11</f>
        <v>45184</v>
      </c>
      <c r="C11" s="107">
        <f>'ATO-CWC7'!C11</f>
        <v>45108</v>
      </c>
      <c r="D11" s="107">
        <f>'ATO-CWC7'!D11</f>
        <v>45473</v>
      </c>
      <c r="E11" s="24">
        <f>(D11+1-C11)/2</f>
        <v>183</v>
      </c>
      <c r="F11" s="108">
        <v>0.25</v>
      </c>
      <c r="G11" s="24">
        <f>SUM(B11-(C11+E11))</f>
        <v>-107</v>
      </c>
      <c r="H11" s="24">
        <f>G11*F11</f>
        <v>-26.75</v>
      </c>
      <c r="I11" s="22"/>
    </row>
    <row r="12" spans="1:9" ht="14.25">
      <c r="A12" s="22">
        <v>3</v>
      </c>
      <c r="B12" s="105">
        <f>'ATO-CWC7'!B12</f>
        <v>45275</v>
      </c>
      <c r="C12" s="107">
        <f>'ATO-CWC7'!C12</f>
        <v>45108</v>
      </c>
      <c r="D12" s="107">
        <f>'ATO-CWC7'!D12</f>
        <v>45473</v>
      </c>
      <c r="E12" s="24">
        <f>(D12+1-C12)/2</f>
        <v>183</v>
      </c>
      <c r="F12" s="108">
        <v>0.25</v>
      </c>
      <c r="G12" s="24">
        <f>SUM(B12-(C12+E12))</f>
        <v>-16</v>
      </c>
      <c r="H12" s="24">
        <f>G12*F12</f>
        <v>-4</v>
      </c>
      <c r="I12" s="22"/>
    </row>
    <row r="13" spans="1:9" ht="14.25">
      <c r="A13" s="22">
        <v>4</v>
      </c>
      <c r="B13" s="105">
        <f>'ATO-CWC7'!B13</f>
        <v>45400</v>
      </c>
      <c r="C13" s="107">
        <f>'ATO-CWC7'!C13</f>
        <v>45108</v>
      </c>
      <c r="D13" s="107">
        <f>'ATO-CWC7'!D13</f>
        <v>45473</v>
      </c>
      <c r="E13" s="24">
        <f>(D13+1-C13)/2</f>
        <v>183</v>
      </c>
      <c r="F13" s="108">
        <v>0.25</v>
      </c>
      <c r="G13" s="24">
        <f>SUM(B13-(C13+E13))</f>
        <v>109</v>
      </c>
      <c r="H13" s="24">
        <f>G13*F13</f>
        <v>27.25</v>
      </c>
      <c r="I13" s="22"/>
    </row>
    <row r="14" spans="1:9" ht="14.25">
      <c r="A14" s="22">
        <v>5</v>
      </c>
      <c r="B14" s="105">
        <f>'ATO-CWC7'!B14</f>
        <v>45458</v>
      </c>
      <c r="C14" s="107">
        <f>'ATO-CWC7'!C14</f>
        <v>45108</v>
      </c>
      <c r="D14" s="107">
        <f>'ATO-CWC7'!D14</f>
        <v>45473</v>
      </c>
      <c r="E14" s="24">
        <f>(D14+1-C14)/2</f>
        <v>183</v>
      </c>
      <c r="F14" s="109">
        <v>0.25</v>
      </c>
      <c r="G14" s="25">
        <f>SUM(B14-(C14+E14))</f>
        <v>167</v>
      </c>
      <c r="H14" s="25">
        <f>G14*F14</f>
        <v>41.75</v>
      </c>
      <c r="I14" s="22"/>
    </row>
    <row r="15" spans="1:9" ht="14.25">
      <c r="A15" s="22">
        <v>6</v>
      </c>
      <c r="B15" s="110"/>
      <c r="C15" s="22"/>
      <c r="D15" s="22"/>
      <c r="E15" s="22"/>
      <c r="F15" s="22"/>
      <c r="G15" s="22"/>
      <c r="H15" s="22"/>
      <c r="I15" s="22"/>
    </row>
    <row r="16" spans="1:9" ht="15" thickBot="1">
      <c r="A16" s="22">
        <v>7</v>
      </c>
      <c r="B16" s="22"/>
      <c r="C16" s="22"/>
      <c r="D16" s="22"/>
      <c r="E16" s="22"/>
      <c r="F16" s="108">
        <f>SUM(F11:F15)</f>
        <v>1</v>
      </c>
      <c r="G16" s="22" t="s">
        <v>2</v>
      </c>
      <c r="H16" s="111">
        <f>SUM(H11:H15)</f>
        <v>38.25</v>
      </c>
      <c r="I16" s="22"/>
    </row>
    <row r="17" spans="1:9" ht="15.75" thickTop="1">
      <c r="A17" s="22"/>
      <c r="B17" s="23"/>
      <c r="C17" s="22"/>
      <c r="D17" s="22"/>
      <c r="E17" s="22"/>
      <c r="F17" s="22"/>
      <c r="G17" s="22"/>
      <c r="H17" s="22"/>
      <c r="I17" s="22"/>
    </row>
    <row r="18" spans="1:9" ht="14.25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14.25">
      <c r="A19" s="22"/>
      <c r="B19" s="22"/>
      <c r="C19" s="22"/>
      <c r="D19" s="22"/>
      <c r="E19" s="22"/>
      <c r="F19" s="22"/>
      <c r="G19" s="22"/>
      <c r="H19" s="22"/>
      <c r="I19" s="22"/>
    </row>
  </sheetData>
  <mergeCells count="1">
    <mergeCell ref="A3:H3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 codeName="Sheet51">
    <tabColor theme="6" tint="0.59999389629810485"/>
    <pageSetUpPr fitToPage="1"/>
  </sheetPr>
  <dimension ref="A1:V228"/>
  <sheetViews>
    <sheetView showGridLines="0" zoomScaleNormal="100" zoomScaleSheetLayoutView="85" workbookViewId="0"/>
  </sheetViews>
  <sheetFormatPr defaultColWidth="10.875" defaultRowHeight="12.75"/>
  <cols>
    <col min="1" max="1" width="4.75" style="219" customWidth="1"/>
    <col min="2" max="2" width="19.375" style="219" customWidth="1"/>
    <col min="3" max="3" width="10.125" style="219" bestFit="1" customWidth="1"/>
    <col min="4" max="4" width="11.875" style="219" customWidth="1"/>
    <col min="5" max="5" width="14.75" style="219" bestFit="1" customWidth="1"/>
    <col min="6" max="6" width="10" style="219" customWidth="1"/>
    <col min="7" max="7" width="9.75" style="219" customWidth="1"/>
    <col min="8" max="8" width="10.125" style="219" bestFit="1" customWidth="1"/>
    <col min="9" max="17" width="9.125" style="219" customWidth="1"/>
    <col min="18" max="18" width="8.625" style="219" bestFit="1" customWidth="1"/>
    <col min="19" max="19" width="14.125" style="219" bestFit="1" customWidth="1"/>
    <col min="20" max="20" width="11.625" style="219" bestFit="1" customWidth="1"/>
    <col min="21" max="21" width="11.125" style="225" customWidth="1"/>
    <col min="22" max="22" width="3.125" style="219" customWidth="1"/>
    <col min="23" max="16384" width="10.875" style="219"/>
  </cols>
  <sheetData>
    <row r="1" spans="1:22" ht="14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97" t="s">
        <v>178</v>
      </c>
      <c r="V1" s="136"/>
    </row>
    <row r="2" spans="1:22" ht="15">
      <c r="A2" s="81" t="str">
        <f>CONCATENATE(COMPANY,"-",JURISDICTION)</f>
        <v>Atmos Energy Corporation-Kentucky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/>
      <c r="V2" s="134"/>
    </row>
    <row r="3" spans="1:22" ht="15">
      <c r="A3" s="82" t="s">
        <v>25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  <c r="V3" s="134"/>
    </row>
    <row r="4" spans="1:22" ht="13.9" customHeight="1">
      <c r="A4" s="282" t="str">
        <f>'ATO-CWC2'!A4</f>
        <v>For Base Period Ended  June 30, 2024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134"/>
    </row>
    <row r="5" spans="1:22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5"/>
      <c r="V5" s="134"/>
    </row>
    <row r="6" spans="1:22">
      <c r="A6" s="134"/>
      <c r="B6" s="134"/>
      <c r="C6" s="134"/>
      <c r="D6" s="134"/>
      <c r="E6" s="134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V6" s="136"/>
    </row>
    <row r="7" spans="1:22">
      <c r="A7" s="258" t="s">
        <v>255</v>
      </c>
      <c r="B7" s="136"/>
      <c r="C7" s="136"/>
      <c r="D7" s="136"/>
      <c r="E7" s="134"/>
      <c r="F7" s="136"/>
      <c r="G7" s="138"/>
      <c r="H7" s="138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7"/>
      <c r="V7" s="136"/>
    </row>
    <row r="8" spans="1:22" ht="15">
      <c r="A8" s="136" t="s">
        <v>111</v>
      </c>
      <c r="B8" s="139" t="s">
        <v>2</v>
      </c>
      <c r="C8" s="139"/>
      <c r="D8" s="139"/>
      <c r="E8" s="139"/>
      <c r="F8" s="140"/>
      <c r="G8" s="141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 t="s">
        <v>70</v>
      </c>
      <c r="S8" s="143" t="s">
        <v>12</v>
      </c>
      <c r="T8" s="139" t="s">
        <v>13</v>
      </c>
      <c r="U8" s="139" t="s">
        <v>140</v>
      </c>
      <c r="V8" s="46"/>
    </row>
    <row r="9" spans="1:22" ht="15">
      <c r="A9" s="144" t="s">
        <v>113</v>
      </c>
      <c r="B9" s="145" t="s">
        <v>14</v>
      </c>
      <c r="C9" s="145" t="s">
        <v>15</v>
      </c>
      <c r="D9" s="145" t="s">
        <v>254</v>
      </c>
      <c r="E9" s="145" t="s">
        <v>16</v>
      </c>
      <c r="F9" s="146" t="s">
        <v>17</v>
      </c>
      <c r="G9" s="146" t="s">
        <v>18</v>
      </c>
      <c r="H9" s="145" t="s">
        <v>19</v>
      </c>
      <c r="I9" s="145" t="s">
        <v>20</v>
      </c>
      <c r="J9" s="145" t="s">
        <v>202</v>
      </c>
      <c r="K9" s="145" t="s">
        <v>203</v>
      </c>
      <c r="L9" s="145" t="s">
        <v>204</v>
      </c>
      <c r="M9" s="145" t="s">
        <v>205</v>
      </c>
      <c r="N9" s="145" t="s">
        <v>230</v>
      </c>
      <c r="O9" s="145" t="s">
        <v>231</v>
      </c>
      <c r="P9" s="145" t="s">
        <v>232</v>
      </c>
      <c r="Q9" s="145" t="s">
        <v>233</v>
      </c>
      <c r="R9" s="147" t="s">
        <v>116</v>
      </c>
      <c r="S9" s="148" t="s">
        <v>21</v>
      </c>
      <c r="T9" s="147" t="s">
        <v>22</v>
      </c>
      <c r="U9" s="147" t="s">
        <v>23</v>
      </c>
      <c r="V9" s="46"/>
    </row>
    <row r="10" spans="1:22" ht="15">
      <c r="A10" s="136"/>
      <c r="B10" s="139" t="s">
        <v>118</v>
      </c>
      <c r="C10" s="149" t="s">
        <v>119</v>
      </c>
      <c r="D10" s="149" t="s">
        <v>120</v>
      </c>
      <c r="E10" s="149" t="s">
        <v>121</v>
      </c>
      <c r="F10" s="149" t="s">
        <v>122</v>
      </c>
      <c r="G10" s="149" t="s">
        <v>123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9" t="s">
        <v>124</v>
      </c>
      <c r="S10" s="149" t="s">
        <v>46</v>
      </c>
      <c r="T10" s="149" t="s">
        <v>68</v>
      </c>
      <c r="U10" s="149" t="s">
        <v>88</v>
      </c>
      <c r="V10" s="46"/>
    </row>
    <row r="11" spans="1:22" ht="15">
      <c r="A11" s="136"/>
      <c r="B11" s="136"/>
      <c r="C11" s="136"/>
      <c r="D11" s="136"/>
      <c r="E11" s="35"/>
      <c r="F11" s="151"/>
      <c r="G11" s="152"/>
      <c r="H11" s="153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7"/>
      <c r="T11" s="136"/>
      <c r="U11" s="136"/>
      <c r="V11" s="46"/>
    </row>
    <row r="12" spans="1:22" ht="15.75">
      <c r="A12" s="246">
        <v>1</v>
      </c>
      <c r="B12" s="245" t="s">
        <v>1104</v>
      </c>
      <c r="C12" s="247" t="s">
        <v>1105</v>
      </c>
      <c r="D12" s="35">
        <v>10000000</v>
      </c>
      <c r="E12" s="154" t="s">
        <v>1106</v>
      </c>
      <c r="F12" s="154">
        <v>45275</v>
      </c>
      <c r="G12" s="154">
        <v>45458</v>
      </c>
      <c r="H12" s="119"/>
      <c r="I12" s="35"/>
      <c r="J12" s="35"/>
      <c r="K12" s="35"/>
      <c r="L12" s="35"/>
      <c r="M12" s="35"/>
      <c r="N12" s="35"/>
      <c r="O12" s="35"/>
      <c r="P12" s="35"/>
      <c r="Q12" s="35"/>
      <c r="R12" s="248">
        <f t="shared" ref="R12:R28" si="0">(G12-F12)/2</f>
        <v>91.5</v>
      </c>
      <c r="S12" s="252">
        <v>667000</v>
      </c>
      <c r="T12" s="132">
        <f t="shared" ref="T12" si="1">SUM(S12/$S$30)</f>
        <v>2.0168300994505878E-3</v>
      </c>
      <c r="U12" s="38">
        <f t="shared" ref="U12" si="2">T12*R12</f>
        <v>0.18453995409972879</v>
      </c>
      <c r="V12" s="46"/>
    </row>
    <row r="13" spans="1:22" ht="15.75">
      <c r="A13" s="246">
        <f>MAX($A12+1)</f>
        <v>2</v>
      </c>
      <c r="B13" s="245" t="s">
        <v>1107</v>
      </c>
      <c r="C13" s="247" t="s">
        <v>1108</v>
      </c>
      <c r="D13" s="35">
        <v>500000000</v>
      </c>
      <c r="E13" s="154" t="s">
        <v>1106</v>
      </c>
      <c r="F13" s="154">
        <v>45275</v>
      </c>
      <c r="G13" s="154">
        <v>45458</v>
      </c>
      <c r="H13" s="119"/>
      <c r="I13" s="35"/>
      <c r="J13" s="35"/>
      <c r="K13" s="35"/>
      <c r="L13" s="35"/>
      <c r="M13" s="35"/>
      <c r="N13" s="35"/>
      <c r="O13" s="35"/>
      <c r="P13" s="35"/>
      <c r="Q13" s="35"/>
      <c r="R13" s="248">
        <f t="shared" si="0"/>
        <v>91.5</v>
      </c>
      <c r="S13" s="35">
        <v>15000000</v>
      </c>
      <c r="T13" s="132">
        <f t="shared" ref="T13:T28" si="3">SUM(S13/$S$30)</f>
        <v>4.535599923801921E-2</v>
      </c>
      <c r="U13" s="38">
        <f t="shared" ref="U13:U28" si="4">T13*R13</f>
        <v>4.1500739302787579</v>
      </c>
      <c r="V13" s="46"/>
    </row>
    <row r="14" spans="1:22" ht="15.75">
      <c r="A14" s="246">
        <f t="shared" ref="A14:A30" si="5">MAX($A13+1)</f>
        <v>3</v>
      </c>
      <c r="B14" s="245" t="s">
        <v>1109</v>
      </c>
      <c r="C14" s="247">
        <v>46949</v>
      </c>
      <c r="D14" s="35">
        <v>150000000</v>
      </c>
      <c r="E14" s="154" t="s">
        <v>1106</v>
      </c>
      <c r="F14" s="154">
        <v>45122</v>
      </c>
      <c r="G14" s="154">
        <v>45306</v>
      </c>
      <c r="H14" s="119"/>
      <c r="I14" s="35"/>
      <c r="J14" s="35"/>
      <c r="K14" s="35"/>
      <c r="L14" s="35"/>
      <c r="M14" s="35"/>
      <c r="N14" s="35"/>
      <c r="O14" s="35"/>
      <c r="P14" s="35"/>
      <c r="Q14" s="35"/>
      <c r="R14" s="248">
        <f t="shared" si="0"/>
        <v>92</v>
      </c>
      <c r="S14" s="35">
        <v>10125000</v>
      </c>
      <c r="T14" s="132">
        <f t="shared" si="3"/>
        <v>3.061529948566297E-2</v>
      </c>
      <c r="U14" s="38">
        <f t="shared" si="4"/>
        <v>2.8166075526809933</v>
      </c>
      <c r="V14" s="46"/>
    </row>
    <row r="15" spans="1:22" ht="15.75">
      <c r="A15" s="246">
        <f t="shared" si="5"/>
        <v>4</v>
      </c>
      <c r="B15" s="245" t="s">
        <v>1110</v>
      </c>
      <c r="C15" s="247" t="s">
        <v>1111</v>
      </c>
      <c r="D15" s="35">
        <v>500000000</v>
      </c>
      <c r="E15" s="154" t="s">
        <v>1106</v>
      </c>
      <c r="F15" s="154">
        <v>45184</v>
      </c>
      <c r="G15" s="154">
        <v>45366</v>
      </c>
      <c r="H15" s="154"/>
      <c r="I15" s="68"/>
      <c r="J15" s="68"/>
      <c r="K15" s="68"/>
      <c r="L15" s="68"/>
      <c r="M15" s="68"/>
      <c r="N15" s="68"/>
      <c r="O15" s="68"/>
      <c r="P15" s="68"/>
      <c r="Q15" s="68"/>
      <c r="R15" s="248">
        <f t="shared" si="0"/>
        <v>91</v>
      </c>
      <c r="S15" s="35">
        <v>13125000</v>
      </c>
      <c r="T15" s="132">
        <f t="shared" si="3"/>
        <v>3.968649933326681E-2</v>
      </c>
      <c r="U15" s="38">
        <f t="shared" si="4"/>
        <v>3.6114714393272798</v>
      </c>
      <c r="V15" s="46"/>
    </row>
    <row r="16" spans="1:22" ht="15.75">
      <c r="A16" s="246">
        <f t="shared" si="5"/>
        <v>5</v>
      </c>
      <c r="B16" s="245" t="s">
        <v>1112</v>
      </c>
      <c r="C16" s="247" t="s">
        <v>1113</v>
      </c>
      <c r="D16" s="35">
        <v>600000000</v>
      </c>
      <c r="E16" s="154" t="s">
        <v>1106</v>
      </c>
      <c r="F16" s="154">
        <v>45122</v>
      </c>
      <c r="G16" s="154">
        <v>45306</v>
      </c>
      <c r="H16" s="119"/>
      <c r="I16" s="35"/>
      <c r="J16" s="35"/>
      <c r="K16" s="35"/>
      <c r="L16" s="35"/>
      <c r="M16" s="35"/>
      <c r="N16" s="35"/>
      <c r="O16" s="35"/>
      <c r="P16" s="35"/>
      <c r="Q16" s="35"/>
      <c r="R16" s="248">
        <f t="shared" si="0"/>
        <v>92</v>
      </c>
      <c r="S16" s="35">
        <v>9000000</v>
      </c>
      <c r="T16" s="132">
        <f t="shared" si="3"/>
        <v>2.7213599542811526E-2</v>
      </c>
      <c r="U16" s="38">
        <f t="shared" si="4"/>
        <v>2.5036511579386604</v>
      </c>
      <c r="V16" s="46"/>
    </row>
    <row r="17" spans="1:22" ht="15.75">
      <c r="A17" s="246">
        <f t="shared" si="5"/>
        <v>6</v>
      </c>
      <c r="B17" s="245" t="s">
        <v>1114</v>
      </c>
      <c r="C17" s="247" t="s">
        <v>1115</v>
      </c>
      <c r="D17" s="35">
        <v>300000000</v>
      </c>
      <c r="E17" s="154" t="s">
        <v>1106</v>
      </c>
      <c r="F17" s="154">
        <v>45214</v>
      </c>
      <c r="G17" s="154">
        <v>45397</v>
      </c>
      <c r="H17" s="154"/>
      <c r="I17" s="68"/>
      <c r="J17" s="68"/>
      <c r="K17" s="68"/>
      <c r="L17" s="68"/>
      <c r="M17" s="68"/>
      <c r="N17" s="68"/>
      <c r="O17" s="68"/>
      <c r="P17" s="68"/>
      <c r="Q17" s="68"/>
      <c r="R17" s="248">
        <f t="shared" si="0"/>
        <v>91.5</v>
      </c>
      <c r="S17" s="35">
        <v>16350000</v>
      </c>
      <c r="T17" s="132">
        <f t="shared" si="3"/>
        <v>4.9438039169440944E-2</v>
      </c>
      <c r="U17" s="38">
        <f t="shared" si="4"/>
        <v>4.5235805840038461</v>
      </c>
      <c r="V17" s="46"/>
    </row>
    <row r="18" spans="1:22" ht="15.75">
      <c r="A18" s="246">
        <f t="shared" si="5"/>
        <v>7</v>
      </c>
      <c r="B18" s="245" t="s">
        <v>1116</v>
      </c>
      <c r="C18" s="247" t="s">
        <v>1117</v>
      </c>
      <c r="D18" s="35">
        <v>725000000</v>
      </c>
      <c r="E18" s="154" t="s">
        <v>1106</v>
      </c>
      <c r="F18" s="154">
        <v>45245</v>
      </c>
      <c r="G18" s="154">
        <v>45427</v>
      </c>
      <c r="H18" s="119"/>
      <c r="I18" s="35"/>
      <c r="J18" s="35"/>
      <c r="K18" s="35"/>
      <c r="L18" s="35"/>
      <c r="M18" s="35"/>
      <c r="N18" s="35"/>
      <c r="O18" s="35"/>
      <c r="P18" s="35"/>
      <c r="Q18" s="35"/>
      <c r="R18" s="248">
        <f t="shared" si="0"/>
        <v>91</v>
      </c>
      <c r="S18" s="35">
        <v>42775000</v>
      </c>
      <c r="T18" s="132">
        <f t="shared" si="3"/>
        <v>0.12934019116041812</v>
      </c>
      <c r="U18" s="38">
        <f t="shared" si="4"/>
        <v>11.769957395598048</v>
      </c>
      <c r="V18" s="46"/>
    </row>
    <row r="19" spans="1:22" ht="15.75">
      <c r="A19" s="246">
        <f t="shared" si="5"/>
        <v>8</v>
      </c>
      <c r="B19" s="245" t="s">
        <v>1118</v>
      </c>
      <c r="C19" s="247">
        <v>49232</v>
      </c>
      <c r="D19" s="35">
        <v>200000000</v>
      </c>
      <c r="E19" s="154" t="s">
        <v>1106</v>
      </c>
      <c r="F19" s="154">
        <v>45214</v>
      </c>
      <c r="G19" s="154">
        <v>45397</v>
      </c>
      <c r="H19" s="119"/>
      <c r="I19" s="35"/>
      <c r="J19" s="35"/>
      <c r="K19" s="35"/>
      <c r="L19" s="35"/>
      <c r="M19" s="35"/>
      <c r="N19" s="35"/>
      <c r="O19" s="35"/>
      <c r="P19" s="35"/>
      <c r="Q19" s="35"/>
      <c r="R19" s="248">
        <f t="shared" si="0"/>
        <v>91.5</v>
      </c>
      <c r="S19" s="35">
        <v>11900000</v>
      </c>
      <c r="T19" s="132">
        <f t="shared" si="3"/>
        <v>3.5982426062161905E-2</v>
      </c>
      <c r="U19" s="38">
        <f t="shared" si="4"/>
        <v>3.2923919846878142</v>
      </c>
      <c r="V19" s="46"/>
    </row>
    <row r="20" spans="1:22" ht="15.75">
      <c r="A20" s="246">
        <f t="shared" si="5"/>
        <v>9</v>
      </c>
      <c r="B20" s="245" t="s">
        <v>1119</v>
      </c>
      <c r="C20" s="247" t="s">
        <v>1120</v>
      </c>
      <c r="D20" s="35">
        <v>400000000</v>
      </c>
      <c r="E20" s="154" t="s">
        <v>1106</v>
      </c>
      <c r="F20" s="154">
        <v>45275</v>
      </c>
      <c r="G20" s="154">
        <v>45458</v>
      </c>
      <c r="H20" s="119"/>
      <c r="I20" s="35"/>
      <c r="J20" s="35"/>
      <c r="K20" s="35"/>
      <c r="L20" s="35"/>
      <c r="M20" s="35"/>
      <c r="N20" s="35"/>
      <c r="O20" s="35"/>
      <c r="P20" s="35"/>
      <c r="Q20" s="35"/>
      <c r="R20" s="248">
        <f t="shared" si="0"/>
        <v>91.5</v>
      </c>
      <c r="S20" s="35">
        <v>22000000</v>
      </c>
      <c r="T20" s="132">
        <f t="shared" si="3"/>
        <v>6.6522132215761517E-2</v>
      </c>
      <c r="U20" s="38">
        <f t="shared" si="4"/>
        <v>6.0867750977421791</v>
      </c>
      <c r="V20" s="46"/>
    </row>
    <row r="21" spans="1:22" ht="15.75">
      <c r="A21" s="246">
        <f t="shared" si="5"/>
        <v>10</v>
      </c>
      <c r="B21" s="245" t="s">
        <v>1121</v>
      </c>
      <c r="C21" s="247" t="s">
        <v>1122</v>
      </c>
      <c r="D21" s="35">
        <v>500000000</v>
      </c>
      <c r="E21" s="154" t="s">
        <v>1106</v>
      </c>
      <c r="F21" s="154">
        <v>45122</v>
      </c>
      <c r="G21" s="154">
        <v>45306</v>
      </c>
      <c r="H21" s="119"/>
      <c r="I21" s="35"/>
      <c r="J21" s="35"/>
      <c r="K21" s="35"/>
      <c r="L21" s="35"/>
      <c r="M21" s="35"/>
      <c r="N21" s="35"/>
      <c r="O21" s="35"/>
      <c r="P21" s="35"/>
      <c r="Q21" s="35"/>
      <c r="R21" s="248">
        <f t="shared" si="0"/>
        <v>92</v>
      </c>
      <c r="S21" s="35">
        <v>20750000</v>
      </c>
      <c r="T21" s="132">
        <f t="shared" si="3"/>
        <v>6.2742465612593251E-2</v>
      </c>
      <c r="U21" s="38">
        <f t="shared" si="4"/>
        <v>5.7723068363585792</v>
      </c>
      <c r="V21" s="46"/>
    </row>
    <row r="22" spans="1:22" ht="15.75">
      <c r="A22" s="246">
        <f t="shared" si="5"/>
        <v>11</v>
      </c>
      <c r="B22" s="245" t="s">
        <v>1123</v>
      </c>
      <c r="C22" s="247" t="s">
        <v>1124</v>
      </c>
      <c r="D22" s="35">
        <v>750000000</v>
      </c>
      <c r="E22" s="154" t="s">
        <v>1106</v>
      </c>
      <c r="F22" s="154">
        <v>45214</v>
      </c>
      <c r="G22" s="154">
        <v>45397</v>
      </c>
      <c r="H22" s="119"/>
      <c r="I22" s="35"/>
      <c r="J22" s="35"/>
      <c r="K22" s="35"/>
      <c r="L22" s="35"/>
      <c r="M22" s="35"/>
      <c r="N22" s="35"/>
      <c r="O22" s="35"/>
      <c r="P22" s="35"/>
      <c r="Q22" s="35"/>
      <c r="R22" s="248">
        <f t="shared" si="0"/>
        <v>91.5</v>
      </c>
      <c r="S22" s="35">
        <v>30937500</v>
      </c>
      <c r="T22" s="132">
        <f t="shared" si="3"/>
        <v>9.3546748428414622E-2</v>
      </c>
      <c r="U22" s="38">
        <f t="shared" si="4"/>
        <v>8.5595274811999378</v>
      </c>
      <c r="V22" s="46"/>
    </row>
    <row r="23" spans="1:22" ht="15.75">
      <c r="A23" s="246">
        <f t="shared" si="5"/>
        <v>12</v>
      </c>
      <c r="B23" s="245" t="s">
        <v>1125</v>
      </c>
      <c r="C23" s="247" t="s">
        <v>1126</v>
      </c>
      <c r="D23" s="35">
        <v>600000000</v>
      </c>
      <c r="E23" s="154" t="s">
        <v>1106</v>
      </c>
      <c r="F23" s="154">
        <v>45200</v>
      </c>
      <c r="G23" s="154">
        <v>45383</v>
      </c>
      <c r="H23" s="119"/>
      <c r="I23" s="35"/>
      <c r="J23" s="35"/>
      <c r="K23" s="35"/>
      <c r="L23" s="35"/>
      <c r="M23" s="35"/>
      <c r="N23" s="35"/>
      <c r="O23" s="35"/>
      <c r="P23" s="35"/>
      <c r="Q23" s="35"/>
      <c r="R23" s="248">
        <f t="shared" si="0"/>
        <v>91.5</v>
      </c>
      <c r="S23" s="35">
        <v>25799999.999999996</v>
      </c>
      <c r="T23" s="132">
        <f t="shared" si="3"/>
        <v>7.801231868939304E-2</v>
      </c>
      <c r="U23" s="38">
        <f t="shared" si="4"/>
        <v>7.1381271600794634</v>
      </c>
      <c r="V23" s="46"/>
    </row>
    <row r="24" spans="1:22" ht="15.75">
      <c r="A24" s="246">
        <f t="shared" si="5"/>
        <v>13</v>
      </c>
      <c r="B24" s="245" t="s">
        <v>1123</v>
      </c>
      <c r="C24" s="247" t="s">
        <v>1127</v>
      </c>
      <c r="D24" s="35">
        <v>450000000</v>
      </c>
      <c r="E24" s="154" t="s">
        <v>1106</v>
      </c>
      <c r="F24" s="154">
        <v>45184</v>
      </c>
      <c r="G24" s="154">
        <v>45366</v>
      </c>
      <c r="H24"/>
      <c r="I24"/>
      <c r="J24"/>
      <c r="K24"/>
      <c r="L24"/>
      <c r="M24"/>
      <c r="N24"/>
      <c r="O24"/>
      <c r="P24"/>
      <c r="Q24"/>
      <c r="R24" s="248">
        <f t="shared" si="0"/>
        <v>91</v>
      </c>
      <c r="S24" s="35">
        <v>18562500</v>
      </c>
      <c r="T24" s="132">
        <f t="shared" si="3"/>
        <v>5.6128049057048775E-2</v>
      </c>
      <c r="U24" s="38">
        <f t="shared" si="4"/>
        <v>5.1076524641914389</v>
      </c>
      <c r="V24" s="46"/>
    </row>
    <row r="25" spans="1:22" ht="15.75">
      <c r="A25" s="246">
        <f t="shared" si="5"/>
        <v>14</v>
      </c>
      <c r="B25" s="245" t="s">
        <v>1128</v>
      </c>
      <c r="C25" s="247" t="s">
        <v>1129</v>
      </c>
      <c r="D25" s="35">
        <v>500000000</v>
      </c>
      <c r="E25" s="154" t="s">
        <v>1106</v>
      </c>
      <c r="F25" s="154">
        <v>45184</v>
      </c>
      <c r="G25" s="154">
        <v>45366</v>
      </c>
      <c r="H25"/>
      <c r="I25"/>
      <c r="J25"/>
      <c r="K25"/>
      <c r="L25"/>
      <c r="M25"/>
      <c r="N25"/>
      <c r="O25"/>
      <c r="P25"/>
      <c r="Q25"/>
      <c r="R25" s="248">
        <f t="shared" si="0"/>
        <v>91</v>
      </c>
      <c r="S25" s="35">
        <v>16875000</v>
      </c>
      <c r="T25" s="132">
        <f t="shared" si="3"/>
        <v>5.1025499142771616E-2</v>
      </c>
      <c r="U25" s="38">
        <f t="shared" si="4"/>
        <v>4.6433204219922173</v>
      </c>
      <c r="V25" s="46"/>
    </row>
    <row r="26" spans="1:22" ht="15.75">
      <c r="A26" s="246">
        <f t="shared" si="5"/>
        <v>15</v>
      </c>
      <c r="B26" s="245" t="s">
        <v>1130</v>
      </c>
      <c r="C26" s="247" t="s">
        <v>1131</v>
      </c>
      <c r="D26" s="35">
        <v>600000000</v>
      </c>
      <c r="E26" s="154" t="s">
        <v>1106</v>
      </c>
      <c r="F26" s="154">
        <v>45153</v>
      </c>
      <c r="G26" s="154">
        <v>45337</v>
      </c>
      <c r="H26"/>
      <c r="I26"/>
      <c r="J26"/>
      <c r="K26"/>
      <c r="L26"/>
      <c r="M26"/>
      <c r="N26"/>
      <c r="O26"/>
      <c r="P26"/>
      <c r="Q26"/>
      <c r="R26" s="248">
        <f t="shared" si="0"/>
        <v>92</v>
      </c>
      <c r="S26" s="35">
        <v>17100000</v>
      </c>
      <c r="T26" s="132">
        <f t="shared" si="3"/>
        <v>5.1705839131341899E-2</v>
      </c>
      <c r="U26" s="38">
        <f t="shared" si="4"/>
        <v>4.7569372000834544</v>
      </c>
      <c r="V26" s="46"/>
    </row>
    <row r="27" spans="1:22" ht="15.75">
      <c r="A27" s="246">
        <f t="shared" si="5"/>
        <v>16</v>
      </c>
      <c r="B27" s="245" t="s">
        <v>1132</v>
      </c>
      <c r="C27" s="247" t="s">
        <v>1131</v>
      </c>
      <c r="D27" s="35">
        <v>500000000</v>
      </c>
      <c r="E27" s="154" t="s">
        <v>1106</v>
      </c>
      <c r="F27" s="154">
        <v>45214</v>
      </c>
      <c r="G27" s="154">
        <v>45397</v>
      </c>
      <c r="H27"/>
      <c r="I27"/>
      <c r="J27"/>
      <c r="K27"/>
      <c r="L27"/>
      <c r="M27"/>
      <c r="N27"/>
      <c r="O27"/>
      <c r="P27"/>
      <c r="Q27"/>
      <c r="R27" s="248">
        <f t="shared" si="0"/>
        <v>91.5</v>
      </c>
      <c r="S27" s="35">
        <v>28750000</v>
      </c>
      <c r="T27" s="132">
        <f t="shared" si="3"/>
        <v>8.6932331872870153E-2</v>
      </c>
      <c r="U27" s="38">
        <f t="shared" si="4"/>
        <v>7.9543083663676191</v>
      </c>
      <c r="V27" s="46"/>
    </row>
    <row r="28" spans="1:22" ht="15.75">
      <c r="A28" s="246">
        <f t="shared" si="5"/>
        <v>17</v>
      </c>
      <c r="B28" s="245" t="s">
        <v>1133</v>
      </c>
      <c r="C28" s="247" t="s">
        <v>1134</v>
      </c>
      <c r="D28" s="35">
        <v>500000000</v>
      </c>
      <c r="E28" s="154" t="s">
        <v>1106</v>
      </c>
      <c r="F28" s="154">
        <v>45245</v>
      </c>
      <c r="G28" s="154">
        <v>45427</v>
      </c>
      <c r="H28"/>
      <c r="I28"/>
      <c r="J28"/>
      <c r="K28"/>
      <c r="L28"/>
      <c r="M28"/>
      <c r="N28"/>
      <c r="O28"/>
      <c r="P28"/>
      <c r="Q28"/>
      <c r="R28" s="248">
        <f t="shared" si="0"/>
        <v>91</v>
      </c>
      <c r="S28" s="35">
        <v>31000000</v>
      </c>
      <c r="T28" s="132">
        <f t="shared" si="3"/>
        <v>9.373573175857304E-2</v>
      </c>
      <c r="U28" s="38">
        <f t="shared" si="4"/>
        <v>8.5299515900301461</v>
      </c>
      <c r="V28" s="46"/>
    </row>
    <row r="29" spans="1:22" ht="15.75">
      <c r="A29" s="246">
        <f t="shared" si="5"/>
        <v>18</v>
      </c>
      <c r="B29" s="245"/>
      <c r="C29" s="136"/>
      <c r="D29" s="136"/>
      <c r="E29" s="35"/>
      <c r="F29" s="156"/>
      <c r="G29" s="150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7"/>
      <c r="T29" s="136"/>
      <c r="U29" s="136"/>
      <c r="V29" s="46"/>
    </row>
    <row r="30" spans="1:22" ht="16.5" thickBot="1">
      <c r="A30" s="246">
        <f t="shared" si="5"/>
        <v>19</v>
      </c>
      <c r="B30" s="157" t="s">
        <v>24</v>
      </c>
      <c r="C30" s="136"/>
      <c r="D30" s="136"/>
      <c r="E30" s="35"/>
      <c r="F30" s="156"/>
      <c r="G30" s="150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251">
        <f>SUM(S12:S29)</f>
        <v>330717000</v>
      </c>
      <c r="T30" s="249">
        <f>SUM(T12:T29)</f>
        <v>1</v>
      </c>
      <c r="U30" s="250">
        <f>SUM(U12:U29)</f>
        <v>91.401180616660156</v>
      </c>
      <c r="V30" s="46"/>
    </row>
    <row r="31" spans="1:22" ht="15.75" thickTop="1">
      <c r="A31" s="136"/>
      <c r="B31" s="136"/>
      <c r="C31" s="136"/>
      <c r="D31" s="136"/>
      <c r="E31" s="35"/>
      <c r="F31" s="156"/>
      <c r="G31" s="150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7"/>
      <c r="T31" s="136"/>
      <c r="U31" s="136"/>
      <c r="V31" s="46"/>
    </row>
    <row r="32" spans="1:22" ht="16.5">
      <c r="A32" s="77"/>
      <c r="B32" s="78"/>
      <c r="C32" s="78"/>
      <c r="D32" s="78"/>
      <c r="E32" s="76"/>
      <c r="F32" s="220"/>
      <c r="G32" s="221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222"/>
      <c r="T32" s="78"/>
      <c r="U32" s="78"/>
    </row>
    <row r="33" spans="1:21" ht="16.5">
      <c r="A33" s="77"/>
      <c r="B33" s="78"/>
      <c r="C33" s="78"/>
      <c r="D33" s="78"/>
      <c r="E33" s="76"/>
      <c r="F33" s="220"/>
      <c r="G33" s="221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222"/>
      <c r="T33" s="78"/>
      <c r="U33" s="78"/>
    </row>
    <row r="34" spans="1:21" ht="16.5">
      <c r="A34" s="78"/>
      <c r="B34" s="78"/>
      <c r="C34" s="78"/>
      <c r="D34" s="78"/>
      <c r="E34" s="76"/>
      <c r="F34" s="220"/>
      <c r="G34" s="221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222"/>
      <c r="T34" s="78"/>
      <c r="U34" s="78"/>
    </row>
    <row r="35" spans="1:21" ht="16.5">
      <c r="A35" s="78"/>
      <c r="B35" s="78"/>
      <c r="C35" s="78"/>
      <c r="D35" s="78"/>
      <c r="E35" s="76"/>
      <c r="F35" s="223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222"/>
    </row>
    <row r="36" spans="1:21" ht="16.5">
      <c r="A36" s="78"/>
      <c r="B36" s="78"/>
      <c r="C36" s="78"/>
      <c r="D36" s="78"/>
      <c r="E36" s="76"/>
      <c r="F36" s="223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22"/>
    </row>
    <row r="37" spans="1:21" ht="16.5">
      <c r="A37" s="78"/>
      <c r="B37" s="78"/>
      <c r="C37" s="78"/>
      <c r="D37" s="78"/>
      <c r="E37" s="76"/>
      <c r="F37" s="223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222"/>
    </row>
    <row r="38" spans="1:21" ht="16.5">
      <c r="A38" s="78"/>
      <c r="B38" s="78"/>
      <c r="C38" s="78"/>
      <c r="D38" s="78"/>
      <c r="E38" s="76"/>
      <c r="F38" s="223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222"/>
    </row>
    <row r="39" spans="1:21" ht="16.5">
      <c r="A39" s="78"/>
      <c r="B39" s="78"/>
      <c r="C39" s="78"/>
      <c r="D39" s="78"/>
      <c r="E39" s="76"/>
      <c r="F39" s="223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222"/>
    </row>
    <row r="40" spans="1:21" ht="16.5">
      <c r="A40" s="78"/>
      <c r="B40" s="78"/>
      <c r="C40" s="78"/>
      <c r="D40" s="78"/>
      <c r="E40" s="76"/>
      <c r="F40" s="223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222"/>
    </row>
    <row r="41" spans="1:21" ht="16.5">
      <c r="A41" s="78"/>
      <c r="B41" s="78"/>
      <c r="C41" s="78"/>
      <c r="D41" s="78"/>
      <c r="E41" s="76"/>
      <c r="F41" s="223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222"/>
    </row>
    <row r="42" spans="1:21" ht="16.5">
      <c r="A42" s="78"/>
      <c r="B42" s="78"/>
      <c r="C42" s="78"/>
      <c r="D42" s="78"/>
      <c r="E42" s="76"/>
      <c r="F42" s="223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222"/>
    </row>
    <row r="43" spans="1:21" ht="16.5">
      <c r="A43" s="78"/>
      <c r="B43" s="78"/>
      <c r="C43" s="78"/>
      <c r="D43" s="78"/>
      <c r="E43" s="76"/>
      <c r="F43" s="223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222"/>
    </row>
    <row r="44" spans="1:21" ht="16.5">
      <c r="A44" s="78"/>
      <c r="B44" s="78"/>
      <c r="C44" s="78"/>
      <c r="D44" s="78"/>
      <c r="E44" s="76"/>
      <c r="F44" s="223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222"/>
    </row>
    <row r="45" spans="1:21" ht="16.5">
      <c r="A45" s="78"/>
      <c r="B45" s="78"/>
      <c r="C45" s="78"/>
      <c r="D45" s="78"/>
      <c r="E45" s="76"/>
      <c r="F45" s="223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222"/>
    </row>
    <row r="46" spans="1:21" ht="16.5">
      <c r="A46" s="78"/>
      <c r="B46" s="78"/>
      <c r="C46" s="78"/>
      <c r="D46" s="78"/>
      <c r="E46" s="76"/>
      <c r="F46" s="223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222"/>
    </row>
    <row r="47" spans="1:21" ht="16.5">
      <c r="A47" s="78"/>
      <c r="B47" s="78"/>
      <c r="C47" s="78"/>
      <c r="D47" s="78"/>
      <c r="E47" s="76"/>
      <c r="F47" s="223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222"/>
    </row>
    <row r="48" spans="1:21" ht="16.5">
      <c r="A48" s="78"/>
      <c r="B48" s="78"/>
      <c r="C48" s="78"/>
      <c r="D48" s="78"/>
      <c r="E48" s="76"/>
      <c r="F48" s="223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222"/>
    </row>
    <row r="49" spans="1:21" ht="16.5">
      <c r="A49" s="78"/>
      <c r="B49" s="78"/>
      <c r="C49" s="78"/>
      <c r="D49" s="78"/>
      <c r="E49" s="76"/>
      <c r="F49" s="223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222"/>
    </row>
    <row r="50" spans="1:21" ht="16.5">
      <c r="A50" s="78"/>
      <c r="B50" s="78"/>
      <c r="C50" s="78"/>
      <c r="D50" s="78"/>
      <c r="E50" s="76"/>
      <c r="F50" s="223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222"/>
    </row>
    <row r="51" spans="1:21" ht="16.5">
      <c r="A51" s="78"/>
      <c r="B51" s="78"/>
      <c r="C51" s="78"/>
      <c r="D51" s="78"/>
      <c r="E51" s="76"/>
      <c r="F51" s="223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222"/>
    </row>
    <row r="52" spans="1:21" ht="16.5">
      <c r="A52" s="78"/>
      <c r="B52" s="78"/>
      <c r="C52" s="78"/>
      <c r="D52" s="78"/>
      <c r="E52" s="76"/>
      <c r="F52" s="223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222"/>
    </row>
    <row r="53" spans="1:21" ht="16.5">
      <c r="A53" s="78"/>
      <c r="B53" s="78"/>
      <c r="C53" s="78"/>
      <c r="D53" s="78"/>
      <c r="E53" s="76"/>
      <c r="F53" s="223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222"/>
    </row>
    <row r="54" spans="1:21" ht="16.5">
      <c r="A54" s="78"/>
      <c r="B54" s="78"/>
      <c r="C54" s="78"/>
      <c r="D54" s="78"/>
      <c r="E54" s="76"/>
      <c r="F54" s="223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222"/>
    </row>
    <row r="55" spans="1:21" ht="16.5">
      <c r="A55" s="78"/>
      <c r="B55" s="78"/>
      <c r="C55" s="78"/>
      <c r="D55" s="78"/>
      <c r="E55" s="76"/>
      <c r="F55" s="223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222"/>
    </row>
    <row r="56" spans="1:21" ht="16.5">
      <c r="A56" s="78"/>
      <c r="B56" s="78"/>
      <c r="C56" s="78"/>
      <c r="D56" s="78"/>
      <c r="E56" s="76"/>
      <c r="F56" s="223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222"/>
    </row>
    <row r="57" spans="1:21" ht="16.5">
      <c r="A57" s="78"/>
      <c r="B57" s="78"/>
      <c r="C57" s="78"/>
      <c r="D57" s="78"/>
      <c r="E57" s="76"/>
      <c r="F57" s="223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222"/>
    </row>
    <row r="58" spans="1:21" ht="16.5">
      <c r="A58" s="78"/>
      <c r="B58" s="78"/>
      <c r="C58" s="78"/>
      <c r="D58" s="78"/>
      <c r="E58" s="76"/>
      <c r="F58" s="223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222"/>
    </row>
    <row r="59" spans="1:21" ht="16.5">
      <c r="A59" s="78"/>
      <c r="B59" s="78"/>
      <c r="C59" s="78"/>
      <c r="D59" s="78"/>
      <c r="E59" s="76"/>
      <c r="F59" s="223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222"/>
    </row>
    <row r="60" spans="1:21" ht="16.5">
      <c r="A60" s="78"/>
      <c r="B60" s="78"/>
      <c r="C60" s="78"/>
      <c r="D60" s="78"/>
      <c r="E60" s="76"/>
      <c r="F60" s="223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222"/>
    </row>
    <row r="61" spans="1:21" ht="16.5">
      <c r="A61" s="78"/>
      <c r="B61" s="78"/>
      <c r="C61" s="78"/>
      <c r="D61" s="78"/>
      <c r="E61" s="76"/>
      <c r="F61" s="223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222"/>
    </row>
    <row r="62" spans="1:21" ht="16.5">
      <c r="A62" s="78"/>
      <c r="B62" s="78"/>
      <c r="C62" s="78"/>
      <c r="D62" s="78"/>
      <c r="E62" s="76"/>
      <c r="F62" s="223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222"/>
    </row>
    <row r="63" spans="1:21" ht="16.5">
      <c r="A63" s="78"/>
      <c r="B63" s="78"/>
      <c r="C63" s="78"/>
      <c r="D63" s="78"/>
      <c r="E63" s="76"/>
      <c r="F63" s="223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222"/>
    </row>
    <row r="64" spans="1:21" ht="16.5">
      <c r="A64" s="78"/>
      <c r="B64" s="78"/>
      <c r="C64" s="78"/>
      <c r="D64" s="78"/>
      <c r="E64" s="76"/>
      <c r="F64" s="223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222"/>
    </row>
    <row r="65" spans="1:21" ht="16.5">
      <c r="A65" s="78"/>
      <c r="B65" s="78"/>
      <c r="C65" s="78"/>
      <c r="D65" s="78"/>
      <c r="E65" s="76"/>
      <c r="F65" s="223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222"/>
    </row>
    <row r="66" spans="1:21" ht="16.5">
      <c r="A66" s="78"/>
      <c r="B66" s="78"/>
      <c r="C66" s="78"/>
      <c r="D66" s="78"/>
      <c r="E66" s="76"/>
      <c r="F66" s="223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222"/>
    </row>
    <row r="67" spans="1:21" ht="16.5">
      <c r="A67" s="78"/>
      <c r="B67" s="78"/>
      <c r="C67" s="78"/>
      <c r="D67" s="78"/>
      <c r="E67" s="76"/>
      <c r="F67" s="223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222"/>
    </row>
    <row r="68" spans="1:21" ht="16.5">
      <c r="A68" s="78"/>
      <c r="B68" s="78"/>
      <c r="C68" s="78"/>
      <c r="D68" s="78"/>
      <c r="E68" s="76"/>
      <c r="F68" s="223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222"/>
    </row>
    <row r="69" spans="1:21" ht="16.5">
      <c r="A69" s="78"/>
      <c r="B69" s="78"/>
      <c r="C69" s="78"/>
      <c r="D69" s="78"/>
      <c r="E69" s="76"/>
      <c r="F69" s="223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222"/>
    </row>
    <row r="70" spans="1:21" ht="16.5">
      <c r="A70" s="78"/>
      <c r="B70" s="78"/>
      <c r="C70" s="78"/>
      <c r="D70" s="78"/>
      <c r="E70" s="76"/>
      <c r="F70" s="223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222"/>
    </row>
    <row r="71" spans="1:21" ht="16.5">
      <c r="A71" s="78"/>
      <c r="B71" s="78"/>
      <c r="C71" s="78"/>
      <c r="D71" s="78"/>
      <c r="E71" s="76"/>
      <c r="F71" s="223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222"/>
    </row>
    <row r="72" spans="1:21" ht="16.5">
      <c r="A72" s="78"/>
      <c r="B72" s="78"/>
      <c r="C72" s="78"/>
      <c r="D72" s="78"/>
      <c r="E72" s="76"/>
      <c r="F72" s="223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222"/>
    </row>
    <row r="73" spans="1:21" ht="16.5">
      <c r="A73" s="78"/>
      <c r="B73" s="78"/>
      <c r="C73" s="78"/>
      <c r="D73" s="78"/>
      <c r="E73" s="76"/>
      <c r="F73" s="223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222"/>
    </row>
    <row r="74" spans="1:21" ht="16.5">
      <c r="A74" s="78"/>
      <c r="B74" s="78"/>
      <c r="C74" s="78"/>
      <c r="D74" s="78"/>
      <c r="E74" s="76"/>
      <c r="F74" s="223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222"/>
    </row>
    <row r="75" spans="1:21" ht="16.5">
      <c r="A75" s="78"/>
      <c r="B75" s="78"/>
      <c r="C75" s="78"/>
      <c r="D75" s="78"/>
      <c r="E75" s="76"/>
      <c r="F75" s="223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222"/>
    </row>
    <row r="76" spans="1:21" ht="16.5">
      <c r="A76" s="78"/>
      <c r="B76" s="78"/>
      <c r="C76" s="78"/>
      <c r="D76" s="78"/>
      <c r="E76" s="76"/>
      <c r="F76" s="223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222"/>
    </row>
    <row r="77" spans="1:21" ht="16.5">
      <c r="A77" s="78"/>
      <c r="B77" s="78"/>
      <c r="C77" s="78"/>
      <c r="D77" s="78"/>
      <c r="E77" s="76"/>
      <c r="F77" s="223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222"/>
    </row>
    <row r="78" spans="1:21" ht="16.5">
      <c r="A78" s="78"/>
      <c r="B78" s="78"/>
      <c r="C78" s="78"/>
      <c r="D78" s="78"/>
      <c r="E78" s="76"/>
      <c r="F78" s="223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222"/>
    </row>
    <row r="79" spans="1:21" ht="16.5">
      <c r="A79" s="78"/>
      <c r="B79" s="78"/>
      <c r="C79" s="78"/>
      <c r="D79" s="78"/>
      <c r="E79" s="76"/>
      <c r="F79" s="223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222"/>
    </row>
    <row r="80" spans="1:21" ht="16.5">
      <c r="A80" s="78"/>
      <c r="B80" s="78"/>
      <c r="C80" s="78"/>
      <c r="D80" s="78"/>
      <c r="E80" s="76"/>
      <c r="F80" s="223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222"/>
    </row>
    <row r="81" spans="1:21" ht="16.5">
      <c r="A81" s="78"/>
      <c r="B81" s="78"/>
      <c r="C81" s="78"/>
      <c r="D81" s="78"/>
      <c r="E81" s="76"/>
      <c r="F81" s="223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222"/>
    </row>
    <row r="82" spans="1:21" ht="16.5">
      <c r="A82" s="78"/>
      <c r="B82" s="78"/>
      <c r="C82" s="78"/>
      <c r="D82" s="78"/>
      <c r="E82" s="76"/>
      <c r="F82" s="223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222"/>
    </row>
    <row r="83" spans="1:21" ht="16.5">
      <c r="A83" s="78"/>
      <c r="B83" s="78"/>
      <c r="C83" s="78"/>
      <c r="D83" s="78"/>
      <c r="E83" s="76"/>
      <c r="F83" s="223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222"/>
    </row>
    <row r="84" spans="1:21" ht="16.5">
      <c r="A84" s="78"/>
      <c r="B84" s="78"/>
      <c r="C84" s="78"/>
      <c r="D84" s="78"/>
      <c r="E84" s="76"/>
      <c r="F84" s="223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222"/>
    </row>
    <row r="85" spans="1:21" ht="16.5">
      <c r="A85" s="78"/>
      <c r="B85" s="78"/>
      <c r="C85" s="78"/>
      <c r="D85" s="78"/>
      <c r="E85" s="76"/>
      <c r="F85" s="223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222"/>
    </row>
    <row r="86" spans="1:21" ht="16.5">
      <c r="A86" s="78"/>
      <c r="B86" s="78"/>
      <c r="C86" s="78"/>
      <c r="D86" s="78"/>
      <c r="E86" s="76"/>
      <c r="F86" s="223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222"/>
    </row>
    <row r="87" spans="1:21" ht="16.5">
      <c r="A87" s="78"/>
      <c r="B87" s="78"/>
      <c r="C87" s="78"/>
      <c r="D87" s="78"/>
      <c r="E87" s="76"/>
      <c r="F87" s="223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222"/>
    </row>
    <row r="88" spans="1:21" ht="16.5">
      <c r="A88" s="78"/>
      <c r="B88" s="78"/>
      <c r="C88" s="78"/>
      <c r="D88" s="78"/>
      <c r="E88" s="76"/>
      <c r="F88" s="223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222"/>
    </row>
    <row r="89" spans="1:21">
      <c r="E89" s="7"/>
      <c r="F89" s="224"/>
    </row>
    <row r="90" spans="1:21">
      <c r="E90" s="7"/>
      <c r="F90" s="224"/>
    </row>
    <row r="91" spans="1:21">
      <c r="E91" s="7"/>
      <c r="F91" s="224"/>
    </row>
    <row r="92" spans="1:21">
      <c r="E92" s="7"/>
      <c r="F92" s="224"/>
    </row>
    <row r="93" spans="1:21">
      <c r="E93" s="7"/>
      <c r="F93" s="224"/>
    </row>
    <row r="94" spans="1:21">
      <c r="E94" s="7"/>
      <c r="F94" s="224"/>
    </row>
    <row r="95" spans="1:21">
      <c r="E95" s="7"/>
      <c r="F95" s="224"/>
    </row>
    <row r="96" spans="1:21">
      <c r="E96" s="7"/>
      <c r="F96" s="224"/>
    </row>
    <row r="97" spans="5:6">
      <c r="E97" s="7"/>
      <c r="F97" s="224"/>
    </row>
    <row r="98" spans="5:6">
      <c r="E98" s="7"/>
      <c r="F98" s="224"/>
    </row>
    <row r="99" spans="5:6">
      <c r="E99" s="7"/>
      <c r="F99" s="224"/>
    </row>
    <row r="100" spans="5:6">
      <c r="E100" s="7"/>
      <c r="F100" s="224"/>
    </row>
    <row r="101" spans="5:6">
      <c r="E101" s="7"/>
      <c r="F101" s="224"/>
    </row>
    <row r="102" spans="5:6">
      <c r="E102" s="7"/>
      <c r="F102" s="224"/>
    </row>
    <row r="103" spans="5:6">
      <c r="E103" s="7"/>
      <c r="F103" s="224"/>
    </row>
    <row r="104" spans="5:6">
      <c r="E104" s="7"/>
      <c r="F104" s="224"/>
    </row>
    <row r="105" spans="5:6">
      <c r="E105" s="7"/>
      <c r="F105" s="224"/>
    </row>
    <row r="106" spans="5:6">
      <c r="E106" s="7"/>
      <c r="F106" s="224"/>
    </row>
    <row r="107" spans="5:6">
      <c r="E107" s="7"/>
      <c r="F107" s="224"/>
    </row>
    <row r="108" spans="5:6">
      <c r="E108" s="7"/>
      <c r="F108" s="224"/>
    </row>
    <row r="109" spans="5:6">
      <c r="E109" s="7"/>
      <c r="F109" s="224"/>
    </row>
    <row r="110" spans="5:6">
      <c r="E110" s="7"/>
      <c r="F110" s="224"/>
    </row>
    <row r="111" spans="5:6">
      <c r="E111" s="7"/>
      <c r="F111" s="224"/>
    </row>
    <row r="112" spans="5:6">
      <c r="E112" s="7"/>
      <c r="F112" s="224"/>
    </row>
    <row r="113" spans="5:6">
      <c r="E113" s="7"/>
      <c r="F113" s="224"/>
    </row>
    <row r="114" spans="5:6">
      <c r="E114" s="7"/>
      <c r="F114" s="224"/>
    </row>
    <row r="115" spans="5:6">
      <c r="E115" s="7"/>
      <c r="F115" s="224"/>
    </row>
    <row r="116" spans="5:6">
      <c r="E116" s="7"/>
      <c r="F116" s="224"/>
    </row>
    <row r="117" spans="5:6">
      <c r="E117" s="7"/>
      <c r="F117" s="224"/>
    </row>
    <row r="118" spans="5:6">
      <c r="E118" s="7"/>
      <c r="F118" s="224"/>
    </row>
    <row r="119" spans="5:6">
      <c r="E119" s="7"/>
      <c r="F119" s="224"/>
    </row>
    <row r="120" spans="5:6">
      <c r="E120" s="7"/>
      <c r="F120" s="224"/>
    </row>
    <row r="121" spans="5:6">
      <c r="E121" s="7"/>
      <c r="F121" s="224"/>
    </row>
    <row r="122" spans="5:6">
      <c r="E122" s="7"/>
      <c r="F122" s="224"/>
    </row>
    <row r="123" spans="5:6">
      <c r="E123" s="7"/>
      <c r="F123" s="224"/>
    </row>
    <row r="124" spans="5:6">
      <c r="E124" s="7"/>
      <c r="F124" s="224"/>
    </row>
    <row r="125" spans="5:6">
      <c r="E125" s="7"/>
      <c r="F125" s="224"/>
    </row>
    <row r="126" spans="5:6">
      <c r="E126" s="7"/>
      <c r="F126" s="224"/>
    </row>
    <row r="127" spans="5:6">
      <c r="E127" s="7"/>
      <c r="F127" s="224"/>
    </row>
    <row r="128" spans="5:6">
      <c r="E128" s="7"/>
      <c r="F128" s="224"/>
    </row>
    <row r="129" spans="5:6">
      <c r="E129" s="7"/>
      <c r="F129" s="224"/>
    </row>
    <row r="130" spans="5:6">
      <c r="E130" s="7"/>
      <c r="F130" s="224"/>
    </row>
    <row r="131" spans="5:6">
      <c r="E131" s="7"/>
      <c r="F131" s="224"/>
    </row>
    <row r="132" spans="5:6">
      <c r="E132" s="7"/>
      <c r="F132" s="224"/>
    </row>
    <row r="133" spans="5:6">
      <c r="E133" s="7"/>
      <c r="F133" s="224"/>
    </row>
    <row r="134" spans="5:6">
      <c r="E134" s="7"/>
      <c r="F134" s="224"/>
    </row>
    <row r="135" spans="5:6">
      <c r="E135" s="7"/>
      <c r="F135" s="224"/>
    </row>
    <row r="136" spans="5:6">
      <c r="E136" s="7"/>
      <c r="F136" s="224"/>
    </row>
    <row r="137" spans="5:6">
      <c r="E137" s="7"/>
      <c r="F137" s="224"/>
    </row>
    <row r="138" spans="5:6">
      <c r="E138" s="7"/>
      <c r="F138" s="224"/>
    </row>
    <row r="139" spans="5:6">
      <c r="E139" s="7"/>
      <c r="F139" s="224"/>
    </row>
    <row r="140" spans="5:6">
      <c r="E140" s="7"/>
      <c r="F140" s="224"/>
    </row>
    <row r="141" spans="5:6">
      <c r="E141" s="7"/>
      <c r="F141" s="224"/>
    </row>
    <row r="142" spans="5:6">
      <c r="E142" s="7"/>
      <c r="F142" s="224"/>
    </row>
    <row r="143" spans="5:6">
      <c r="E143" s="7"/>
      <c r="F143" s="224"/>
    </row>
    <row r="144" spans="5:6">
      <c r="E144" s="7"/>
      <c r="F144" s="224"/>
    </row>
    <row r="145" spans="5:6">
      <c r="E145" s="7"/>
      <c r="F145" s="224"/>
    </row>
    <row r="146" spans="5:6">
      <c r="E146" s="7"/>
      <c r="F146" s="224"/>
    </row>
    <row r="147" spans="5:6">
      <c r="E147" s="7"/>
      <c r="F147" s="224"/>
    </row>
    <row r="148" spans="5:6">
      <c r="E148" s="7"/>
      <c r="F148" s="224"/>
    </row>
    <row r="149" spans="5:6">
      <c r="E149" s="7"/>
      <c r="F149" s="224"/>
    </row>
    <row r="150" spans="5:6">
      <c r="E150" s="7"/>
      <c r="F150" s="224"/>
    </row>
    <row r="151" spans="5:6">
      <c r="E151" s="7"/>
      <c r="F151" s="224"/>
    </row>
    <row r="152" spans="5:6">
      <c r="E152" s="7"/>
      <c r="F152" s="224"/>
    </row>
    <row r="153" spans="5:6">
      <c r="E153" s="7"/>
      <c r="F153" s="224"/>
    </row>
    <row r="154" spans="5:6">
      <c r="E154" s="7"/>
      <c r="F154" s="224"/>
    </row>
    <row r="155" spans="5:6">
      <c r="E155" s="7"/>
      <c r="F155" s="224"/>
    </row>
    <row r="156" spans="5:6">
      <c r="E156" s="7"/>
      <c r="F156" s="224"/>
    </row>
    <row r="157" spans="5:6">
      <c r="E157" s="7"/>
      <c r="F157" s="224"/>
    </row>
    <row r="158" spans="5:6">
      <c r="E158" s="7"/>
      <c r="F158" s="224"/>
    </row>
    <row r="159" spans="5:6">
      <c r="E159" s="7"/>
      <c r="F159" s="224"/>
    </row>
    <row r="160" spans="5:6">
      <c r="E160" s="7"/>
      <c r="F160" s="224"/>
    </row>
    <row r="161" spans="5:6">
      <c r="E161" s="7"/>
      <c r="F161" s="224"/>
    </row>
    <row r="162" spans="5:6">
      <c r="E162" s="7"/>
      <c r="F162" s="224"/>
    </row>
    <row r="163" spans="5:6">
      <c r="E163" s="7"/>
      <c r="F163" s="224"/>
    </row>
    <row r="164" spans="5:6">
      <c r="E164" s="7"/>
      <c r="F164" s="224"/>
    </row>
    <row r="165" spans="5:6">
      <c r="E165" s="7"/>
      <c r="F165" s="224"/>
    </row>
    <row r="166" spans="5:6">
      <c r="E166" s="7"/>
      <c r="F166" s="224"/>
    </row>
    <row r="167" spans="5:6">
      <c r="E167" s="7"/>
      <c r="F167" s="224"/>
    </row>
    <row r="168" spans="5:6">
      <c r="E168" s="7"/>
      <c r="F168" s="224"/>
    </row>
    <row r="169" spans="5:6">
      <c r="E169" s="7"/>
      <c r="F169" s="224"/>
    </row>
    <row r="170" spans="5:6">
      <c r="E170" s="7"/>
      <c r="F170" s="224"/>
    </row>
    <row r="171" spans="5:6">
      <c r="E171" s="7"/>
      <c r="F171" s="224"/>
    </row>
    <row r="172" spans="5:6">
      <c r="E172" s="7"/>
      <c r="F172" s="224"/>
    </row>
    <row r="173" spans="5:6">
      <c r="E173" s="7"/>
      <c r="F173" s="224"/>
    </row>
    <row r="174" spans="5:6">
      <c r="E174" s="7"/>
      <c r="F174" s="224"/>
    </row>
    <row r="175" spans="5:6">
      <c r="E175" s="7"/>
      <c r="F175" s="224"/>
    </row>
    <row r="176" spans="5:6">
      <c r="E176" s="7"/>
      <c r="F176" s="224"/>
    </row>
    <row r="177" spans="5:6">
      <c r="E177" s="7"/>
      <c r="F177" s="224"/>
    </row>
    <row r="178" spans="5:6">
      <c r="E178" s="7"/>
      <c r="F178" s="224"/>
    </row>
    <row r="179" spans="5:6">
      <c r="E179" s="7"/>
      <c r="F179" s="224"/>
    </row>
    <row r="180" spans="5:6">
      <c r="E180" s="7"/>
      <c r="F180" s="224"/>
    </row>
    <row r="181" spans="5:6">
      <c r="E181" s="7"/>
      <c r="F181" s="224"/>
    </row>
    <row r="182" spans="5:6">
      <c r="E182" s="7"/>
      <c r="F182" s="224"/>
    </row>
    <row r="183" spans="5:6">
      <c r="E183" s="7"/>
      <c r="F183" s="224"/>
    </row>
    <row r="184" spans="5:6">
      <c r="E184" s="7"/>
      <c r="F184" s="224"/>
    </row>
    <row r="185" spans="5:6">
      <c r="E185" s="7"/>
      <c r="F185" s="224"/>
    </row>
    <row r="186" spans="5:6">
      <c r="E186" s="7"/>
      <c r="F186" s="224"/>
    </row>
    <row r="187" spans="5:6">
      <c r="E187" s="7"/>
      <c r="F187" s="224"/>
    </row>
    <row r="188" spans="5:6">
      <c r="E188" s="7"/>
      <c r="F188" s="224"/>
    </row>
    <row r="189" spans="5:6">
      <c r="E189" s="7"/>
      <c r="F189" s="224"/>
    </row>
    <row r="190" spans="5:6">
      <c r="E190" s="7"/>
      <c r="F190" s="224"/>
    </row>
    <row r="191" spans="5:6">
      <c r="E191" s="7"/>
      <c r="F191" s="224"/>
    </row>
    <row r="192" spans="5:6">
      <c r="E192" s="7"/>
      <c r="F192" s="224"/>
    </row>
    <row r="193" spans="5:6">
      <c r="E193" s="7"/>
      <c r="F193" s="224"/>
    </row>
    <row r="194" spans="5:6">
      <c r="E194" s="7"/>
      <c r="F194" s="224"/>
    </row>
    <row r="195" spans="5:6">
      <c r="E195" s="7"/>
      <c r="F195" s="224"/>
    </row>
    <row r="196" spans="5:6">
      <c r="E196" s="7"/>
      <c r="F196" s="224"/>
    </row>
    <row r="197" spans="5:6">
      <c r="E197" s="7"/>
      <c r="F197" s="224"/>
    </row>
    <row r="198" spans="5:6">
      <c r="E198" s="7"/>
      <c r="F198" s="224"/>
    </row>
    <row r="199" spans="5:6">
      <c r="E199" s="7"/>
      <c r="F199" s="224"/>
    </row>
    <row r="200" spans="5:6">
      <c r="E200" s="7"/>
      <c r="F200" s="224"/>
    </row>
    <row r="201" spans="5:6">
      <c r="E201" s="7"/>
      <c r="F201" s="224"/>
    </row>
    <row r="202" spans="5:6">
      <c r="E202" s="7"/>
      <c r="F202" s="224"/>
    </row>
    <row r="203" spans="5:6">
      <c r="E203" s="7"/>
      <c r="F203" s="224"/>
    </row>
    <row r="204" spans="5:6">
      <c r="E204" s="7"/>
      <c r="F204" s="224"/>
    </row>
    <row r="205" spans="5:6">
      <c r="E205" s="7"/>
      <c r="F205" s="224"/>
    </row>
    <row r="206" spans="5:6">
      <c r="E206" s="7"/>
      <c r="F206" s="224"/>
    </row>
    <row r="207" spans="5:6">
      <c r="E207" s="7"/>
      <c r="F207" s="224"/>
    </row>
    <row r="208" spans="5:6">
      <c r="E208" s="7"/>
      <c r="F208" s="224"/>
    </row>
    <row r="209" spans="5:6">
      <c r="E209" s="7"/>
      <c r="F209" s="224"/>
    </row>
    <row r="210" spans="5:6">
      <c r="E210" s="7"/>
      <c r="F210" s="224"/>
    </row>
    <row r="211" spans="5:6">
      <c r="E211" s="7"/>
      <c r="F211" s="224"/>
    </row>
    <row r="212" spans="5:6">
      <c r="E212" s="7"/>
      <c r="F212" s="224"/>
    </row>
    <row r="213" spans="5:6">
      <c r="E213" s="7"/>
      <c r="F213" s="224"/>
    </row>
    <row r="214" spans="5:6">
      <c r="E214" s="7"/>
      <c r="F214" s="224"/>
    </row>
    <row r="215" spans="5:6">
      <c r="E215" s="7"/>
      <c r="F215" s="224"/>
    </row>
    <row r="216" spans="5:6">
      <c r="E216" s="7"/>
      <c r="F216" s="224"/>
    </row>
    <row r="217" spans="5:6">
      <c r="E217" s="7"/>
      <c r="F217" s="224"/>
    </row>
    <row r="218" spans="5:6">
      <c r="E218" s="7"/>
      <c r="F218" s="224"/>
    </row>
    <row r="219" spans="5:6">
      <c r="E219" s="7"/>
      <c r="F219" s="224"/>
    </row>
    <row r="220" spans="5:6">
      <c r="E220" s="7"/>
      <c r="F220" s="224"/>
    </row>
    <row r="221" spans="5:6">
      <c r="E221" s="7"/>
      <c r="F221" s="224"/>
    </row>
    <row r="222" spans="5:6">
      <c r="E222" s="7"/>
      <c r="F222" s="224"/>
    </row>
    <row r="223" spans="5:6">
      <c r="E223" s="7"/>
      <c r="F223" s="224"/>
    </row>
    <row r="224" spans="5:6">
      <c r="E224" s="7"/>
      <c r="F224" s="224"/>
    </row>
    <row r="225" spans="5:6">
      <c r="E225" s="7"/>
      <c r="F225" s="224"/>
    </row>
    <row r="226" spans="5:6">
      <c r="E226" s="7"/>
      <c r="F226" s="224"/>
    </row>
    <row r="227" spans="5:6">
      <c r="E227" s="7"/>
      <c r="F227" s="224"/>
    </row>
    <row r="228" spans="5:6">
      <c r="E228" s="7"/>
      <c r="F228" s="224"/>
    </row>
  </sheetData>
  <mergeCells count="1">
    <mergeCell ref="A4:U4"/>
  </mergeCells>
  <phoneticPr fontId="0" type="noConversion"/>
  <printOptions horizontalCentered="1"/>
  <pageMargins left="0.95" right="0.5" top="1" bottom="0.5" header="0.5" footer="0.5"/>
  <pageSetup scale="5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tabColor rgb="FF92D050"/>
    <pageSetUpPr fitToPage="1"/>
  </sheetPr>
  <dimension ref="A1:W169"/>
  <sheetViews>
    <sheetView showGridLines="0" zoomScale="85" zoomScaleNormal="85" zoomScaleSheetLayoutView="80" workbookViewId="0"/>
  </sheetViews>
  <sheetFormatPr defaultColWidth="9.625" defaultRowHeight="15.75"/>
  <cols>
    <col min="1" max="1" width="4.375" style="9" bestFit="1" customWidth="1"/>
    <col min="2" max="2" width="3.875" style="9" customWidth="1"/>
    <col min="3" max="3" width="28.25" style="9" customWidth="1"/>
    <col min="4" max="4" width="7" style="9" customWidth="1"/>
    <col min="5" max="5" width="14.375" style="9" bestFit="1" customWidth="1"/>
    <col min="6" max="6" width="16.5" style="9" bestFit="1" customWidth="1"/>
    <col min="7" max="7" width="8" style="14" customWidth="1"/>
    <col min="8" max="8" width="8.875" style="13" bestFit="1" customWidth="1"/>
    <col min="9" max="9" width="7.75" style="14" customWidth="1"/>
    <col min="10" max="10" width="10.5" style="13" bestFit="1" customWidth="1"/>
    <col min="11" max="11" width="1.375" style="9" customWidth="1"/>
    <col min="12" max="12" width="9.5" style="9" bestFit="1" customWidth="1"/>
    <col min="13" max="13" width="1.625" style="9" customWidth="1"/>
    <col min="14" max="14" width="13.375" style="9" bestFit="1" customWidth="1"/>
    <col min="15" max="15" width="2.75" style="9" customWidth="1"/>
    <col min="16" max="16" width="10.875" style="9" bestFit="1" customWidth="1"/>
    <col min="17" max="17" width="10.5" style="9" bestFit="1" customWidth="1"/>
    <col min="18" max="18" width="14" style="9" bestFit="1" customWidth="1"/>
    <col min="19" max="16384" width="9.625" style="9"/>
  </cols>
  <sheetData>
    <row r="1" spans="1:20">
      <c r="A1" s="46"/>
      <c r="B1" s="46"/>
      <c r="C1" s="46"/>
      <c r="D1" s="46"/>
      <c r="E1" s="46"/>
      <c r="F1" s="46"/>
      <c r="G1" s="58"/>
      <c r="H1" s="50"/>
      <c r="I1" s="58"/>
      <c r="J1" s="50"/>
      <c r="K1" s="46"/>
      <c r="L1" s="46"/>
      <c r="M1" s="46"/>
      <c r="N1" s="93" t="s">
        <v>171</v>
      </c>
    </row>
    <row r="2" spans="1:20">
      <c r="A2" s="165" t="str">
        <f>CONCATENATE(COMPANY,"-",JURISDICTION)</f>
        <v>Atmos Energy Corporation-Kentucky</v>
      </c>
      <c r="B2" s="47"/>
      <c r="C2" s="47"/>
      <c r="D2" s="47"/>
      <c r="E2" s="47"/>
      <c r="F2" s="47"/>
      <c r="G2" s="59"/>
      <c r="H2" s="47"/>
      <c r="I2" s="59"/>
      <c r="J2" s="47"/>
      <c r="K2" s="47"/>
      <c r="L2" s="47"/>
      <c r="M2" s="47"/>
      <c r="N2" s="47"/>
      <c r="O2" s="10"/>
    </row>
    <row r="3" spans="1:20">
      <c r="A3" s="166" t="s">
        <v>82</v>
      </c>
      <c r="B3" s="47"/>
      <c r="C3" s="47"/>
      <c r="D3" s="47"/>
      <c r="E3" s="47"/>
      <c r="F3" s="47"/>
      <c r="G3" s="59"/>
      <c r="H3" s="47"/>
      <c r="I3" s="59"/>
      <c r="J3" s="47"/>
      <c r="K3" s="47"/>
      <c r="L3" s="47"/>
      <c r="M3" s="47"/>
      <c r="N3" s="47"/>
      <c r="O3" s="10"/>
    </row>
    <row r="4" spans="1:20">
      <c r="A4" s="166" t="str">
        <f>"For Forecast Test Year Ended  "&amp;TEXT(ATTR_YEAR, "mmmm dd, yyyy")</f>
        <v>For Forecast Test Year Ended  March 31, 2026</v>
      </c>
      <c r="B4" s="47"/>
      <c r="C4" s="47"/>
      <c r="D4" s="47"/>
      <c r="E4" s="47"/>
      <c r="F4" s="47"/>
      <c r="G4" s="59"/>
      <c r="H4" s="47"/>
      <c r="I4" s="59"/>
      <c r="J4" s="47"/>
      <c r="K4" s="47"/>
      <c r="L4" s="47"/>
      <c r="M4" s="47"/>
      <c r="N4" s="47"/>
      <c r="O4" s="10"/>
    </row>
    <row r="5" spans="1:20">
      <c r="A5" s="166"/>
      <c r="B5" s="47"/>
      <c r="C5" s="47"/>
      <c r="D5" s="47"/>
      <c r="E5" s="47"/>
      <c r="F5" s="47"/>
      <c r="G5" s="59"/>
      <c r="H5" s="47"/>
      <c r="I5" s="59"/>
      <c r="J5" s="47"/>
      <c r="K5" s="47"/>
      <c r="L5" s="47"/>
      <c r="M5" s="47"/>
      <c r="N5" s="47"/>
      <c r="O5" s="10"/>
    </row>
    <row r="6" spans="1:20">
      <c r="A6" s="46"/>
      <c r="B6" s="46"/>
      <c r="C6" s="46"/>
      <c r="D6" s="46"/>
      <c r="E6" s="46"/>
      <c r="F6" s="46"/>
      <c r="G6" s="58"/>
      <c r="H6" s="50"/>
      <c r="I6" s="58"/>
      <c r="J6" s="50"/>
      <c r="K6" s="46"/>
      <c r="L6" s="46"/>
      <c r="M6" s="46"/>
      <c r="N6" s="46"/>
    </row>
    <row r="7" spans="1:20">
      <c r="A7" s="46"/>
      <c r="B7" s="48"/>
      <c r="C7" s="48"/>
      <c r="D7" s="48"/>
      <c r="E7" s="48"/>
      <c r="F7" s="49" t="s">
        <v>78</v>
      </c>
      <c r="G7" s="60"/>
      <c r="H7" s="49"/>
      <c r="I7" s="60"/>
      <c r="J7" s="49" t="s">
        <v>2</v>
      </c>
      <c r="K7" s="48"/>
      <c r="L7" s="48"/>
      <c r="M7" s="48"/>
      <c r="N7" s="49" t="s">
        <v>112</v>
      </c>
      <c r="O7" s="11"/>
    </row>
    <row r="8" spans="1:20">
      <c r="A8" s="50" t="s">
        <v>111</v>
      </c>
      <c r="B8" s="48"/>
      <c r="C8" s="48"/>
      <c r="D8" s="48"/>
      <c r="E8" s="49" t="s">
        <v>41</v>
      </c>
      <c r="F8" s="49" t="s">
        <v>86</v>
      </c>
      <c r="G8" s="61"/>
      <c r="H8" s="49" t="s">
        <v>3</v>
      </c>
      <c r="I8" s="61"/>
      <c r="J8" s="49" t="s">
        <v>43</v>
      </c>
      <c r="K8" s="49"/>
      <c r="L8" s="49" t="s">
        <v>44</v>
      </c>
      <c r="M8" s="49"/>
      <c r="N8" s="48" t="s">
        <v>117</v>
      </c>
      <c r="O8" s="12"/>
    </row>
    <row r="9" spans="1:20">
      <c r="A9" s="51" t="s">
        <v>113</v>
      </c>
      <c r="B9" s="52" t="s">
        <v>114</v>
      </c>
      <c r="C9" s="52"/>
      <c r="D9" s="52"/>
      <c r="E9" s="53" t="s">
        <v>42</v>
      </c>
      <c r="F9" s="54" t="s">
        <v>83</v>
      </c>
      <c r="G9" s="62"/>
      <c r="H9" s="53" t="s">
        <v>126</v>
      </c>
      <c r="I9" s="62"/>
      <c r="J9" s="53" t="s">
        <v>286</v>
      </c>
      <c r="K9" s="53"/>
      <c r="L9" s="54" t="s">
        <v>85</v>
      </c>
      <c r="M9" s="53"/>
      <c r="N9" s="54" t="s">
        <v>84</v>
      </c>
      <c r="O9" s="12"/>
    </row>
    <row r="10" spans="1:20">
      <c r="A10" s="46"/>
      <c r="B10" s="47" t="s">
        <v>118</v>
      </c>
      <c r="C10" s="47"/>
      <c r="D10" s="47"/>
      <c r="E10" s="50" t="s">
        <v>119</v>
      </c>
      <c r="F10" s="167" t="s">
        <v>77</v>
      </c>
      <c r="G10" s="63"/>
      <c r="H10" s="167" t="s">
        <v>121</v>
      </c>
      <c r="I10" s="50"/>
      <c r="J10" s="50" t="s">
        <v>122</v>
      </c>
      <c r="K10" s="50"/>
      <c r="L10" s="167" t="s">
        <v>123</v>
      </c>
      <c r="M10" s="50"/>
      <c r="N10" s="167" t="s">
        <v>124</v>
      </c>
      <c r="O10" s="13"/>
    </row>
    <row r="11" spans="1:20">
      <c r="A11" s="46"/>
      <c r="B11" s="46"/>
      <c r="C11" s="46"/>
      <c r="D11" s="46"/>
      <c r="E11" s="46"/>
      <c r="F11" s="46"/>
      <c r="G11" s="58"/>
      <c r="H11" s="50"/>
      <c r="I11" s="58"/>
      <c r="J11" s="50"/>
      <c r="K11" s="46"/>
      <c r="L11" s="46"/>
      <c r="M11" s="46"/>
      <c r="N11" s="46"/>
    </row>
    <row r="12" spans="1:20">
      <c r="A12" s="50">
        <f t="shared" ref="A12" si="0">1+A11</f>
        <v>1</v>
      </c>
      <c r="B12" s="46" t="s">
        <v>73</v>
      </c>
      <c r="C12" s="46"/>
      <c r="D12" s="46"/>
      <c r="E12" s="46"/>
      <c r="F12" s="46"/>
      <c r="G12" s="58"/>
      <c r="H12" s="50"/>
      <c r="I12" s="58"/>
      <c r="J12" s="50"/>
      <c r="K12" s="46"/>
      <c r="L12" s="46"/>
      <c r="M12" s="46"/>
      <c r="N12" s="46"/>
      <c r="P12" s="278"/>
      <c r="Q12" s="278"/>
      <c r="R12" s="278"/>
    </row>
    <row r="13" spans="1:20">
      <c r="A13" s="50">
        <v>2</v>
      </c>
      <c r="B13" s="46"/>
      <c r="C13" s="46" t="s">
        <v>125</v>
      </c>
      <c r="D13" s="46"/>
      <c r="E13" s="46">
        <v>87640898.071899399</v>
      </c>
      <c r="F13" s="46">
        <f>ROUND(E13/365,0)</f>
        <v>240112</v>
      </c>
      <c r="G13" s="58" t="s">
        <v>186</v>
      </c>
      <c r="H13" s="55">
        <f>'ATO-CWC2'!$C$19</f>
        <v>34.630000000000003</v>
      </c>
      <c r="I13" s="58" t="s">
        <v>187</v>
      </c>
      <c r="J13" s="55">
        <f>'ATO-CWC3'!L122</f>
        <v>39.49</v>
      </c>
      <c r="K13" s="46"/>
      <c r="L13" s="56">
        <f>H13-J13</f>
        <v>-4.8599999999999994</v>
      </c>
      <c r="M13" s="46"/>
      <c r="N13" s="46">
        <f>L13*F13</f>
        <v>-1166944.3199999998</v>
      </c>
      <c r="P13" s="169"/>
      <c r="Q13" s="226"/>
      <c r="R13" s="226"/>
    </row>
    <row r="14" spans="1:20">
      <c r="A14" s="50">
        <v>3</v>
      </c>
      <c r="B14" s="46"/>
      <c r="C14" s="46"/>
      <c r="D14" s="46"/>
      <c r="E14" s="46"/>
      <c r="F14" s="46"/>
      <c r="G14" s="58"/>
      <c r="H14" s="55"/>
      <c r="I14" s="58"/>
      <c r="J14" s="50"/>
      <c r="K14" s="46"/>
      <c r="L14" s="46"/>
      <c r="M14" s="46"/>
      <c r="N14" s="46"/>
      <c r="P14" s="169"/>
      <c r="Q14" s="226"/>
    </row>
    <row r="15" spans="1:20">
      <c r="A15" s="50">
        <v>4</v>
      </c>
      <c r="B15" s="46" t="s">
        <v>39</v>
      </c>
      <c r="C15" s="46"/>
      <c r="D15" s="46"/>
      <c r="E15" s="46"/>
      <c r="F15" s="46"/>
      <c r="G15" s="58"/>
      <c r="H15" s="55"/>
      <c r="I15" s="58"/>
      <c r="J15" s="50"/>
      <c r="K15" s="46"/>
      <c r="L15" s="46"/>
      <c r="M15" s="46"/>
      <c r="N15" s="46"/>
      <c r="P15" s="169"/>
      <c r="Q15" s="226"/>
    </row>
    <row r="16" spans="1:20">
      <c r="A16" s="50">
        <v>5</v>
      </c>
      <c r="B16" s="46"/>
      <c r="C16" s="46" t="s">
        <v>148</v>
      </c>
      <c r="D16" s="46"/>
      <c r="E16" s="46">
        <v>14070026.377474129</v>
      </c>
      <c r="F16" s="46">
        <f>ROUND(E16/365,0)</f>
        <v>38548</v>
      </c>
      <c r="G16" s="58" t="s">
        <v>186</v>
      </c>
      <c r="H16" s="55">
        <f>'ATO-CWC2'!$C$19</f>
        <v>34.630000000000003</v>
      </c>
      <c r="I16" s="58" t="s">
        <v>188</v>
      </c>
      <c r="J16" s="55">
        <f>'ATO-CWC4'!I59</f>
        <v>14.33</v>
      </c>
      <c r="K16" s="46"/>
      <c r="L16" s="56">
        <f>H16-J16</f>
        <v>20.300000000000004</v>
      </c>
      <c r="M16" s="46"/>
      <c r="N16" s="46">
        <f>L16*F16</f>
        <v>782524.40000000014</v>
      </c>
      <c r="P16" s="169"/>
      <c r="Q16"/>
      <c r="R16"/>
      <c r="S16"/>
      <c r="T16"/>
    </row>
    <row r="17" spans="1:20">
      <c r="A17" s="50">
        <v>6</v>
      </c>
      <c r="B17" s="46"/>
      <c r="C17" s="46" t="s">
        <v>149</v>
      </c>
      <c r="D17" s="46"/>
      <c r="E17" s="164">
        <f>E18-E16</f>
        <v>19602496.34256956</v>
      </c>
      <c r="F17" s="46">
        <f>ROUND(E17/365,0)</f>
        <v>53705</v>
      </c>
      <c r="G17" s="58" t="s">
        <v>186</v>
      </c>
      <c r="H17" s="55">
        <f>'ATO-CWC2'!$C$19</f>
        <v>34.630000000000003</v>
      </c>
      <c r="I17" s="58" t="s">
        <v>189</v>
      </c>
      <c r="J17" s="55">
        <f>'ATO-CWC5'!E15</f>
        <v>23.738277166036223</v>
      </c>
      <c r="K17" s="46"/>
      <c r="L17" s="56">
        <f>H17-J17</f>
        <v>10.891722833963779</v>
      </c>
      <c r="M17" s="46"/>
      <c r="N17" s="164">
        <f>L17*F17</f>
        <v>584939.97479802475</v>
      </c>
      <c r="P17" s="169"/>
      <c r="Q17" s="226"/>
      <c r="R17" s="226"/>
    </row>
    <row r="18" spans="1:20">
      <c r="A18" s="50">
        <v>7</v>
      </c>
      <c r="B18" s="46" t="s">
        <v>72</v>
      </c>
      <c r="C18" s="46"/>
      <c r="D18" s="46"/>
      <c r="E18" s="46">
        <v>33672522.720043689</v>
      </c>
      <c r="F18" s="46"/>
      <c r="G18" s="58"/>
      <c r="H18" s="55"/>
      <c r="I18" s="58"/>
      <c r="J18" s="50"/>
      <c r="K18" s="46"/>
      <c r="L18" s="46"/>
      <c r="M18" s="46"/>
      <c r="N18" s="46">
        <f>SUM(N16:N17)</f>
        <v>1367464.374798025</v>
      </c>
      <c r="P18" s="169"/>
      <c r="Q18" s="226"/>
    </row>
    <row r="19" spans="1:20">
      <c r="A19" s="50">
        <v>8</v>
      </c>
      <c r="B19" s="46"/>
      <c r="C19" s="46"/>
      <c r="D19" s="46"/>
      <c r="E19" s="46"/>
      <c r="F19" s="46"/>
      <c r="G19" s="58"/>
      <c r="H19" s="55"/>
      <c r="I19" s="58"/>
      <c r="J19" s="50"/>
      <c r="K19" s="46"/>
      <c r="L19" s="46"/>
      <c r="M19" s="46"/>
      <c r="N19" s="46"/>
      <c r="P19" s="169"/>
      <c r="Q19" s="226"/>
    </row>
    <row r="20" spans="1:20">
      <c r="A20" s="50">
        <v>9</v>
      </c>
      <c r="B20" s="46" t="s">
        <v>40</v>
      </c>
      <c r="C20" s="46"/>
      <c r="D20" s="46"/>
      <c r="E20" s="46"/>
      <c r="F20" s="46"/>
      <c r="G20" s="58"/>
      <c r="H20" s="55"/>
      <c r="I20" s="58"/>
      <c r="J20" s="50"/>
      <c r="K20" s="46"/>
      <c r="L20" s="46"/>
      <c r="M20" s="46"/>
      <c r="N20" s="46"/>
      <c r="P20" s="169"/>
      <c r="Q20" s="226"/>
    </row>
    <row r="21" spans="1:20">
      <c r="A21" s="50">
        <v>10</v>
      </c>
      <c r="B21" s="46"/>
      <c r="C21" s="46" t="s">
        <v>30</v>
      </c>
      <c r="D21" s="46"/>
      <c r="E21" s="46">
        <v>12385071.757671738</v>
      </c>
      <c r="F21" s="46">
        <f t="shared" ref="F21:F26" si="1">ROUND(E21/365,0)</f>
        <v>33932</v>
      </c>
      <c r="G21" s="58" t="s">
        <v>186</v>
      </c>
      <c r="H21" s="55">
        <f>'ATO-CWC2'!$C$19</f>
        <v>34.630000000000003</v>
      </c>
      <c r="I21" s="58" t="s">
        <v>190</v>
      </c>
      <c r="J21" s="55">
        <f>'ATO-CWC6'!$E$24</f>
        <v>278.98849309944291</v>
      </c>
      <c r="K21" s="46"/>
      <c r="L21" s="56">
        <f t="shared" ref="L21:L26" si="2">H21-J21</f>
        <v>-244.35849309944291</v>
      </c>
      <c r="M21" s="46"/>
      <c r="N21" s="46">
        <f t="shared" ref="N21:N26" si="3">L21*F21</f>
        <v>-8291572.3878502967</v>
      </c>
      <c r="P21" s="169"/>
      <c r="Q21"/>
      <c r="R21"/>
    </row>
    <row r="22" spans="1:20">
      <c r="A22" s="50">
        <v>11</v>
      </c>
      <c r="B22" s="46"/>
      <c r="C22" s="46" t="s">
        <v>227</v>
      </c>
      <c r="D22" s="46"/>
      <c r="E22" s="46">
        <v>1102</v>
      </c>
      <c r="F22" s="46">
        <f t="shared" si="1"/>
        <v>3</v>
      </c>
      <c r="G22" s="58" t="s">
        <v>186</v>
      </c>
      <c r="H22" s="55">
        <f>'ATO-CWC2'!$C$19</f>
        <v>34.630000000000003</v>
      </c>
      <c r="I22" s="58" t="s">
        <v>190</v>
      </c>
      <c r="J22" s="55">
        <f>'ATO-CWC6'!E29</f>
        <v>58.821697777196263</v>
      </c>
      <c r="K22" s="46"/>
      <c r="L22" s="56">
        <f t="shared" si="2"/>
        <v>-24.191697777196261</v>
      </c>
      <c r="M22" s="46"/>
      <c r="N22" s="46">
        <f t="shared" si="3"/>
        <v>-72.575093331588789</v>
      </c>
      <c r="P22" s="169"/>
      <c r="Q22"/>
      <c r="R22"/>
    </row>
    <row r="23" spans="1:20">
      <c r="A23" s="50">
        <v>12</v>
      </c>
      <c r="B23" s="46"/>
      <c r="C23" s="46" t="s">
        <v>71</v>
      </c>
      <c r="D23" s="46"/>
      <c r="E23" s="234">
        <v>375952.35632633284</v>
      </c>
      <c r="F23" s="46">
        <f t="shared" si="1"/>
        <v>1030</v>
      </c>
      <c r="G23" s="58" t="s">
        <v>186</v>
      </c>
      <c r="H23" s="55">
        <f>'ATO-CWC2'!$C$19</f>
        <v>34.630000000000003</v>
      </c>
      <c r="I23" s="58" t="s">
        <v>190</v>
      </c>
      <c r="J23" s="55">
        <f>'ATO-CWC6'!$E$20</f>
        <v>13.680674076730011</v>
      </c>
      <c r="K23" s="46"/>
      <c r="L23" s="56">
        <f t="shared" si="2"/>
        <v>20.949325923269992</v>
      </c>
      <c r="M23" s="46"/>
      <c r="N23" s="46">
        <f t="shared" si="3"/>
        <v>21577.805700968092</v>
      </c>
      <c r="P23"/>
      <c r="Q23"/>
      <c r="R23"/>
    </row>
    <row r="24" spans="1:20">
      <c r="A24" s="50">
        <v>13</v>
      </c>
      <c r="B24" s="46"/>
      <c r="C24" s="46" t="s">
        <v>224</v>
      </c>
      <c r="D24" s="46"/>
      <c r="E24" s="46">
        <v>9795658.3100000005</v>
      </c>
      <c r="F24" s="46">
        <f t="shared" si="1"/>
        <v>26837</v>
      </c>
      <c r="G24" s="58" t="s">
        <v>186</v>
      </c>
      <c r="H24" s="55">
        <f>'ATO-CWC2'!$C$19</f>
        <v>34.630000000000003</v>
      </c>
      <c r="I24" s="58" t="s">
        <v>190</v>
      </c>
      <c r="J24" s="55">
        <f>'ATO-CWC6'!E31</f>
        <v>40.374790215605223</v>
      </c>
      <c r="K24" s="46"/>
      <c r="L24" s="56">
        <f t="shared" si="2"/>
        <v>-5.7447902156052209</v>
      </c>
      <c r="M24" s="46"/>
      <c r="N24" s="46">
        <f t="shared" si="3"/>
        <v>-154172.9350161973</v>
      </c>
      <c r="P24" s="169"/>
      <c r="Q24"/>
      <c r="R24"/>
      <c r="S24"/>
      <c r="T24"/>
    </row>
    <row r="25" spans="1:20">
      <c r="A25" s="50">
        <v>14</v>
      </c>
      <c r="B25" s="46"/>
      <c r="C25" s="46" t="s">
        <v>208</v>
      </c>
      <c r="D25" s="46"/>
      <c r="E25" s="46">
        <v>346855.64726834325</v>
      </c>
      <c r="F25" s="46">
        <f t="shared" si="1"/>
        <v>950</v>
      </c>
      <c r="G25" s="58" t="s">
        <v>186</v>
      </c>
      <c r="H25" s="55">
        <f>'ATO-CWC2'!$C$19</f>
        <v>34.630000000000003</v>
      </c>
      <c r="I25" s="58" t="s">
        <v>190</v>
      </c>
      <c r="J25" s="55">
        <f>'ATO-CWC6'!$E$35</f>
        <v>-186.5</v>
      </c>
      <c r="K25" s="46"/>
      <c r="L25" s="56">
        <f t="shared" si="2"/>
        <v>221.13</v>
      </c>
      <c r="M25" s="46"/>
      <c r="N25" s="46">
        <f t="shared" si="3"/>
        <v>210073.5</v>
      </c>
      <c r="P25" s="169"/>
      <c r="Q25" s="226"/>
      <c r="R25" s="226"/>
    </row>
    <row r="26" spans="1:20">
      <c r="A26" s="50">
        <v>15</v>
      </c>
      <c r="B26" s="46"/>
      <c r="C26" s="46" t="s">
        <v>152</v>
      </c>
      <c r="D26" s="46"/>
      <c r="E26" s="46">
        <v>232790</v>
      </c>
      <c r="F26" s="46">
        <f t="shared" si="1"/>
        <v>638</v>
      </c>
      <c r="G26" s="58" t="s">
        <v>186</v>
      </c>
      <c r="H26" s="55">
        <f>'ATO-CWC2'!$C$19</f>
        <v>34.630000000000003</v>
      </c>
      <c r="I26" s="58" t="s">
        <v>190</v>
      </c>
      <c r="J26" s="55">
        <f>'ATO-CWC6'!E38</f>
        <v>59</v>
      </c>
      <c r="K26" s="46"/>
      <c r="L26" s="56">
        <f t="shared" si="2"/>
        <v>-24.369999999999997</v>
      </c>
      <c r="M26" s="46"/>
      <c r="N26" s="46">
        <f t="shared" si="3"/>
        <v>-15548.059999999998</v>
      </c>
      <c r="P26" s="169"/>
      <c r="Q26" s="226"/>
      <c r="R26" s="226"/>
    </row>
    <row r="27" spans="1:20">
      <c r="A27" s="50">
        <v>16</v>
      </c>
      <c r="B27" s="46"/>
      <c r="C27" s="46"/>
      <c r="D27" s="46"/>
      <c r="E27" s="46"/>
      <c r="F27" s="46"/>
      <c r="G27" s="58"/>
      <c r="H27" s="55"/>
      <c r="I27" s="58"/>
      <c r="J27" s="50"/>
      <c r="K27" s="46"/>
      <c r="L27" s="46"/>
      <c r="M27" s="46"/>
      <c r="N27" s="46"/>
      <c r="P27" s="169"/>
      <c r="Q27" s="226"/>
    </row>
    <row r="28" spans="1:20">
      <c r="A28" s="50">
        <v>17</v>
      </c>
      <c r="B28" s="46" t="s">
        <v>26</v>
      </c>
      <c r="C28" s="46"/>
      <c r="D28" s="46"/>
      <c r="E28" s="58"/>
      <c r="F28" s="46"/>
      <c r="G28" s="58"/>
      <c r="H28" s="55"/>
      <c r="I28" s="58"/>
      <c r="J28" s="50"/>
      <c r="K28" s="46"/>
      <c r="L28" s="46"/>
      <c r="M28" s="46"/>
      <c r="N28" s="46"/>
      <c r="P28" s="169"/>
      <c r="Q28" s="226"/>
    </row>
    <row r="29" spans="1:20">
      <c r="A29" s="50">
        <v>18</v>
      </c>
      <c r="B29" s="46"/>
      <c r="C29" s="46" t="s">
        <v>30</v>
      </c>
      <c r="D29" s="168"/>
      <c r="E29" s="46">
        <v>50548.863296290132</v>
      </c>
      <c r="F29" s="46">
        <f>ROUND(E29/365,0)</f>
        <v>138</v>
      </c>
      <c r="G29" s="58" t="s">
        <v>186</v>
      </c>
      <c r="H29" s="55">
        <f>'ATO-CWC2'!$C$19</f>
        <v>34.630000000000003</v>
      </c>
      <c r="I29" s="58" t="s">
        <v>190</v>
      </c>
      <c r="J29" s="55">
        <f>'ATO-CWC6'!E27</f>
        <v>213.5</v>
      </c>
      <c r="K29" s="46"/>
      <c r="L29" s="56">
        <f>H29-J29</f>
        <v>-178.87</v>
      </c>
      <c r="M29" s="46"/>
      <c r="N29" s="46">
        <f>L29*F29</f>
        <v>-24684.06</v>
      </c>
      <c r="P29" s="227"/>
      <c r="Q29" s="226"/>
      <c r="R29"/>
    </row>
    <row r="30" spans="1:20">
      <c r="A30" s="50">
        <v>19</v>
      </c>
      <c r="B30" s="46"/>
      <c r="C30" s="46" t="s">
        <v>71</v>
      </c>
      <c r="D30" s="168"/>
      <c r="E30" s="46">
        <v>299774.10985886946</v>
      </c>
      <c r="F30" s="46">
        <f>ROUND(E30/365,0)</f>
        <v>821</v>
      </c>
      <c r="G30" s="58" t="s">
        <v>186</v>
      </c>
      <c r="H30" s="55">
        <f>'ATO-CWC2'!$C$19</f>
        <v>34.630000000000003</v>
      </c>
      <c r="I30" s="58" t="s">
        <v>190</v>
      </c>
      <c r="J30" s="55">
        <f>'ATO-CWC6'!$E$20</f>
        <v>13.680674076730011</v>
      </c>
      <c r="K30" s="46"/>
      <c r="L30" s="56">
        <f>H30-J30</f>
        <v>20.949325923269992</v>
      </c>
      <c r="M30" s="46"/>
      <c r="N30" s="46">
        <f>L30*F30</f>
        <v>17199.396583004662</v>
      </c>
      <c r="P30" s="169"/>
      <c r="Q30" s="226"/>
      <c r="R30"/>
      <c r="S30" s="228"/>
    </row>
    <row r="31" spans="1:20">
      <c r="A31" s="50">
        <v>20</v>
      </c>
      <c r="B31" s="46"/>
      <c r="C31" s="46"/>
      <c r="D31" s="115"/>
      <c r="E31" s="46"/>
      <c r="F31" s="46"/>
      <c r="G31" s="58"/>
      <c r="H31" s="50"/>
      <c r="I31" s="58"/>
      <c r="J31" s="50"/>
      <c r="K31" s="46"/>
      <c r="L31" s="46"/>
      <c r="M31" s="46"/>
      <c r="N31" s="46"/>
      <c r="P31" s="13"/>
      <c r="Q31" s="226"/>
    </row>
    <row r="32" spans="1:20">
      <c r="A32" s="50">
        <v>21</v>
      </c>
      <c r="B32" s="46" t="s">
        <v>27</v>
      </c>
      <c r="C32" s="46"/>
      <c r="D32" s="115"/>
      <c r="E32" s="46"/>
      <c r="F32" s="46"/>
      <c r="G32" s="58"/>
      <c r="H32" s="50"/>
      <c r="I32" s="58"/>
      <c r="J32" s="50"/>
      <c r="K32" s="46"/>
      <c r="L32" s="46"/>
      <c r="M32" s="46"/>
      <c r="N32" s="46"/>
      <c r="P32" s="13"/>
      <c r="Q32" s="226"/>
    </row>
    <row r="33" spans="1:23">
      <c r="A33" s="50">
        <v>22</v>
      </c>
      <c r="B33" s="46"/>
      <c r="C33" s="46" t="s">
        <v>30</v>
      </c>
      <c r="D33" s="168"/>
      <c r="E33" s="46"/>
      <c r="F33" s="46">
        <f>ROUND(E33/365,0)</f>
        <v>0</v>
      </c>
      <c r="G33" s="58" t="s">
        <v>186</v>
      </c>
      <c r="H33" s="55">
        <f>'ATO-CWC2'!$C$19</f>
        <v>34.630000000000003</v>
      </c>
      <c r="I33" s="58" t="s">
        <v>190</v>
      </c>
      <c r="J33" s="55">
        <f>'ATO-CWC6'!$E$24</f>
        <v>278.98849309944291</v>
      </c>
      <c r="K33" s="46"/>
      <c r="L33" s="56">
        <f>H33-J33</f>
        <v>-244.35849309944291</v>
      </c>
      <c r="M33" s="46"/>
      <c r="N33" s="46">
        <f>L33*F33</f>
        <v>0</v>
      </c>
      <c r="P33" s="227"/>
      <c r="Q33" s="226"/>
      <c r="R33" s="226"/>
    </row>
    <row r="34" spans="1:23">
      <c r="A34" s="50">
        <v>23</v>
      </c>
      <c r="B34" s="46"/>
      <c r="C34" s="46" t="s">
        <v>71</v>
      </c>
      <c r="D34" s="168"/>
      <c r="E34" s="46">
        <v>94109.186173215508</v>
      </c>
      <c r="F34" s="46">
        <f>ROUND(E34/365,0)</f>
        <v>258</v>
      </c>
      <c r="G34" s="58" t="s">
        <v>186</v>
      </c>
      <c r="H34" s="55">
        <f>'ATO-CWC2'!$C$19</f>
        <v>34.630000000000003</v>
      </c>
      <c r="I34" s="58" t="s">
        <v>190</v>
      </c>
      <c r="J34" s="55">
        <f>'ATO-CWC6'!$E$20</f>
        <v>13.680674076730011</v>
      </c>
      <c r="K34" s="46"/>
      <c r="L34" s="56">
        <f>H34-J34</f>
        <v>20.949325923269992</v>
      </c>
      <c r="M34" s="46"/>
      <c r="N34" s="46">
        <f>L34*F34</f>
        <v>5404.9260882036579</v>
      </c>
      <c r="P34" s="169"/>
      <c r="Q34" s="226"/>
      <c r="R34" s="226"/>
    </row>
    <row r="35" spans="1:23">
      <c r="A35" s="50">
        <v>24</v>
      </c>
      <c r="B35" s="46" t="s">
        <v>50</v>
      </c>
      <c r="C35" s="46"/>
      <c r="D35" s="46"/>
      <c r="E35" s="57">
        <f>SUM(E21:E34)</f>
        <v>23581862.230594791</v>
      </c>
      <c r="F35" s="46"/>
      <c r="G35" s="58"/>
      <c r="H35" s="55"/>
      <c r="I35" s="58"/>
      <c r="J35" s="50"/>
      <c r="K35" s="46"/>
      <c r="L35" s="46"/>
      <c r="M35" s="46"/>
      <c r="N35" s="57">
        <f>SUM(N21:N34)</f>
        <v>-8231794.3895876482</v>
      </c>
      <c r="P35" s="169"/>
      <c r="Q35" s="226"/>
    </row>
    <row r="36" spans="1:23">
      <c r="A36" s="50">
        <v>25</v>
      </c>
      <c r="B36" s="46"/>
      <c r="C36" s="46"/>
      <c r="D36" s="46"/>
      <c r="E36" s="46"/>
      <c r="F36" s="46"/>
      <c r="G36" s="58"/>
      <c r="H36" s="55"/>
      <c r="I36" s="58"/>
      <c r="J36" s="50"/>
      <c r="K36" s="46"/>
      <c r="L36" s="46"/>
      <c r="M36" s="46"/>
      <c r="N36" s="46"/>
      <c r="P36" s="169"/>
      <c r="Q36" s="226"/>
    </row>
    <row r="37" spans="1:23">
      <c r="A37" s="50">
        <v>26</v>
      </c>
      <c r="B37" s="46" t="s">
        <v>147</v>
      </c>
      <c r="C37" s="46"/>
      <c r="D37" s="46"/>
      <c r="E37" s="58">
        <v>11097901.859570757</v>
      </c>
      <c r="F37" s="46"/>
      <c r="G37" s="58"/>
      <c r="H37" s="50"/>
      <c r="I37" s="58"/>
      <c r="J37" s="50"/>
      <c r="K37" s="46"/>
      <c r="L37" s="46"/>
      <c r="M37" s="46"/>
      <c r="N37" s="46"/>
      <c r="P37" s="13"/>
      <c r="Q37" s="226"/>
    </row>
    <row r="38" spans="1:23">
      <c r="A38" s="50">
        <v>27</v>
      </c>
      <c r="B38" s="46"/>
      <c r="C38" s="46" t="s">
        <v>99</v>
      </c>
      <c r="D38" s="46"/>
      <c r="E38" s="46">
        <f>E37-E39</f>
        <v>0</v>
      </c>
      <c r="F38" s="46">
        <f>ROUND(E38/365,0)</f>
        <v>0</v>
      </c>
      <c r="G38" s="58" t="s">
        <v>186</v>
      </c>
      <c r="H38" s="55">
        <f>'ATO-CWC2'!$C$19</f>
        <v>34.630000000000003</v>
      </c>
      <c r="I38" s="58" t="s">
        <v>191</v>
      </c>
      <c r="J38" s="55">
        <f>'ATO-CWC7'!$H$16</f>
        <v>38.25</v>
      </c>
      <c r="K38" s="46"/>
      <c r="L38" s="56">
        <f>H38-J38</f>
        <v>-3.6199999999999974</v>
      </c>
      <c r="M38" s="46"/>
      <c r="N38" s="46">
        <f>L38*F38</f>
        <v>0</v>
      </c>
      <c r="P38" s="169"/>
      <c r="Q38" s="226"/>
      <c r="R38" s="226"/>
    </row>
    <row r="39" spans="1:23">
      <c r="A39" s="50">
        <v>28</v>
      </c>
      <c r="B39" s="46"/>
      <c r="C39" s="46" t="s">
        <v>98</v>
      </c>
      <c r="D39" s="46"/>
      <c r="E39" s="46">
        <f>E37</f>
        <v>11097901.859570757</v>
      </c>
      <c r="F39" s="46">
        <f>ROUND(E39/365,0)</f>
        <v>30405</v>
      </c>
      <c r="G39" s="58" t="s">
        <v>186</v>
      </c>
      <c r="H39" s="55">
        <f>'ATO-CWC2'!$C$19</f>
        <v>34.630000000000003</v>
      </c>
      <c r="I39" s="58" t="s">
        <v>191</v>
      </c>
      <c r="J39" s="55">
        <v>0</v>
      </c>
      <c r="K39" s="46"/>
      <c r="L39" s="56">
        <f>H39-J39</f>
        <v>34.630000000000003</v>
      </c>
      <c r="M39" s="46"/>
      <c r="N39" s="46">
        <f>L39*F39</f>
        <v>1052925.1500000001</v>
      </c>
      <c r="P39" s="169"/>
      <c r="Q39"/>
      <c r="R39"/>
      <c r="S39"/>
      <c r="T39"/>
      <c r="U39"/>
      <c r="V39"/>
    </row>
    <row r="40" spans="1:23">
      <c r="A40" s="50">
        <v>29</v>
      </c>
      <c r="B40" s="46"/>
      <c r="C40" s="46"/>
      <c r="D40" s="46"/>
      <c r="E40" s="46"/>
      <c r="F40" s="46"/>
      <c r="G40" s="58"/>
      <c r="H40" s="55"/>
      <c r="I40" s="58"/>
      <c r="J40" s="50"/>
      <c r="K40" s="46"/>
      <c r="L40" s="46"/>
      <c r="M40" s="46"/>
      <c r="N40" s="46"/>
      <c r="P40" s="169"/>
      <c r="Q40" s="226"/>
    </row>
    <row r="41" spans="1:23">
      <c r="A41" s="50">
        <v>30</v>
      </c>
      <c r="B41" s="46" t="s">
        <v>211</v>
      </c>
      <c r="C41" s="46"/>
      <c r="D41" s="46"/>
      <c r="E41" s="46">
        <v>2832551.9537606593</v>
      </c>
      <c r="F41" s="46"/>
      <c r="G41" s="58"/>
      <c r="H41" s="50"/>
      <c r="I41" s="58"/>
      <c r="J41" s="50"/>
      <c r="K41" s="46"/>
      <c r="L41" s="46"/>
      <c r="M41" s="46"/>
      <c r="N41" s="46"/>
      <c r="P41" s="13"/>
      <c r="Q41" s="226"/>
    </row>
    <row r="42" spans="1:23">
      <c r="A42" s="50">
        <v>31</v>
      </c>
      <c r="B42" s="46"/>
      <c r="C42" s="46" t="s">
        <v>99</v>
      </c>
      <c r="D42" s="46"/>
      <c r="E42" s="46">
        <f>E41-E43</f>
        <v>0</v>
      </c>
      <c r="F42" s="46">
        <f>ROUND(E42/365,0)</f>
        <v>0</v>
      </c>
      <c r="G42" s="58" t="s">
        <v>186</v>
      </c>
      <c r="H42" s="55">
        <f>'ATO-CWC2'!$C$19</f>
        <v>34.630000000000003</v>
      </c>
      <c r="I42" s="58" t="s">
        <v>192</v>
      </c>
      <c r="J42" s="55">
        <f>'ATO-CWC8'!H16</f>
        <v>38.25</v>
      </c>
      <c r="K42" s="46"/>
      <c r="L42" s="56">
        <f>H42-J42</f>
        <v>-3.6199999999999974</v>
      </c>
      <c r="M42" s="46"/>
      <c r="N42" s="46">
        <f>L42*F42</f>
        <v>0</v>
      </c>
      <c r="P42" s="169"/>
      <c r="Q42" s="226"/>
      <c r="R42" s="226"/>
    </row>
    <row r="43" spans="1:23">
      <c r="A43" s="50">
        <v>32</v>
      </c>
      <c r="B43" s="46"/>
      <c r="C43" s="46" t="s">
        <v>98</v>
      </c>
      <c r="D43" s="46"/>
      <c r="E43" s="46">
        <f>E41</f>
        <v>2832551.9537606593</v>
      </c>
      <c r="F43" s="46">
        <f>ROUND(E43/365,0)</f>
        <v>7760</v>
      </c>
      <c r="G43" s="58" t="s">
        <v>186</v>
      </c>
      <c r="H43" s="55">
        <f>'ATO-CWC2'!$C$19</f>
        <v>34.630000000000003</v>
      </c>
      <c r="I43" s="58" t="s">
        <v>192</v>
      </c>
      <c r="J43" s="55">
        <f>'ATO-CWC8'!H17</f>
        <v>0</v>
      </c>
      <c r="K43" s="46"/>
      <c r="L43" s="56">
        <f>H43-J43</f>
        <v>34.630000000000003</v>
      </c>
      <c r="M43" s="46"/>
      <c r="N43" s="46">
        <f>L43*F43</f>
        <v>268728.80000000005</v>
      </c>
      <c r="P43" s="169"/>
      <c r="Q43"/>
      <c r="R43"/>
      <c r="S43"/>
      <c r="T43"/>
      <c r="U43"/>
      <c r="V43"/>
      <c r="W43"/>
    </row>
    <row r="44" spans="1:23">
      <c r="A44" s="50">
        <v>33</v>
      </c>
      <c r="B44" s="46"/>
      <c r="C44" s="46"/>
      <c r="D44" s="46"/>
      <c r="E44" s="46"/>
      <c r="F44" s="46"/>
      <c r="G44" s="58"/>
      <c r="H44" s="55"/>
      <c r="I44" s="58"/>
      <c r="J44" s="50"/>
      <c r="K44" s="46"/>
      <c r="L44" s="56"/>
      <c r="M44" s="46"/>
      <c r="N44" s="46"/>
      <c r="P44" s="169"/>
      <c r="Q44" s="226"/>
    </row>
    <row r="45" spans="1:23">
      <c r="A45" s="50">
        <v>34</v>
      </c>
      <c r="B45" s="46" t="s">
        <v>38</v>
      </c>
      <c r="C45" s="46"/>
      <c r="D45" s="46"/>
      <c r="E45" s="46">
        <v>22028374.895356476</v>
      </c>
      <c r="F45" s="46">
        <f>ROUND(E45/365,0)</f>
        <v>60352</v>
      </c>
      <c r="G45" s="58" t="s">
        <v>186</v>
      </c>
      <c r="H45" s="55">
        <f>'ATO-CWC2'!$C$19</f>
        <v>34.630000000000003</v>
      </c>
      <c r="I45" s="58"/>
      <c r="J45" s="50">
        <v>0</v>
      </c>
      <c r="K45" s="46"/>
      <c r="L45" s="56">
        <f>H45-J45</f>
        <v>34.630000000000003</v>
      </c>
      <c r="M45" s="46"/>
      <c r="N45" s="46">
        <f>L45*F45</f>
        <v>2089989.7600000002</v>
      </c>
      <c r="P45" s="169"/>
      <c r="Q45" s="226"/>
      <c r="R45" s="226"/>
    </row>
    <row r="46" spans="1:23">
      <c r="A46" s="50">
        <v>35</v>
      </c>
      <c r="B46" s="46"/>
      <c r="C46" s="46"/>
      <c r="D46" s="46"/>
      <c r="E46" s="46"/>
      <c r="F46" s="46"/>
      <c r="G46" s="58"/>
      <c r="H46" s="55"/>
      <c r="I46" s="58"/>
      <c r="J46" s="50"/>
      <c r="K46" s="46"/>
      <c r="L46" s="56"/>
      <c r="M46" s="46"/>
      <c r="N46" s="46"/>
      <c r="P46" s="169"/>
      <c r="Q46" s="226"/>
    </row>
    <row r="47" spans="1:23">
      <c r="A47" s="50">
        <v>36</v>
      </c>
      <c r="B47" s="46" t="s">
        <v>216</v>
      </c>
      <c r="C47" s="46"/>
      <c r="D47" s="46"/>
      <c r="E47" s="46">
        <v>188470.04723287158</v>
      </c>
      <c r="F47" s="46">
        <f>ROUND(E47/365,0)</f>
        <v>516</v>
      </c>
      <c r="G47" s="58" t="s">
        <v>186</v>
      </c>
      <c r="H47" s="55">
        <f>'ATO-CWC2'!$C$19</f>
        <v>34.630000000000003</v>
      </c>
      <c r="I47" s="233" t="s">
        <v>201</v>
      </c>
      <c r="J47" s="55">
        <v>19.399999999999999</v>
      </c>
      <c r="K47" s="46"/>
      <c r="L47" s="56">
        <f>H47-J47</f>
        <v>15.230000000000004</v>
      </c>
      <c r="M47" s="46"/>
      <c r="N47" s="46">
        <f>L47*F47</f>
        <v>7858.6800000000021</v>
      </c>
      <c r="P47" s="162"/>
      <c r="Q47" s="226"/>
      <c r="R47" s="226"/>
    </row>
    <row r="48" spans="1:23">
      <c r="A48" s="50">
        <v>37</v>
      </c>
      <c r="B48" s="46"/>
      <c r="C48" s="46"/>
      <c r="D48" s="46"/>
      <c r="E48" s="46"/>
      <c r="F48" s="46"/>
      <c r="G48" s="58"/>
      <c r="H48" s="55"/>
      <c r="I48" s="58"/>
      <c r="J48" s="50"/>
      <c r="K48" s="46"/>
      <c r="L48" s="46"/>
      <c r="M48" s="46"/>
      <c r="N48" s="46"/>
      <c r="P48" s="169"/>
      <c r="Q48" s="226"/>
    </row>
    <row r="49" spans="1:18">
      <c r="A49" s="50">
        <v>38</v>
      </c>
      <c r="B49" s="46" t="s">
        <v>102</v>
      </c>
      <c r="C49" s="46"/>
      <c r="D49" s="46"/>
      <c r="E49" s="46">
        <v>10051880.346122695</v>
      </c>
      <c r="F49" s="46">
        <f>ROUND(E49/365,0)</f>
        <v>27539</v>
      </c>
      <c r="G49" s="58" t="s">
        <v>186</v>
      </c>
      <c r="H49" s="55">
        <f>'ATO-CWC2'!$C$19</f>
        <v>34.630000000000003</v>
      </c>
      <c r="I49" s="58" t="s">
        <v>193</v>
      </c>
      <c r="J49" s="55">
        <f>'ATO-CWC9'!U30</f>
        <v>91.401180616660156</v>
      </c>
      <c r="K49" s="46"/>
      <c r="L49" s="56">
        <f>H49-J49</f>
        <v>-56.771180616660153</v>
      </c>
      <c r="M49" s="46"/>
      <c r="N49" s="46">
        <f>L49*F49</f>
        <v>-1563421.543002204</v>
      </c>
      <c r="P49" s="169"/>
      <c r="Q49" s="226"/>
      <c r="R49" s="226"/>
    </row>
    <row r="50" spans="1:18">
      <c r="A50" s="50">
        <v>39</v>
      </c>
      <c r="B50" s="46"/>
      <c r="C50" s="46"/>
      <c r="D50" s="46"/>
      <c r="E50" s="46"/>
      <c r="F50" s="46"/>
      <c r="G50" s="58"/>
      <c r="H50" s="55"/>
      <c r="I50" s="58"/>
      <c r="J50" s="50"/>
      <c r="K50" s="46"/>
      <c r="L50" s="46"/>
      <c r="M50" s="46"/>
      <c r="N50" s="46"/>
      <c r="P50" s="169"/>
      <c r="Q50" s="226"/>
    </row>
    <row r="51" spans="1:18">
      <c r="A51" s="50">
        <v>40</v>
      </c>
      <c r="B51" s="46" t="s">
        <v>100</v>
      </c>
      <c r="C51" s="46"/>
      <c r="D51" s="46"/>
      <c r="E51" s="164">
        <v>41903173.83477512</v>
      </c>
      <c r="F51" s="46">
        <f>ROUND(E51/365,0)</f>
        <v>114803</v>
      </c>
      <c r="G51" s="58" t="s">
        <v>186</v>
      </c>
      <c r="H51" s="55">
        <f>'ATO-CWC2'!$C$19</f>
        <v>34.630000000000003</v>
      </c>
      <c r="I51" s="58"/>
      <c r="J51" s="50">
        <v>0</v>
      </c>
      <c r="K51" s="46"/>
      <c r="L51" s="56">
        <f>H51-J51</f>
        <v>34.630000000000003</v>
      </c>
      <c r="M51" s="46"/>
      <c r="N51" s="164">
        <f>L51*F51</f>
        <v>3975627.89</v>
      </c>
      <c r="P51" s="169"/>
      <c r="Q51" s="226"/>
      <c r="R51" s="226"/>
    </row>
    <row r="52" spans="1:18">
      <c r="A52" s="50">
        <v>41</v>
      </c>
      <c r="B52" s="46"/>
      <c r="C52" s="46"/>
      <c r="D52" s="46"/>
      <c r="E52" s="46"/>
      <c r="F52" s="46"/>
      <c r="G52" s="58"/>
      <c r="H52" s="55"/>
      <c r="I52" s="58"/>
      <c r="J52" s="50"/>
      <c r="K52" s="46"/>
      <c r="L52" s="46"/>
      <c r="M52" s="46"/>
      <c r="N52" s="46"/>
      <c r="Q52" s="226"/>
    </row>
    <row r="53" spans="1:18" ht="16.5" thickBot="1">
      <c r="A53" s="50">
        <v>42</v>
      </c>
      <c r="B53" s="46" t="s">
        <v>57</v>
      </c>
      <c r="C53" s="46"/>
      <c r="D53" s="46"/>
      <c r="E53" s="46">
        <f>+E42+E38+E45+E35+E18+E13+E49+E47+E51+E39+E43</f>
        <v>232997635.95935646</v>
      </c>
      <c r="F53" s="46"/>
      <c r="G53" s="58"/>
      <c r="H53" s="55"/>
      <c r="I53" s="58"/>
      <c r="J53" s="55"/>
      <c r="K53" s="46"/>
      <c r="L53" s="46"/>
      <c r="M53" s="46"/>
      <c r="N53" s="94">
        <f>ROUND(+N42+N38+N45+N35+N18+N13+N49+N47+N51+N39+N43,0)</f>
        <v>-2199566</v>
      </c>
      <c r="Q53" s="226"/>
    </row>
    <row r="54" spans="1:18" ht="16.5" thickTop="1">
      <c r="A54" s="50">
        <v>43</v>
      </c>
      <c r="H54" s="169"/>
    </row>
    <row r="55" spans="1:18">
      <c r="A55" s="50">
        <v>44</v>
      </c>
      <c r="B55" s="234" t="s">
        <v>290</v>
      </c>
      <c r="C55"/>
      <c r="D55"/>
      <c r="E55"/>
      <c r="F55"/>
      <c r="G55"/>
      <c r="H55"/>
      <c r="I55"/>
      <c r="J55"/>
      <c r="K55"/>
    </row>
    <row r="56" spans="1:18">
      <c r="C56" s="11"/>
      <c r="D56" s="11"/>
      <c r="E56"/>
      <c r="F56" s="11"/>
      <c r="G56" s="15"/>
      <c r="H56" s="16"/>
      <c r="I56" s="15"/>
      <c r="J56" s="17"/>
      <c r="K56" s="11"/>
      <c r="L56" s="11"/>
      <c r="M56" s="11"/>
    </row>
    <row r="57" spans="1:18">
      <c r="B57" s="11"/>
      <c r="E57"/>
      <c r="H57" s="169"/>
    </row>
    <row r="58" spans="1:18">
      <c r="C58" s="162"/>
      <c r="D58" s="162"/>
      <c r="H58" s="169"/>
    </row>
    <row r="59" spans="1:18">
      <c r="H59" s="169"/>
    </row>
    <row r="60" spans="1:18">
      <c r="H60" s="169"/>
    </row>
    <row r="61" spans="1:18">
      <c r="H61" s="169"/>
    </row>
    <row r="62" spans="1:18">
      <c r="H62" s="169"/>
    </row>
    <row r="63" spans="1:18">
      <c r="H63" s="169"/>
    </row>
    <row r="64" spans="1:18">
      <c r="H64" s="169"/>
    </row>
    <row r="65" spans="8:8">
      <c r="H65" s="169"/>
    </row>
    <row r="66" spans="8:8">
      <c r="H66" s="169"/>
    </row>
    <row r="67" spans="8:8">
      <c r="H67" s="169"/>
    </row>
    <row r="68" spans="8:8">
      <c r="H68" s="169"/>
    </row>
    <row r="69" spans="8:8">
      <c r="H69" s="169"/>
    </row>
    <row r="70" spans="8:8">
      <c r="H70" s="169"/>
    </row>
    <row r="71" spans="8:8">
      <c r="H71" s="169"/>
    </row>
    <row r="72" spans="8:8">
      <c r="H72" s="169"/>
    </row>
    <row r="73" spans="8:8">
      <c r="H73" s="169"/>
    </row>
    <row r="74" spans="8:8">
      <c r="H74" s="169"/>
    </row>
    <row r="75" spans="8:8">
      <c r="H75" s="169"/>
    </row>
    <row r="76" spans="8:8">
      <c r="H76" s="169"/>
    </row>
    <row r="77" spans="8:8">
      <c r="H77" s="169"/>
    </row>
    <row r="78" spans="8:8">
      <c r="H78" s="169"/>
    </row>
    <row r="79" spans="8:8">
      <c r="H79" s="169"/>
    </row>
    <row r="80" spans="8:8">
      <c r="H80" s="169"/>
    </row>
    <row r="81" spans="8:8">
      <c r="H81" s="169"/>
    </row>
    <row r="82" spans="8:8">
      <c r="H82" s="169"/>
    </row>
    <row r="83" spans="8:8">
      <c r="H83" s="169"/>
    </row>
    <row r="84" spans="8:8">
      <c r="H84" s="169"/>
    </row>
    <row r="85" spans="8:8">
      <c r="H85" s="169"/>
    </row>
    <row r="86" spans="8:8">
      <c r="H86" s="169"/>
    </row>
    <row r="87" spans="8:8">
      <c r="H87" s="169"/>
    </row>
    <row r="88" spans="8:8">
      <c r="H88" s="169"/>
    </row>
    <row r="89" spans="8:8">
      <c r="H89" s="169"/>
    </row>
    <row r="90" spans="8:8">
      <c r="H90" s="169"/>
    </row>
    <row r="91" spans="8:8">
      <c r="H91" s="169"/>
    </row>
    <row r="92" spans="8:8">
      <c r="H92" s="169"/>
    </row>
    <row r="93" spans="8:8">
      <c r="H93" s="169"/>
    </row>
    <row r="94" spans="8:8">
      <c r="H94" s="169"/>
    </row>
    <row r="95" spans="8:8">
      <c r="H95" s="169"/>
    </row>
    <row r="96" spans="8:8">
      <c r="H96" s="169"/>
    </row>
    <row r="97" spans="8:8">
      <c r="H97" s="169"/>
    </row>
    <row r="98" spans="8:8">
      <c r="H98" s="169"/>
    </row>
    <row r="99" spans="8:8">
      <c r="H99" s="169"/>
    </row>
    <row r="100" spans="8:8">
      <c r="H100" s="169"/>
    </row>
    <row r="101" spans="8:8">
      <c r="H101" s="169"/>
    </row>
    <row r="102" spans="8:8">
      <c r="H102" s="169"/>
    </row>
    <row r="103" spans="8:8">
      <c r="H103" s="169"/>
    </row>
    <row r="104" spans="8:8">
      <c r="H104" s="169"/>
    </row>
    <row r="105" spans="8:8">
      <c r="H105" s="169"/>
    </row>
    <row r="106" spans="8:8">
      <c r="H106" s="169"/>
    </row>
    <row r="107" spans="8:8">
      <c r="H107" s="169"/>
    </row>
    <row r="108" spans="8:8">
      <c r="H108" s="169"/>
    </row>
    <row r="109" spans="8:8">
      <c r="H109" s="169"/>
    </row>
    <row r="110" spans="8:8">
      <c r="H110" s="169"/>
    </row>
    <row r="111" spans="8:8">
      <c r="H111" s="169"/>
    </row>
    <row r="112" spans="8:8">
      <c r="H112" s="169"/>
    </row>
    <row r="113" spans="8:8">
      <c r="H113" s="169"/>
    </row>
    <row r="114" spans="8:8">
      <c r="H114" s="169"/>
    </row>
    <row r="115" spans="8:8">
      <c r="H115" s="169"/>
    </row>
    <row r="116" spans="8:8">
      <c r="H116" s="169"/>
    </row>
    <row r="117" spans="8:8">
      <c r="H117" s="169"/>
    </row>
    <row r="118" spans="8:8">
      <c r="H118" s="169"/>
    </row>
    <row r="119" spans="8:8">
      <c r="H119" s="169"/>
    </row>
    <row r="120" spans="8:8">
      <c r="H120" s="169"/>
    </row>
    <row r="121" spans="8:8">
      <c r="H121" s="169"/>
    </row>
    <row r="122" spans="8:8">
      <c r="H122" s="169"/>
    </row>
    <row r="123" spans="8:8">
      <c r="H123" s="169"/>
    </row>
    <row r="124" spans="8:8">
      <c r="H124" s="169"/>
    </row>
    <row r="125" spans="8:8">
      <c r="H125" s="169"/>
    </row>
    <row r="126" spans="8:8">
      <c r="H126" s="169"/>
    </row>
    <row r="127" spans="8:8">
      <c r="H127" s="169"/>
    </row>
    <row r="128" spans="8:8">
      <c r="H128" s="169"/>
    </row>
    <row r="129" spans="8:8">
      <c r="H129" s="169"/>
    </row>
    <row r="130" spans="8:8">
      <c r="H130" s="169"/>
    </row>
    <row r="131" spans="8:8">
      <c r="H131" s="169"/>
    </row>
    <row r="132" spans="8:8">
      <c r="H132" s="169"/>
    </row>
    <row r="133" spans="8:8">
      <c r="H133" s="169"/>
    </row>
    <row r="134" spans="8:8">
      <c r="H134" s="169"/>
    </row>
    <row r="135" spans="8:8">
      <c r="H135" s="169"/>
    </row>
    <row r="136" spans="8:8">
      <c r="H136" s="169"/>
    </row>
    <row r="137" spans="8:8">
      <c r="H137" s="169"/>
    </row>
    <row r="138" spans="8:8">
      <c r="H138" s="169"/>
    </row>
    <row r="139" spans="8:8">
      <c r="H139" s="169"/>
    </row>
    <row r="140" spans="8:8">
      <c r="H140" s="169"/>
    </row>
    <row r="141" spans="8:8">
      <c r="H141" s="169"/>
    </row>
    <row r="142" spans="8:8">
      <c r="H142" s="169"/>
    </row>
    <row r="143" spans="8:8">
      <c r="H143" s="169"/>
    </row>
    <row r="144" spans="8:8">
      <c r="H144" s="169"/>
    </row>
    <row r="145" spans="8:8">
      <c r="H145" s="169"/>
    </row>
    <row r="146" spans="8:8">
      <c r="H146" s="169"/>
    </row>
    <row r="147" spans="8:8">
      <c r="H147" s="169"/>
    </row>
    <row r="148" spans="8:8">
      <c r="H148" s="169"/>
    </row>
    <row r="149" spans="8:8">
      <c r="H149" s="169"/>
    </row>
    <row r="150" spans="8:8">
      <c r="H150" s="169"/>
    </row>
    <row r="151" spans="8:8">
      <c r="H151" s="169"/>
    </row>
    <row r="152" spans="8:8">
      <c r="H152" s="169"/>
    </row>
    <row r="153" spans="8:8">
      <c r="H153" s="169"/>
    </row>
    <row r="154" spans="8:8">
      <c r="H154" s="169"/>
    </row>
    <row r="155" spans="8:8">
      <c r="H155" s="169"/>
    </row>
    <row r="156" spans="8:8">
      <c r="H156" s="169"/>
    </row>
    <row r="157" spans="8:8">
      <c r="H157" s="169"/>
    </row>
    <row r="158" spans="8:8">
      <c r="H158" s="169"/>
    </row>
    <row r="159" spans="8:8">
      <c r="H159" s="169"/>
    </row>
    <row r="160" spans="8:8">
      <c r="H160" s="169"/>
    </row>
    <row r="161" spans="8:8">
      <c r="H161" s="169"/>
    </row>
    <row r="162" spans="8:8">
      <c r="H162" s="169"/>
    </row>
    <row r="163" spans="8:8">
      <c r="H163" s="169"/>
    </row>
    <row r="164" spans="8:8">
      <c r="H164" s="169"/>
    </row>
    <row r="165" spans="8:8">
      <c r="H165" s="169"/>
    </row>
    <row r="166" spans="8:8">
      <c r="H166" s="169"/>
    </row>
    <row r="167" spans="8:8">
      <c r="H167" s="169"/>
    </row>
    <row r="168" spans="8:8">
      <c r="H168" s="169"/>
    </row>
    <row r="169" spans="8:8">
      <c r="H169" s="169"/>
    </row>
  </sheetData>
  <mergeCells count="1">
    <mergeCell ref="P12:R12"/>
  </mergeCells>
  <phoneticPr fontId="9" type="noConversion"/>
  <printOptions horizontalCentered="1"/>
  <pageMargins left="0.95" right="0.5" top="1" bottom="0.5" header="0.5" footer="0.5"/>
  <pageSetup scale="6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theme="6" tint="0.39997558519241921"/>
    <pageSetUpPr fitToPage="1"/>
  </sheetPr>
  <dimension ref="A1:W166"/>
  <sheetViews>
    <sheetView showGridLines="0" zoomScale="85" zoomScaleNormal="85" zoomScaleSheetLayoutView="80" workbookViewId="0"/>
  </sheetViews>
  <sheetFormatPr defaultColWidth="9.625" defaultRowHeight="15.75"/>
  <cols>
    <col min="1" max="1" width="4.5" style="9" bestFit="1" customWidth="1"/>
    <col min="2" max="2" width="3.875" style="9" customWidth="1"/>
    <col min="3" max="3" width="29.5" style="9" customWidth="1"/>
    <col min="4" max="4" width="7" style="9" bestFit="1" customWidth="1"/>
    <col min="5" max="5" width="14.5" style="9" bestFit="1" customWidth="1"/>
    <col min="6" max="6" width="14" style="9" bestFit="1" customWidth="1"/>
    <col min="7" max="7" width="7" style="14" customWidth="1"/>
    <col min="8" max="8" width="9" style="13" bestFit="1" customWidth="1"/>
    <col min="9" max="9" width="7.25" style="14" customWidth="1"/>
    <col min="10" max="10" width="9.375" style="13" bestFit="1" customWidth="1"/>
    <col min="11" max="11" width="1.375" style="9" customWidth="1"/>
    <col min="12" max="12" width="9.375" style="9" bestFit="1" customWidth="1"/>
    <col min="13" max="13" width="1.625" style="9" customWidth="1"/>
    <col min="14" max="14" width="13.5" style="9" bestFit="1" customWidth="1"/>
    <col min="15" max="15" width="2.75" style="9" customWidth="1"/>
    <col min="16" max="16" width="10.875" style="9" bestFit="1" customWidth="1"/>
    <col min="17" max="17" width="10.5" style="9" bestFit="1" customWidth="1"/>
    <col min="18" max="16384" width="9.625" style="9"/>
  </cols>
  <sheetData>
    <row r="1" spans="1:21">
      <c r="A1" s="46"/>
      <c r="B1" s="46"/>
      <c r="C1" s="46"/>
      <c r="D1" s="46"/>
      <c r="E1" s="46"/>
      <c r="F1" s="46"/>
      <c r="G1" s="58"/>
      <c r="H1" s="50"/>
      <c r="I1" s="58"/>
      <c r="J1" s="50"/>
      <c r="K1" s="46"/>
      <c r="L1" s="46"/>
      <c r="M1" s="46"/>
      <c r="N1" s="93" t="s">
        <v>172</v>
      </c>
    </row>
    <row r="2" spans="1:21">
      <c r="A2" s="165" t="str">
        <f>CONCATENATE(COMPANY,"-",JURISDICTION)</f>
        <v>Atmos Energy Corporation-Kentucky</v>
      </c>
      <c r="B2" s="47"/>
      <c r="C2" s="47"/>
      <c r="D2" s="47"/>
      <c r="E2" s="47"/>
      <c r="F2" s="47"/>
      <c r="G2" s="59"/>
      <c r="H2" s="47"/>
      <c r="I2" s="59"/>
      <c r="J2" s="47"/>
      <c r="K2" s="47"/>
      <c r="L2" s="47"/>
      <c r="M2" s="47"/>
      <c r="N2" s="47"/>
      <c r="O2" s="47"/>
    </row>
    <row r="3" spans="1:21">
      <c r="A3" s="166" t="s">
        <v>82</v>
      </c>
      <c r="B3" s="47"/>
      <c r="C3" s="47"/>
      <c r="D3" s="47"/>
      <c r="E3" s="47"/>
      <c r="F3" s="47"/>
      <c r="G3" s="59"/>
      <c r="H3" s="47"/>
      <c r="I3" s="59"/>
      <c r="J3" s="47"/>
      <c r="K3" s="47"/>
      <c r="L3" s="47"/>
      <c r="M3" s="47"/>
      <c r="N3" s="47"/>
      <c r="O3" s="47"/>
    </row>
    <row r="4" spans="1:21">
      <c r="A4" s="166" t="str">
        <f>"For Base Period Ended  "&amp;TEXT(testyear, "mmmm dd, yyyy")</f>
        <v>For Base Period Ended  December 31, 2024</v>
      </c>
      <c r="B4" s="47"/>
      <c r="C4" s="47"/>
      <c r="D4" s="47"/>
      <c r="E4" s="47"/>
      <c r="F4" s="47"/>
      <c r="G4" s="59"/>
      <c r="H4" s="47"/>
      <c r="I4" s="59"/>
      <c r="J4" s="47"/>
      <c r="K4" s="47"/>
      <c r="L4" s="47"/>
      <c r="M4" s="47"/>
      <c r="N4" s="47"/>
      <c r="O4" s="47"/>
    </row>
    <row r="5" spans="1:21">
      <c r="A5" s="166"/>
      <c r="B5" s="47"/>
      <c r="C5" s="47"/>
      <c r="D5" s="47"/>
      <c r="E5" s="47"/>
      <c r="F5" s="47"/>
      <c r="G5" s="59"/>
      <c r="H5" s="47"/>
      <c r="I5" s="59"/>
      <c r="J5" s="47"/>
      <c r="K5" s="47"/>
      <c r="L5" s="47"/>
      <c r="M5" s="47"/>
      <c r="N5" s="47"/>
      <c r="O5" s="47"/>
    </row>
    <row r="6" spans="1:21">
      <c r="A6" s="46"/>
      <c r="B6" s="46"/>
      <c r="C6" s="46"/>
      <c r="D6" s="46"/>
      <c r="E6" s="46"/>
      <c r="F6" s="46"/>
      <c r="G6" s="58"/>
      <c r="H6" s="50"/>
      <c r="I6" s="58"/>
      <c r="J6" s="50"/>
      <c r="K6" s="46"/>
      <c r="L6" s="46"/>
      <c r="M6" s="46"/>
      <c r="N6" s="46"/>
      <c r="O6" s="46"/>
    </row>
    <row r="7" spans="1:21">
      <c r="A7" s="46"/>
      <c r="B7" s="48"/>
      <c r="C7" s="48"/>
      <c r="D7" s="48"/>
      <c r="E7" s="48"/>
      <c r="F7" s="49" t="s">
        <v>78</v>
      </c>
      <c r="G7" s="60"/>
      <c r="H7" s="49"/>
      <c r="I7" s="60"/>
      <c r="J7" s="49" t="s">
        <v>2</v>
      </c>
      <c r="K7" s="48"/>
      <c r="L7" s="48"/>
      <c r="M7" s="48"/>
      <c r="N7" s="49" t="s">
        <v>112</v>
      </c>
      <c r="O7" s="48"/>
    </row>
    <row r="8" spans="1:21">
      <c r="A8" s="50" t="s">
        <v>111</v>
      </c>
      <c r="B8" s="48"/>
      <c r="C8" s="48"/>
      <c r="D8" s="48"/>
      <c r="E8" s="49" t="s">
        <v>41</v>
      </c>
      <c r="F8" s="49" t="s">
        <v>86</v>
      </c>
      <c r="G8" s="61"/>
      <c r="H8" s="49" t="s">
        <v>3</v>
      </c>
      <c r="I8" s="61"/>
      <c r="J8" s="49" t="s">
        <v>43</v>
      </c>
      <c r="K8" s="49"/>
      <c r="L8" s="49" t="s">
        <v>44</v>
      </c>
      <c r="M8" s="49"/>
      <c r="N8" s="48" t="s">
        <v>117</v>
      </c>
      <c r="O8" s="49"/>
    </row>
    <row r="9" spans="1:21">
      <c r="A9" s="51" t="s">
        <v>113</v>
      </c>
      <c r="B9" s="52" t="s">
        <v>114</v>
      </c>
      <c r="C9" s="52"/>
      <c r="D9" s="52"/>
      <c r="E9" s="53" t="s">
        <v>42</v>
      </c>
      <c r="F9" s="54" t="s">
        <v>284</v>
      </c>
      <c r="G9" s="62"/>
      <c r="H9" s="53" t="s">
        <v>126</v>
      </c>
      <c r="I9" s="62"/>
      <c r="J9" s="53" t="s">
        <v>126</v>
      </c>
      <c r="K9" s="53"/>
      <c r="L9" s="54" t="s">
        <v>85</v>
      </c>
      <c r="M9" s="53"/>
      <c r="N9" s="54" t="s">
        <v>84</v>
      </c>
      <c r="O9" s="49"/>
    </row>
    <row r="10" spans="1:21">
      <c r="A10" s="46"/>
      <c r="B10" s="47" t="s">
        <v>118</v>
      </c>
      <c r="C10" s="47"/>
      <c r="D10" s="47"/>
      <c r="E10" s="50" t="s">
        <v>119</v>
      </c>
      <c r="F10" s="167" t="s">
        <v>77</v>
      </c>
      <c r="G10" s="63"/>
      <c r="H10" s="167" t="s">
        <v>121</v>
      </c>
      <c r="I10" s="50"/>
      <c r="J10" s="50" t="s">
        <v>122</v>
      </c>
      <c r="K10" s="50"/>
      <c r="L10" s="167" t="s">
        <v>123</v>
      </c>
      <c r="M10" s="50"/>
      <c r="N10" s="167" t="s">
        <v>124</v>
      </c>
      <c r="O10" s="50"/>
    </row>
    <row r="11" spans="1:21">
      <c r="A11" s="46"/>
      <c r="B11" s="46"/>
      <c r="C11" s="46"/>
      <c r="D11" s="46"/>
      <c r="E11" s="46"/>
      <c r="F11" s="46"/>
      <c r="G11" s="58"/>
      <c r="H11" s="50"/>
      <c r="I11" s="58"/>
      <c r="J11" s="50"/>
      <c r="K11" s="46"/>
      <c r="L11" s="46"/>
      <c r="M11" s="46"/>
      <c r="N11" s="46"/>
      <c r="O11" s="46"/>
    </row>
    <row r="12" spans="1:21">
      <c r="A12" s="50">
        <f t="shared" ref="A12" si="0">1+A11</f>
        <v>1</v>
      </c>
      <c r="B12" s="46" t="s">
        <v>73</v>
      </c>
      <c r="C12" s="46"/>
      <c r="D12" s="46"/>
      <c r="E12" s="46"/>
      <c r="F12" s="46"/>
      <c r="G12" s="58"/>
      <c r="H12" s="50"/>
      <c r="I12" s="58"/>
      <c r="J12" s="50"/>
      <c r="K12" s="46"/>
      <c r="L12" s="46"/>
      <c r="M12" s="46"/>
      <c r="N12" s="46"/>
      <c r="O12" s="46"/>
    </row>
    <row r="13" spans="1:21">
      <c r="A13" s="50">
        <v>2</v>
      </c>
      <c r="B13" s="46"/>
      <c r="C13" s="46" t="s">
        <v>125</v>
      </c>
      <c r="D13" s="46"/>
      <c r="E13" s="259">
        <v>52986727.226981685</v>
      </c>
      <c r="F13" s="46">
        <f>E13/366</f>
        <v>144772.47876224504</v>
      </c>
      <c r="G13" s="58" t="s">
        <v>186</v>
      </c>
      <c r="H13" s="55">
        <f>'ATO-CWC2'!$C$19</f>
        <v>34.630000000000003</v>
      </c>
      <c r="I13" s="58" t="s">
        <v>187</v>
      </c>
      <c r="J13" s="55">
        <f>'ATO-CWC3'!L122</f>
        <v>39.49</v>
      </c>
      <c r="K13" s="46"/>
      <c r="L13" s="56">
        <f>H13-J13</f>
        <v>-4.8599999999999994</v>
      </c>
      <c r="M13" s="46"/>
      <c r="N13" s="46">
        <f>L13*F13</f>
        <v>-703594.24678451079</v>
      </c>
      <c r="O13" s="46"/>
    </row>
    <row r="14" spans="1:21">
      <c r="A14" s="50">
        <v>3</v>
      </c>
      <c r="B14" s="46"/>
      <c r="C14" s="46"/>
      <c r="D14" s="46"/>
      <c r="E14" s="46"/>
      <c r="F14" s="46"/>
      <c r="G14" s="58"/>
      <c r="H14" s="55"/>
      <c r="I14" s="58"/>
      <c r="J14" s="50"/>
      <c r="K14" s="46"/>
      <c r="L14" s="46"/>
      <c r="M14" s="46"/>
      <c r="N14" s="46"/>
      <c r="O14" s="46"/>
    </row>
    <row r="15" spans="1:21">
      <c r="A15" s="50">
        <v>4</v>
      </c>
      <c r="B15" s="46" t="s">
        <v>39</v>
      </c>
      <c r="C15" s="46"/>
      <c r="D15" s="46"/>
      <c r="E15" s="116" t="s">
        <v>2</v>
      </c>
      <c r="F15" s="46"/>
      <c r="G15" s="58"/>
      <c r="H15" s="55"/>
      <c r="I15" s="58"/>
      <c r="J15" s="50"/>
      <c r="K15" s="46"/>
      <c r="L15" s="46"/>
      <c r="M15" s="46"/>
      <c r="N15" s="46"/>
      <c r="O15" s="46"/>
      <c r="Q15"/>
      <c r="R15"/>
      <c r="S15"/>
      <c r="T15"/>
      <c r="U15"/>
    </row>
    <row r="16" spans="1:21">
      <c r="A16" s="50">
        <v>5</v>
      </c>
      <c r="B16" s="46"/>
      <c r="C16" s="46" t="s">
        <v>148</v>
      </c>
      <c r="D16" s="117"/>
      <c r="E16" s="274">
        <v>12503414.19237737</v>
      </c>
      <c r="F16" s="46">
        <f>E16/366</f>
        <v>34162.33385895456</v>
      </c>
      <c r="G16" s="58" t="s">
        <v>186</v>
      </c>
      <c r="H16" s="55">
        <f>'ATO-CWC2'!$C$19</f>
        <v>34.630000000000003</v>
      </c>
      <c r="I16" s="58" t="s">
        <v>188</v>
      </c>
      <c r="J16" s="55">
        <f>'ATO-CWC4'!I59</f>
        <v>14.33</v>
      </c>
      <c r="K16" s="46"/>
      <c r="L16" s="56">
        <f>H16-J16</f>
        <v>20.300000000000004</v>
      </c>
      <c r="M16" s="46"/>
      <c r="N16" s="46">
        <f>L16*F16</f>
        <v>693495.37733677775</v>
      </c>
      <c r="O16" s="46"/>
      <c r="Q16"/>
      <c r="R16"/>
      <c r="S16"/>
      <c r="T16"/>
      <c r="U16"/>
    </row>
    <row r="17" spans="1:21">
      <c r="A17" s="50">
        <v>6</v>
      </c>
      <c r="B17" s="46"/>
      <c r="C17" s="46" t="s">
        <v>149</v>
      </c>
      <c r="D17" s="117"/>
      <c r="E17" s="164">
        <f>E18-E16</f>
        <v>21033512.587672524</v>
      </c>
      <c r="F17" s="46">
        <f>E17/366</f>
        <v>57468.613627520557</v>
      </c>
      <c r="G17" s="58" t="s">
        <v>186</v>
      </c>
      <c r="H17" s="55">
        <f>'ATO-CWC2'!$C$19</f>
        <v>34.630000000000003</v>
      </c>
      <c r="I17" s="58" t="s">
        <v>189</v>
      </c>
      <c r="J17" s="55">
        <f>'ATO-CWC5'!E15</f>
        <v>23.738277166036223</v>
      </c>
      <c r="K17" s="46"/>
      <c r="L17" s="56">
        <f>H17-J17</f>
        <v>10.891722833963779</v>
      </c>
      <c r="M17" s="46"/>
      <c r="N17" s="164">
        <f>L17*F17</f>
        <v>625932.21128310764</v>
      </c>
      <c r="O17" s="46"/>
      <c r="Q17"/>
      <c r="R17"/>
      <c r="S17"/>
      <c r="T17"/>
      <c r="U17"/>
    </row>
    <row r="18" spans="1:21">
      <c r="A18" s="50">
        <v>7</v>
      </c>
      <c r="B18" s="46" t="s">
        <v>72</v>
      </c>
      <c r="C18" s="46"/>
      <c r="D18" s="46"/>
      <c r="E18" s="259">
        <v>33536926.780049894</v>
      </c>
      <c r="F18" s="46"/>
      <c r="G18" s="58"/>
      <c r="H18" s="55"/>
      <c r="I18" s="58"/>
      <c r="J18" s="50"/>
      <c r="K18" s="46"/>
      <c r="L18" s="46"/>
      <c r="M18" s="46"/>
      <c r="N18" s="46">
        <f>SUM(N16:N17)</f>
        <v>1319427.5886198855</v>
      </c>
      <c r="O18" s="46"/>
      <c r="Q18"/>
      <c r="R18"/>
      <c r="S18"/>
      <c r="T18"/>
      <c r="U18"/>
    </row>
    <row r="19" spans="1:21">
      <c r="A19" s="50">
        <v>8</v>
      </c>
      <c r="B19" s="46"/>
      <c r="C19" s="46"/>
      <c r="D19" s="46"/>
      <c r="E19" s="46"/>
      <c r="F19" s="46"/>
      <c r="G19" s="58"/>
      <c r="H19" s="55"/>
      <c r="I19" s="58"/>
      <c r="J19" s="50"/>
      <c r="K19" s="46"/>
      <c r="L19" s="46"/>
      <c r="M19" s="46"/>
      <c r="N19" s="46"/>
      <c r="O19" s="46"/>
      <c r="Q19"/>
      <c r="R19"/>
      <c r="S19"/>
      <c r="T19"/>
      <c r="U19"/>
    </row>
    <row r="20" spans="1:21">
      <c r="A20" s="50">
        <v>9</v>
      </c>
      <c r="B20" s="46" t="s">
        <v>40</v>
      </c>
      <c r="C20" s="46"/>
      <c r="D20" s="46"/>
      <c r="E20" s="46"/>
      <c r="F20" s="46"/>
      <c r="G20" s="58"/>
      <c r="H20" s="55"/>
      <c r="I20" s="58"/>
      <c r="J20" s="50"/>
      <c r="K20" s="46"/>
      <c r="L20" s="46"/>
      <c r="M20" s="46"/>
      <c r="N20" s="46"/>
      <c r="O20" s="46"/>
      <c r="Q20"/>
      <c r="R20"/>
      <c r="S20"/>
      <c r="T20"/>
      <c r="U20"/>
    </row>
    <row r="21" spans="1:21">
      <c r="A21" s="50">
        <v>10</v>
      </c>
      <c r="B21" s="46"/>
      <c r="C21" s="46" t="s">
        <v>30</v>
      </c>
      <c r="D21" s="46"/>
      <c r="E21" s="259">
        <v>11322473</v>
      </c>
      <c r="F21" s="46">
        <f t="shared" ref="F21:F26" si="1">E21/366</f>
        <v>30935.718579234974</v>
      </c>
      <c r="G21" s="58" t="s">
        <v>186</v>
      </c>
      <c r="H21" s="55">
        <f>'ATO-CWC2'!$C$19</f>
        <v>34.630000000000003</v>
      </c>
      <c r="I21" s="58" t="s">
        <v>190</v>
      </c>
      <c r="J21" s="55">
        <f>'ATO-CWC6'!$E$24</f>
        <v>278.98849309944291</v>
      </c>
      <c r="K21" s="46"/>
      <c r="L21" s="56">
        <f t="shared" ref="L21:L26" si="2">H21-J21</f>
        <v>-244.35849309944291</v>
      </c>
      <c r="M21" s="46"/>
      <c r="N21" s="46">
        <f t="shared" ref="N21:N26" si="3">L21*F21</f>
        <v>-7559405.5749702975</v>
      </c>
      <c r="O21" s="46"/>
      <c r="Q21"/>
      <c r="R21"/>
      <c r="S21"/>
      <c r="T21"/>
      <c r="U21"/>
    </row>
    <row r="22" spans="1:21">
      <c r="A22" s="50">
        <v>11</v>
      </c>
      <c r="B22" s="46"/>
      <c r="C22" s="46" t="s">
        <v>227</v>
      </c>
      <c r="D22" s="46"/>
      <c r="E22" s="259">
        <v>1102.8499999999999</v>
      </c>
      <c r="F22" s="46">
        <f t="shared" si="1"/>
        <v>3.0132513661202185</v>
      </c>
      <c r="G22" s="58" t="s">
        <v>186</v>
      </c>
      <c r="H22" s="55">
        <f>'ATO-CWC2'!$C$19</f>
        <v>34.630000000000003</v>
      </c>
      <c r="I22" s="58" t="s">
        <v>190</v>
      </c>
      <c r="J22" s="55">
        <f>'ATO-CWC6'!E29</f>
        <v>58.821697777196263</v>
      </c>
      <c r="K22" s="46"/>
      <c r="L22" s="56">
        <f t="shared" si="2"/>
        <v>-24.191697777196261</v>
      </c>
      <c r="M22" s="46"/>
      <c r="N22" s="46">
        <f t="shared" si="3"/>
        <v>-72.895666375904085</v>
      </c>
      <c r="O22" s="46"/>
      <c r="Q22"/>
      <c r="R22"/>
      <c r="S22"/>
      <c r="T22"/>
      <c r="U22"/>
    </row>
    <row r="23" spans="1:21">
      <c r="A23" s="50">
        <v>12</v>
      </c>
      <c r="B23" s="46"/>
      <c r="C23" s="46" t="s">
        <v>71</v>
      </c>
      <c r="D23" s="46"/>
      <c r="E23" s="259">
        <v>391151.23566761491</v>
      </c>
      <c r="F23" s="46">
        <f t="shared" si="1"/>
        <v>1068.7192231355598</v>
      </c>
      <c r="G23" s="58" t="s">
        <v>186</v>
      </c>
      <c r="H23" s="55">
        <f>'ATO-CWC2'!$C$19</f>
        <v>34.630000000000003</v>
      </c>
      <c r="I23" s="58" t="s">
        <v>190</v>
      </c>
      <c r="J23" s="55">
        <f>'ATO-CWC6'!$E$20</f>
        <v>13.680674076730011</v>
      </c>
      <c r="K23" s="46"/>
      <c r="L23" s="56">
        <f t="shared" si="2"/>
        <v>20.949325923269992</v>
      </c>
      <c r="M23" s="46"/>
      <c r="N23" s="46">
        <f t="shared" si="3"/>
        <v>22388.947325930749</v>
      </c>
      <c r="O23" s="46"/>
      <c r="Q23"/>
      <c r="R23"/>
      <c r="S23"/>
      <c r="T23"/>
      <c r="U23"/>
    </row>
    <row r="24" spans="1:21">
      <c r="A24" s="50">
        <v>13</v>
      </c>
      <c r="B24" s="46"/>
      <c r="C24" s="46" t="s">
        <v>224</v>
      </c>
      <c r="D24" s="46"/>
      <c r="E24" s="274">
        <v>9795658.3100000005</v>
      </c>
      <c r="F24" s="46">
        <f t="shared" si="1"/>
        <v>26764.0937431694</v>
      </c>
      <c r="G24" s="58" t="s">
        <v>186</v>
      </c>
      <c r="H24" s="55">
        <f>'ATO-CWC2'!$C$19</f>
        <v>34.630000000000003</v>
      </c>
      <c r="I24" s="58" t="s">
        <v>190</v>
      </c>
      <c r="J24" s="55">
        <f>'ATO-CWC6'!E31</f>
        <v>40.374790215605223</v>
      </c>
      <c r="K24" s="46"/>
      <c r="L24" s="56">
        <f t="shared" si="2"/>
        <v>-5.7447902156052209</v>
      </c>
      <c r="M24" s="46"/>
      <c r="N24" s="46">
        <f t="shared" si="3"/>
        <v>-153754.10386530048</v>
      </c>
      <c r="O24" s="46"/>
      <c r="Q24"/>
      <c r="R24"/>
      <c r="S24"/>
      <c r="T24"/>
      <c r="U24"/>
    </row>
    <row r="25" spans="1:21">
      <c r="A25" s="50">
        <v>14</v>
      </c>
      <c r="B25" s="46"/>
      <c r="C25" s="46" t="s">
        <v>208</v>
      </c>
      <c r="D25" s="46"/>
      <c r="E25" s="259">
        <v>302323.23</v>
      </c>
      <c r="F25" s="46">
        <f t="shared" si="1"/>
        <v>826.01975409836064</v>
      </c>
      <c r="G25" s="58" t="s">
        <v>218</v>
      </c>
      <c r="H25" s="55">
        <v>0</v>
      </c>
      <c r="I25" s="58" t="s">
        <v>190</v>
      </c>
      <c r="J25" s="55">
        <f>'ATO-CWC6'!$E$35</f>
        <v>-186.5</v>
      </c>
      <c r="K25" s="46"/>
      <c r="L25" s="56">
        <f t="shared" si="2"/>
        <v>186.5</v>
      </c>
      <c r="M25" s="46"/>
      <c r="N25" s="46">
        <f t="shared" si="3"/>
        <v>154052.68413934426</v>
      </c>
      <c r="O25" s="46"/>
      <c r="Q25"/>
      <c r="R25"/>
      <c r="S25"/>
      <c r="T25"/>
      <c r="U25"/>
    </row>
    <row r="26" spans="1:21">
      <c r="A26" s="50">
        <v>15</v>
      </c>
      <c r="B26" s="46"/>
      <c r="C26" s="46" t="s">
        <v>152</v>
      </c>
      <c r="D26" s="46"/>
      <c r="E26" s="259">
        <v>237689.62999999998</v>
      </c>
      <c r="F26" s="46">
        <f t="shared" si="1"/>
        <v>649.42521857923487</v>
      </c>
      <c r="G26" s="58" t="s">
        <v>186</v>
      </c>
      <c r="H26" s="55">
        <f>'ATO-CWC2'!$C$19</f>
        <v>34.630000000000003</v>
      </c>
      <c r="I26" s="58" t="s">
        <v>190</v>
      </c>
      <c r="J26" s="55">
        <f>'ATO-CWC6'!E38</f>
        <v>59</v>
      </c>
      <c r="K26" s="46"/>
      <c r="L26" s="56">
        <f t="shared" si="2"/>
        <v>-24.369999999999997</v>
      </c>
      <c r="M26" s="46"/>
      <c r="N26" s="46">
        <f t="shared" si="3"/>
        <v>-15826.492576775952</v>
      </c>
      <c r="O26" s="46"/>
      <c r="Q26"/>
      <c r="R26"/>
      <c r="S26"/>
      <c r="T26"/>
      <c r="U26"/>
    </row>
    <row r="27" spans="1:21">
      <c r="A27" s="50">
        <v>16</v>
      </c>
      <c r="B27" s="46"/>
      <c r="C27" s="46"/>
      <c r="D27" s="46"/>
      <c r="E27" s="46"/>
      <c r="F27" s="46"/>
      <c r="G27" s="58"/>
      <c r="H27" s="55"/>
      <c r="I27" s="58"/>
      <c r="J27" s="50"/>
      <c r="K27" s="46"/>
      <c r="L27" s="46"/>
      <c r="M27" s="46"/>
      <c r="N27" s="46"/>
      <c r="O27" s="46"/>
      <c r="Q27"/>
      <c r="R27"/>
      <c r="S27"/>
      <c r="T27"/>
      <c r="U27"/>
    </row>
    <row r="28" spans="1:21">
      <c r="A28" s="50">
        <v>17</v>
      </c>
      <c r="B28" s="46" t="s">
        <v>237</v>
      </c>
      <c r="C28" s="46"/>
      <c r="D28" s="46"/>
      <c r="E28" s="58"/>
      <c r="F28" s="46"/>
      <c r="G28" s="58"/>
      <c r="H28" s="55"/>
      <c r="I28" s="58"/>
      <c r="J28" s="50"/>
      <c r="K28" s="46"/>
      <c r="L28" s="46"/>
      <c r="M28" s="46"/>
      <c r="N28" s="46"/>
      <c r="O28" s="46"/>
    </row>
    <row r="29" spans="1:21">
      <c r="A29" s="50">
        <v>18</v>
      </c>
      <c r="B29" s="46"/>
      <c r="C29" s="46" t="s">
        <v>30</v>
      </c>
      <c r="D29" s="168"/>
      <c r="E29" s="260">
        <v>56976.338564131416</v>
      </c>
      <c r="F29" s="46">
        <f>E29/366</f>
        <v>155.6730561861514</v>
      </c>
      <c r="G29" s="58" t="s">
        <v>186</v>
      </c>
      <c r="H29" s="55">
        <f>'ATO-CWC2'!$C$19</f>
        <v>34.630000000000003</v>
      </c>
      <c r="I29" s="58" t="s">
        <v>190</v>
      </c>
      <c r="J29" s="55">
        <f>'ATO-CWC6'!E27</f>
        <v>213.5</v>
      </c>
      <c r="K29" s="46"/>
      <c r="L29" s="56">
        <f>H29-J29</f>
        <v>-178.87</v>
      </c>
      <c r="M29" s="46"/>
      <c r="N29" s="46">
        <f>L29*F29</f>
        <v>-27845.2395600169</v>
      </c>
      <c r="O29" s="46"/>
    </row>
    <row r="30" spans="1:21">
      <c r="A30" s="50">
        <v>19</v>
      </c>
      <c r="B30" s="46"/>
      <c r="C30" s="46" t="s">
        <v>71</v>
      </c>
      <c r="D30" s="168"/>
      <c r="E30" s="259">
        <v>366920.82472465845</v>
      </c>
      <c r="F30" s="46">
        <f>E30/366</f>
        <v>1002.5159145482471</v>
      </c>
      <c r="G30" s="58" t="s">
        <v>186</v>
      </c>
      <c r="H30" s="55">
        <f>'ATO-CWC2'!$C$19</f>
        <v>34.630000000000003</v>
      </c>
      <c r="I30" s="58" t="s">
        <v>190</v>
      </c>
      <c r="J30" s="55">
        <f>'ATO-CWC6'!$E$20</f>
        <v>13.680674076730011</v>
      </c>
      <c r="K30" s="46"/>
      <c r="L30" s="56">
        <f>H30-J30</f>
        <v>20.949325923269992</v>
      </c>
      <c r="M30" s="46"/>
      <c r="N30" s="46">
        <f>L30*F30</f>
        <v>21002.032637136319</v>
      </c>
      <c r="O30" s="46"/>
    </row>
    <row r="31" spans="1:21">
      <c r="A31" s="50">
        <v>20</v>
      </c>
      <c r="B31" s="46"/>
      <c r="C31" s="46"/>
      <c r="D31" s="115"/>
      <c r="E31" s="46"/>
      <c r="F31" s="46"/>
      <c r="G31" s="58"/>
      <c r="H31" s="50"/>
      <c r="I31" s="58"/>
      <c r="J31" s="50"/>
      <c r="K31" s="46"/>
      <c r="L31" s="46"/>
      <c r="M31" s="46"/>
      <c r="N31" s="46"/>
      <c r="O31" s="46"/>
    </row>
    <row r="32" spans="1:21">
      <c r="A32" s="50">
        <v>21</v>
      </c>
      <c r="B32" s="46" t="s">
        <v>238</v>
      </c>
      <c r="C32" s="46"/>
      <c r="D32" s="115"/>
      <c r="E32" s="46"/>
      <c r="F32" s="46"/>
      <c r="G32" s="58"/>
      <c r="H32" s="50"/>
      <c r="I32" s="58"/>
      <c r="J32" s="50"/>
      <c r="K32" s="46"/>
      <c r="L32" s="46"/>
      <c r="M32" s="46"/>
      <c r="N32" s="46"/>
      <c r="O32" s="46"/>
    </row>
    <row r="33" spans="1:23">
      <c r="A33" s="50">
        <v>22</v>
      </c>
      <c r="B33" s="46"/>
      <c r="C33" s="46" t="s">
        <v>30</v>
      </c>
      <c r="D33" s="168"/>
      <c r="E33" s="260"/>
      <c r="F33" s="46">
        <f>E33/366</f>
        <v>0</v>
      </c>
      <c r="G33" s="58" t="s">
        <v>186</v>
      </c>
      <c r="H33" s="55">
        <f>'ATO-CWC2'!$C$19</f>
        <v>34.630000000000003</v>
      </c>
      <c r="I33" s="58" t="s">
        <v>190</v>
      </c>
      <c r="J33" s="55">
        <f>'ATO-CWC6'!$E$24</f>
        <v>278.98849309944291</v>
      </c>
      <c r="K33" s="46"/>
      <c r="L33" s="56">
        <f>H33-J33</f>
        <v>-244.35849309944291</v>
      </c>
      <c r="M33" s="46"/>
      <c r="N33" s="46">
        <f>L33*F33</f>
        <v>0</v>
      </c>
      <c r="O33" s="46"/>
    </row>
    <row r="34" spans="1:23">
      <c r="A34" s="50">
        <v>23</v>
      </c>
      <c r="B34" s="46"/>
      <c r="C34" s="46" t="s">
        <v>71</v>
      </c>
      <c r="D34" s="168"/>
      <c r="E34" s="259">
        <v>163557.69654330387</v>
      </c>
      <c r="F34" s="46">
        <f>E34/366</f>
        <v>446.87895230410896</v>
      </c>
      <c r="G34" s="58" t="s">
        <v>186</v>
      </c>
      <c r="H34" s="55">
        <f>'ATO-CWC2'!$C$19</f>
        <v>34.630000000000003</v>
      </c>
      <c r="I34" s="58" t="s">
        <v>190</v>
      </c>
      <c r="J34" s="55">
        <f>'ATO-CWC6'!$E$20</f>
        <v>13.680674076730011</v>
      </c>
      <c r="K34" s="46"/>
      <c r="L34" s="56">
        <f>H34-J34</f>
        <v>20.949325923269992</v>
      </c>
      <c r="M34" s="46"/>
      <c r="N34" s="46">
        <f>L34*F34</f>
        <v>9361.812820068204</v>
      </c>
      <c r="O34" s="46"/>
    </row>
    <row r="35" spans="1:23">
      <c r="A35" s="50">
        <v>24</v>
      </c>
      <c r="B35" s="46" t="s">
        <v>50</v>
      </c>
      <c r="C35" s="46"/>
      <c r="D35" s="115"/>
      <c r="E35" s="57">
        <f>SUM(E21:E34)</f>
        <v>22637853.115499705</v>
      </c>
      <c r="F35" s="46"/>
      <c r="G35" s="58"/>
      <c r="H35" s="55"/>
      <c r="I35" s="58"/>
      <c r="J35" s="50"/>
      <c r="K35" s="46"/>
      <c r="L35" s="46"/>
      <c r="M35" s="46"/>
      <c r="N35" s="57">
        <f>SUM(N21:N34)</f>
        <v>-7550098.8297162876</v>
      </c>
      <c r="O35" s="46"/>
    </row>
    <row r="36" spans="1:23">
      <c r="A36" s="50">
        <v>25</v>
      </c>
      <c r="B36" s="46"/>
      <c r="C36" s="46"/>
      <c r="D36" s="46"/>
      <c r="E36" s="46"/>
      <c r="F36" s="46"/>
      <c r="G36" s="58"/>
      <c r="H36" s="55"/>
      <c r="I36" s="58"/>
      <c r="J36" s="50"/>
      <c r="K36" s="46"/>
      <c r="L36" s="46"/>
      <c r="M36" s="46"/>
      <c r="N36" s="46"/>
      <c r="O36" s="46"/>
    </row>
    <row r="37" spans="1:23">
      <c r="A37" s="50">
        <v>26</v>
      </c>
      <c r="B37" s="46" t="s">
        <v>147</v>
      </c>
      <c r="C37" s="46"/>
      <c r="D37" s="46"/>
      <c r="E37" s="259">
        <v>6081245.0570002235</v>
      </c>
      <c r="F37" s="46"/>
      <c r="G37" s="58"/>
      <c r="H37" s="50"/>
      <c r="I37" s="58"/>
      <c r="J37" s="50"/>
      <c r="K37" s="46"/>
      <c r="L37" s="46"/>
      <c r="M37" s="46"/>
      <c r="N37" s="46"/>
      <c r="O37" s="46"/>
    </row>
    <row r="38" spans="1:23">
      <c r="A38" s="50">
        <v>27</v>
      </c>
      <c r="B38" s="46"/>
      <c r="C38" s="46" t="s">
        <v>99</v>
      </c>
      <c r="D38" s="118"/>
      <c r="E38" s="46">
        <f>E37-E39</f>
        <v>0</v>
      </c>
      <c r="F38" s="46">
        <f>E38/366</f>
        <v>0</v>
      </c>
      <c r="G38" s="58" t="s">
        <v>186</v>
      </c>
      <c r="H38" s="55">
        <f>'ATO-CWC2'!$C$19</f>
        <v>34.630000000000003</v>
      </c>
      <c r="I38" s="58" t="s">
        <v>191</v>
      </c>
      <c r="J38" s="55">
        <f>'ATO-CWC7'!$H$16</f>
        <v>38.25</v>
      </c>
      <c r="K38" s="46"/>
      <c r="L38" s="56">
        <f>H38-J38</f>
        <v>-3.6199999999999974</v>
      </c>
      <c r="M38" s="46"/>
      <c r="N38" s="46">
        <f>L38*F38</f>
        <v>0</v>
      </c>
      <c r="O38" s="46"/>
    </row>
    <row r="39" spans="1:23">
      <c r="A39" s="50">
        <v>28</v>
      </c>
      <c r="B39" s="46"/>
      <c r="C39" s="46" t="s">
        <v>98</v>
      </c>
      <c r="D39" s="118"/>
      <c r="E39" s="232">
        <f>E37</f>
        <v>6081245.0570002235</v>
      </c>
      <c r="F39" s="46">
        <f>E39/366</f>
        <v>16615.423653006077</v>
      </c>
      <c r="G39" s="58" t="s">
        <v>186</v>
      </c>
      <c r="H39" s="55">
        <f>'ATO-CWC2'!$C$19</f>
        <v>34.630000000000003</v>
      </c>
      <c r="I39" s="58" t="s">
        <v>191</v>
      </c>
      <c r="J39" s="55">
        <v>0</v>
      </c>
      <c r="K39" s="46"/>
      <c r="L39" s="56">
        <f>H39-J39</f>
        <v>34.630000000000003</v>
      </c>
      <c r="M39" s="46"/>
      <c r="N39" s="46">
        <f>L39*F39</f>
        <v>575392.12110360048</v>
      </c>
      <c r="O39" s="46"/>
      <c r="Q39"/>
      <c r="R39"/>
      <c r="S39"/>
      <c r="T39"/>
      <c r="U39"/>
      <c r="V39"/>
      <c r="W39"/>
    </row>
    <row r="40" spans="1:23">
      <c r="A40" s="50">
        <v>29</v>
      </c>
      <c r="B40" s="46"/>
      <c r="C40" s="46"/>
      <c r="D40" s="46"/>
      <c r="E40" s="46"/>
      <c r="F40" s="46"/>
      <c r="G40" s="58"/>
      <c r="H40" s="55"/>
      <c r="I40" s="58"/>
      <c r="J40" s="50"/>
      <c r="K40" s="46"/>
      <c r="L40" s="46"/>
      <c r="M40" s="46"/>
      <c r="N40" s="46"/>
      <c r="O40" s="46"/>
      <c r="Q40"/>
      <c r="R40"/>
      <c r="S40"/>
      <c r="T40"/>
      <c r="U40"/>
      <c r="V40"/>
      <c r="W40"/>
    </row>
    <row r="41" spans="1:23">
      <c r="A41" s="50">
        <v>30</v>
      </c>
      <c r="B41" s="46" t="s">
        <v>211</v>
      </c>
      <c r="C41" s="46"/>
      <c r="D41" s="46"/>
      <c r="E41" s="259">
        <v>320065.52931580128</v>
      </c>
      <c r="F41" s="46"/>
      <c r="G41" s="58"/>
      <c r="H41" s="50"/>
      <c r="I41" s="58"/>
      <c r="J41" s="50"/>
      <c r="K41" s="46"/>
      <c r="L41" s="46"/>
      <c r="M41" s="46"/>
      <c r="N41" s="46"/>
      <c r="O41" s="46"/>
      <c r="Q41"/>
      <c r="R41"/>
      <c r="S41"/>
      <c r="T41"/>
      <c r="U41"/>
      <c r="V41"/>
      <c r="W41"/>
    </row>
    <row r="42" spans="1:23">
      <c r="A42" s="50">
        <v>31</v>
      </c>
      <c r="B42" s="46"/>
      <c r="C42" s="46" t="s">
        <v>99</v>
      </c>
      <c r="D42" s="118"/>
      <c r="E42" s="46">
        <f>E41-E43</f>
        <v>0</v>
      </c>
      <c r="F42" s="46">
        <f>E42/366</f>
        <v>0</v>
      </c>
      <c r="G42" s="58" t="s">
        <v>186</v>
      </c>
      <c r="H42" s="55">
        <f>'ATO-CWC2'!$C$19</f>
        <v>34.630000000000003</v>
      </c>
      <c r="I42" s="58" t="s">
        <v>192</v>
      </c>
      <c r="J42" s="55">
        <f>'ATO-CWC8'!H16</f>
        <v>38.25</v>
      </c>
      <c r="K42" s="46"/>
      <c r="L42" s="56">
        <f>H42-J42</f>
        <v>-3.6199999999999974</v>
      </c>
      <c r="M42" s="46"/>
      <c r="N42" s="46">
        <f>L42*F42</f>
        <v>0</v>
      </c>
      <c r="O42" s="46"/>
      <c r="Q42"/>
      <c r="R42"/>
      <c r="S42"/>
      <c r="T42"/>
      <c r="U42"/>
      <c r="V42"/>
      <c r="W42"/>
    </row>
    <row r="43" spans="1:23">
      <c r="A43" s="50">
        <v>32</v>
      </c>
      <c r="B43" s="46"/>
      <c r="C43" s="46" t="s">
        <v>98</v>
      </c>
      <c r="D43" s="118"/>
      <c r="E43" s="232">
        <f>E41</f>
        <v>320065.52931580128</v>
      </c>
      <c r="F43" s="46">
        <f>E43/366</f>
        <v>874.49598173716197</v>
      </c>
      <c r="G43" s="58" t="s">
        <v>186</v>
      </c>
      <c r="H43" s="55">
        <f>'ATO-CWC2'!$C$19</f>
        <v>34.630000000000003</v>
      </c>
      <c r="I43" s="58" t="s">
        <v>192</v>
      </c>
      <c r="J43" s="55">
        <f>'ATO-CWC8'!H17</f>
        <v>0</v>
      </c>
      <c r="K43" s="46"/>
      <c r="L43" s="56">
        <f>H43-J43</f>
        <v>34.630000000000003</v>
      </c>
      <c r="M43" s="46"/>
      <c r="N43" s="46">
        <f>L43*F43</f>
        <v>30283.795847557922</v>
      </c>
      <c r="O43" s="46"/>
      <c r="Q43"/>
      <c r="R43"/>
      <c r="S43"/>
      <c r="T43"/>
      <c r="U43"/>
      <c r="V43"/>
      <c r="W43"/>
    </row>
    <row r="44" spans="1:23">
      <c r="A44" s="50">
        <v>33</v>
      </c>
      <c r="B44" s="46"/>
      <c r="C44" s="46"/>
      <c r="D44" s="46"/>
      <c r="E44" s="46"/>
      <c r="F44" s="46"/>
      <c r="G44" s="58"/>
      <c r="H44" s="55"/>
      <c r="I44" s="58"/>
      <c r="J44" s="50"/>
      <c r="K44" s="46"/>
      <c r="L44" s="56"/>
      <c r="M44" s="46"/>
      <c r="N44" s="46"/>
      <c r="O44" s="46"/>
      <c r="Q44"/>
      <c r="R44"/>
      <c r="S44"/>
      <c r="T44"/>
      <c r="U44"/>
      <c r="V44"/>
      <c r="W44"/>
    </row>
    <row r="45" spans="1:23">
      <c r="A45" s="50">
        <v>34</v>
      </c>
      <c r="B45" s="46" t="s">
        <v>38</v>
      </c>
      <c r="C45" s="46"/>
      <c r="D45" s="46"/>
      <c r="E45" s="259">
        <v>19915761.448384304</v>
      </c>
      <c r="F45" s="46">
        <f>E45/366</f>
        <v>54414.648766077335</v>
      </c>
      <c r="G45" s="58" t="s">
        <v>186</v>
      </c>
      <c r="H45" s="55">
        <f>'ATO-CWC2'!$C$19</f>
        <v>34.630000000000003</v>
      </c>
      <c r="I45" s="58"/>
      <c r="J45" s="50">
        <v>0</v>
      </c>
      <c r="K45" s="46"/>
      <c r="L45" s="56">
        <f>H45-J45</f>
        <v>34.630000000000003</v>
      </c>
      <c r="M45" s="46"/>
      <c r="N45" s="46">
        <f>L45*F45</f>
        <v>1884379.2867692583</v>
      </c>
      <c r="O45" s="46"/>
      <c r="Q45"/>
      <c r="R45"/>
      <c r="S45"/>
      <c r="T45"/>
      <c r="U45"/>
      <c r="V45"/>
      <c r="W45"/>
    </row>
    <row r="46" spans="1:23">
      <c r="A46" s="50">
        <v>35</v>
      </c>
      <c r="B46" s="46"/>
      <c r="C46" s="46"/>
      <c r="D46" s="46"/>
      <c r="E46" s="46"/>
      <c r="F46" s="46"/>
      <c r="G46" s="58"/>
      <c r="H46" s="55"/>
      <c r="I46" s="58"/>
      <c r="J46" s="50"/>
      <c r="K46" s="46"/>
      <c r="L46" s="56"/>
      <c r="M46" s="46"/>
      <c r="N46" s="46"/>
      <c r="O46" s="46"/>
    </row>
    <row r="47" spans="1:23">
      <c r="A47" s="50">
        <v>36</v>
      </c>
      <c r="B47" s="46" t="s">
        <v>216</v>
      </c>
      <c r="C47" s="46"/>
      <c r="D47" s="46"/>
      <c r="E47" s="259">
        <v>187551.1307103165</v>
      </c>
      <c r="F47" s="46">
        <f>E47/366</f>
        <v>512.43478336152054</v>
      </c>
      <c r="G47" s="58" t="s">
        <v>186</v>
      </c>
      <c r="H47" s="55">
        <f>'ATO-CWC2'!$C$19</f>
        <v>34.630000000000003</v>
      </c>
      <c r="I47" s="233" t="s">
        <v>201</v>
      </c>
      <c r="J47" s="55">
        <f>'ATO-CWC1A'!J47</f>
        <v>19.399999999999999</v>
      </c>
      <c r="K47" s="46"/>
      <c r="L47" s="56">
        <f>H47-J47</f>
        <v>15.230000000000004</v>
      </c>
      <c r="M47" s="46"/>
      <c r="N47" s="46">
        <f>L47*F47</f>
        <v>7804.3817505959596</v>
      </c>
      <c r="O47" s="46"/>
      <c r="P47" s="162"/>
    </row>
    <row r="48" spans="1:23">
      <c r="A48" s="50">
        <v>37</v>
      </c>
      <c r="B48" s="46"/>
      <c r="C48" s="46"/>
      <c r="D48" s="46"/>
      <c r="E48" s="46"/>
      <c r="F48" s="46"/>
      <c r="G48" s="58"/>
      <c r="H48" s="55"/>
      <c r="I48" s="58"/>
      <c r="J48" s="50"/>
      <c r="K48" s="46"/>
      <c r="L48" s="46"/>
      <c r="M48" s="46"/>
      <c r="N48" s="46"/>
      <c r="O48" s="46"/>
    </row>
    <row r="49" spans="1:15">
      <c r="A49" s="50">
        <v>38</v>
      </c>
      <c r="B49" s="46" t="s">
        <v>102</v>
      </c>
      <c r="C49" s="46"/>
      <c r="D49" s="46"/>
      <c r="E49" s="259">
        <v>9627624.709796248</v>
      </c>
      <c r="F49" s="46">
        <f>E49/366</f>
        <v>26304.985545891388</v>
      </c>
      <c r="G49" s="58" t="s">
        <v>186</v>
      </c>
      <c r="H49" s="55">
        <f>'ATO-CWC2'!$C$19</f>
        <v>34.630000000000003</v>
      </c>
      <c r="I49" s="58" t="s">
        <v>193</v>
      </c>
      <c r="J49" s="55">
        <f>'ATO-CWC9'!U30</f>
        <v>91.401180616660156</v>
      </c>
      <c r="K49" s="46"/>
      <c r="L49" s="56">
        <f>H49-J49</f>
        <v>-56.771180616660153</v>
      </c>
      <c r="M49" s="46"/>
      <c r="N49" s="46">
        <f>L49*F49</f>
        <v>-1493365.0855444346</v>
      </c>
      <c r="O49" s="46"/>
    </row>
    <row r="50" spans="1:15">
      <c r="A50" s="50">
        <v>39</v>
      </c>
      <c r="B50" s="46"/>
      <c r="C50" s="46"/>
      <c r="D50" s="46"/>
      <c r="E50" s="46"/>
      <c r="F50" s="46"/>
      <c r="G50" s="58"/>
      <c r="H50" s="55"/>
      <c r="I50" s="58"/>
      <c r="J50" s="50"/>
      <c r="K50" s="46"/>
      <c r="L50" s="46"/>
      <c r="M50" s="46"/>
      <c r="N50" s="46"/>
      <c r="O50" s="46"/>
    </row>
    <row r="51" spans="1:15">
      <c r="A51" s="50">
        <v>40</v>
      </c>
      <c r="B51" s="46" t="s">
        <v>100</v>
      </c>
      <c r="C51" s="46"/>
      <c r="D51" s="46"/>
      <c r="E51" s="261">
        <v>41698868.061260372</v>
      </c>
      <c r="F51" s="46">
        <f>E51/366</f>
        <v>113931.33350071139</v>
      </c>
      <c r="G51" s="58" t="s">
        <v>186</v>
      </c>
      <c r="H51" s="55">
        <f>'ATO-CWC2'!$C$19</f>
        <v>34.630000000000003</v>
      </c>
      <c r="I51" s="58"/>
      <c r="J51" s="50">
        <v>0</v>
      </c>
      <c r="K51" s="46"/>
      <c r="L51" s="56">
        <f>H51-J51</f>
        <v>34.630000000000003</v>
      </c>
      <c r="M51" s="46"/>
      <c r="N51" s="164">
        <f>L51*F51</f>
        <v>3945442.0791296358</v>
      </c>
      <c r="O51" s="46"/>
    </row>
    <row r="52" spans="1:15">
      <c r="A52" s="50">
        <v>41</v>
      </c>
      <c r="B52" s="46"/>
      <c r="C52" s="46"/>
      <c r="D52" s="46"/>
      <c r="E52" s="46"/>
      <c r="F52" s="46"/>
      <c r="G52" s="58"/>
      <c r="H52" s="55"/>
      <c r="I52" s="58"/>
      <c r="J52" s="50"/>
      <c r="K52" s="46"/>
      <c r="L52" s="46"/>
      <c r="M52" s="46"/>
      <c r="N52" s="46"/>
      <c r="O52" s="46"/>
    </row>
    <row r="53" spans="1:15" ht="16.5" thickBot="1">
      <c r="A53" s="50">
        <v>42</v>
      </c>
      <c r="B53" s="46" t="s">
        <v>57</v>
      </c>
      <c r="C53" s="46"/>
      <c r="D53" s="46"/>
      <c r="E53" s="46">
        <f>+E42+E38+E45+E35+E18+E13+E49+E47+E51+E39+E43</f>
        <v>186992623.05899853</v>
      </c>
      <c r="F53" s="46"/>
      <c r="G53" s="58"/>
      <c r="H53" s="55"/>
      <c r="I53" s="58"/>
      <c r="J53" s="50"/>
      <c r="K53" s="46"/>
      <c r="L53" s="46"/>
      <c r="M53" s="46"/>
      <c r="N53" s="94">
        <f>ROUND(+N42+N38+N45+N35+N18+N13+N49+N47+N51+N39+N43,0)</f>
        <v>-1984329</v>
      </c>
      <c r="O53" s="46"/>
    </row>
    <row r="54" spans="1:15" ht="16.5" thickTop="1">
      <c r="A54" s="50">
        <v>43</v>
      </c>
      <c r="B54" s="46"/>
      <c r="C54" s="46"/>
      <c r="D54" s="46"/>
      <c r="E54" s="46"/>
      <c r="F54" s="46"/>
      <c r="G54" s="58"/>
      <c r="H54" s="55"/>
      <c r="I54" s="58"/>
      <c r="J54" s="50"/>
      <c r="K54" s="46"/>
      <c r="L54" s="46"/>
      <c r="M54" s="46"/>
      <c r="N54" s="46"/>
      <c r="O54" s="46"/>
    </row>
    <row r="55" spans="1:15">
      <c r="A55" s="9">
        <v>44</v>
      </c>
      <c r="B55" s="234" t="s">
        <v>228</v>
      </c>
      <c r="H55" s="169"/>
    </row>
    <row r="56" spans="1:15">
      <c r="H56" s="169"/>
    </row>
    <row r="57" spans="1:15">
      <c r="H57" s="169"/>
    </row>
    <row r="58" spans="1:15">
      <c r="H58" s="169"/>
    </row>
    <row r="59" spans="1:15">
      <c r="H59" s="169"/>
    </row>
    <row r="60" spans="1:15">
      <c r="H60" s="169"/>
    </row>
    <row r="61" spans="1:15">
      <c r="H61" s="169"/>
    </row>
    <row r="62" spans="1:15">
      <c r="H62" s="169"/>
    </row>
    <row r="63" spans="1:15">
      <c r="H63" s="169"/>
    </row>
    <row r="64" spans="1:15">
      <c r="H64" s="169"/>
    </row>
    <row r="65" spans="8:8">
      <c r="H65" s="169"/>
    </row>
    <row r="66" spans="8:8">
      <c r="H66" s="169"/>
    </row>
    <row r="67" spans="8:8">
      <c r="H67" s="169"/>
    </row>
    <row r="68" spans="8:8">
      <c r="H68" s="169"/>
    </row>
    <row r="69" spans="8:8">
      <c r="H69" s="169"/>
    </row>
    <row r="70" spans="8:8">
      <c r="H70" s="169"/>
    </row>
    <row r="71" spans="8:8">
      <c r="H71" s="169"/>
    </row>
    <row r="72" spans="8:8">
      <c r="H72" s="169"/>
    </row>
    <row r="73" spans="8:8">
      <c r="H73" s="169"/>
    </row>
    <row r="74" spans="8:8">
      <c r="H74" s="169"/>
    </row>
    <row r="75" spans="8:8">
      <c r="H75" s="169"/>
    </row>
    <row r="76" spans="8:8">
      <c r="H76" s="169"/>
    </row>
    <row r="77" spans="8:8">
      <c r="H77" s="169"/>
    </row>
    <row r="78" spans="8:8">
      <c r="H78" s="169"/>
    </row>
    <row r="79" spans="8:8">
      <c r="H79" s="169"/>
    </row>
    <row r="80" spans="8:8">
      <c r="H80" s="169"/>
    </row>
    <row r="81" spans="8:8">
      <c r="H81" s="169"/>
    </row>
    <row r="82" spans="8:8">
      <c r="H82" s="169"/>
    </row>
    <row r="83" spans="8:8">
      <c r="H83" s="169"/>
    </row>
    <row r="84" spans="8:8">
      <c r="H84" s="169"/>
    </row>
    <row r="85" spans="8:8">
      <c r="H85" s="169"/>
    </row>
    <row r="86" spans="8:8">
      <c r="H86" s="169"/>
    </row>
    <row r="87" spans="8:8">
      <c r="H87" s="169"/>
    </row>
    <row r="88" spans="8:8">
      <c r="H88" s="169"/>
    </row>
    <row r="89" spans="8:8">
      <c r="H89" s="169"/>
    </row>
    <row r="90" spans="8:8">
      <c r="H90" s="169"/>
    </row>
    <row r="91" spans="8:8">
      <c r="H91" s="169"/>
    </row>
    <row r="92" spans="8:8">
      <c r="H92" s="169"/>
    </row>
    <row r="93" spans="8:8">
      <c r="H93" s="169"/>
    </row>
    <row r="94" spans="8:8">
      <c r="H94" s="169"/>
    </row>
    <row r="95" spans="8:8">
      <c r="H95" s="169"/>
    </row>
    <row r="96" spans="8:8">
      <c r="H96" s="169"/>
    </row>
    <row r="97" spans="8:8">
      <c r="H97" s="169"/>
    </row>
    <row r="98" spans="8:8">
      <c r="H98" s="169"/>
    </row>
    <row r="99" spans="8:8">
      <c r="H99" s="169"/>
    </row>
    <row r="100" spans="8:8">
      <c r="H100" s="169"/>
    </row>
    <row r="101" spans="8:8">
      <c r="H101" s="169"/>
    </row>
    <row r="102" spans="8:8">
      <c r="H102" s="169"/>
    </row>
    <row r="103" spans="8:8">
      <c r="H103" s="169"/>
    </row>
    <row r="104" spans="8:8">
      <c r="H104" s="169"/>
    </row>
    <row r="105" spans="8:8">
      <c r="H105" s="169"/>
    </row>
    <row r="106" spans="8:8">
      <c r="H106" s="169"/>
    </row>
    <row r="107" spans="8:8">
      <c r="H107" s="169"/>
    </row>
    <row r="108" spans="8:8">
      <c r="H108" s="169"/>
    </row>
    <row r="109" spans="8:8">
      <c r="H109" s="169"/>
    </row>
    <row r="110" spans="8:8">
      <c r="H110" s="169"/>
    </row>
    <row r="111" spans="8:8">
      <c r="H111" s="169"/>
    </row>
    <row r="112" spans="8:8">
      <c r="H112" s="169"/>
    </row>
    <row r="113" spans="8:8">
      <c r="H113" s="169"/>
    </row>
    <row r="114" spans="8:8">
      <c r="H114" s="169"/>
    </row>
    <row r="115" spans="8:8">
      <c r="H115" s="169"/>
    </row>
    <row r="116" spans="8:8">
      <c r="H116" s="169"/>
    </row>
    <row r="117" spans="8:8">
      <c r="H117" s="169"/>
    </row>
    <row r="118" spans="8:8">
      <c r="H118" s="169"/>
    </row>
    <row r="119" spans="8:8">
      <c r="H119" s="169"/>
    </row>
    <row r="120" spans="8:8">
      <c r="H120" s="169"/>
    </row>
    <row r="121" spans="8:8">
      <c r="H121" s="169"/>
    </row>
    <row r="122" spans="8:8">
      <c r="H122" s="169"/>
    </row>
    <row r="123" spans="8:8">
      <c r="H123" s="169"/>
    </row>
    <row r="124" spans="8:8">
      <c r="H124" s="169"/>
    </row>
    <row r="125" spans="8:8">
      <c r="H125" s="169"/>
    </row>
    <row r="126" spans="8:8">
      <c r="H126" s="169"/>
    </row>
    <row r="127" spans="8:8">
      <c r="H127" s="169"/>
    </row>
    <row r="128" spans="8:8">
      <c r="H128" s="169"/>
    </row>
    <row r="129" spans="8:8">
      <c r="H129" s="169"/>
    </row>
    <row r="130" spans="8:8">
      <c r="H130" s="169"/>
    </row>
    <row r="131" spans="8:8">
      <c r="H131" s="169"/>
    </row>
    <row r="132" spans="8:8">
      <c r="H132" s="169"/>
    </row>
    <row r="133" spans="8:8">
      <c r="H133" s="169"/>
    </row>
    <row r="134" spans="8:8">
      <c r="H134" s="169"/>
    </row>
    <row r="135" spans="8:8">
      <c r="H135" s="169"/>
    </row>
    <row r="136" spans="8:8">
      <c r="H136" s="169"/>
    </row>
    <row r="137" spans="8:8">
      <c r="H137" s="169"/>
    </row>
    <row r="138" spans="8:8">
      <c r="H138" s="169"/>
    </row>
    <row r="139" spans="8:8">
      <c r="H139" s="169"/>
    </row>
    <row r="140" spans="8:8">
      <c r="H140" s="169"/>
    </row>
    <row r="141" spans="8:8">
      <c r="H141" s="169"/>
    </row>
    <row r="142" spans="8:8">
      <c r="H142" s="169"/>
    </row>
    <row r="143" spans="8:8">
      <c r="H143" s="169"/>
    </row>
    <row r="144" spans="8:8">
      <c r="H144" s="169"/>
    </row>
    <row r="145" spans="8:8">
      <c r="H145" s="169"/>
    </row>
    <row r="146" spans="8:8">
      <c r="H146" s="169"/>
    </row>
    <row r="147" spans="8:8">
      <c r="H147" s="169"/>
    </row>
    <row r="148" spans="8:8">
      <c r="H148" s="169"/>
    </row>
    <row r="149" spans="8:8">
      <c r="H149" s="169"/>
    </row>
    <row r="150" spans="8:8">
      <c r="H150" s="169"/>
    </row>
    <row r="151" spans="8:8">
      <c r="H151" s="169"/>
    </row>
    <row r="152" spans="8:8">
      <c r="H152" s="169"/>
    </row>
    <row r="153" spans="8:8">
      <c r="H153" s="169"/>
    </row>
    <row r="154" spans="8:8">
      <c r="H154" s="169"/>
    </row>
    <row r="155" spans="8:8">
      <c r="H155" s="169"/>
    </row>
    <row r="156" spans="8:8">
      <c r="H156" s="169"/>
    </row>
    <row r="157" spans="8:8">
      <c r="H157" s="169"/>
    </row>
    <row r="158" spans="8:8">
      <c r="H158" s="169"/>
    </row>
    <row r="159" spans="8:8">
      <c r="H159" s="169"/>
    </row>
    <row r="160" spans="8:8">
      <c r="H160" s="169"/>
    </row>
    <row r="161" spans="8:8">
      <c r="H161" s="169"/>
    </row>
    <row r="162" spans="8:8">
      <c r="H162" s="169"/>
    </row>
    <row r="163" spans="8:8">
      <c r="H163" s="169"/>
    </row>
    <row r="164" spans="8:8">
      <c r="H164" s="169"/>
    </row>
    <row r="165" spans="8:8">
      <c r="H165" s="169"/>
    </row>
    <row r="166" spans="8:8">
      <c r="H166" s="169"/>
    </row>
  </sheetData>
  <phoneticPr fontId="9" type="noConversion"/>
  <printOptions horizontalCentered="1"/>
  <pageMargins left="0.95" right="0.5" top="1" bottom="0.5" header="0.5" footer="0.5"/>
  <pageSetup scale="6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theme="6" tint="0.59999389629810485"/>
    <pageSetUpPr fitToPage="1"/>
  </sheetPr>
  <dimension ref="A1:K43"/>
  <sheetViews>
    <sheetView showGridLines="0" zoomScaleNormal="100" zoomScaleSheetLayoutView="100" workbookViewId="0"/>
  </sheetViews>
  <sheetFormatPr defaultColWidth="9.625" defaultRowHeight="12.75"/>
  <cols>
    <col min="1" max="1" width="6.125" style="7" customWidth="1"/>
    <col min="2" max="2" width="68.25" style="7" customWidth="1"/>
    <col min="3" max="3" width="12.25" style="7" customWidth="1"/>
    <col min="4" max="4" width="1.5" style="7" bestFit="1" customWidth="1"/>
    <col min="5" max="16384" width="9.625" style="7"/>
  </cols>
  <sheetData>
    <row r="1" spans="1:11" ht="14.25">
      <c r="A1" s="22"/>
      <c r="B1" s="39"/>
      <c r="C1" s="97" t="s">
        <v>173</v>
      </c>
    </row>
    <row r="2" spans="1:11" ht="15">
      <c r="A2" s="81" t="str">
        <f>CONCATENATE(COMPANY,"-",JURISDICTION)</f>
        <v>Atmos Energy Corporation-Kentucky</v>
      </c>
      <c r="B2" s="39"/>
      <c r="C2" s="39"/>
    </row>
    <row r="3" spans="1:11" ht="15">
      <c r="A3" s="82" t="s">
        <v>0</v>
      </c>
      <c r="B3" s="39"/>
      <c r="C3" s="39"/>
      <c r="G3" s="170"/>
    </row>
    <row r="4" spans="1:11" ht="15.75">
      <c r="A4" s="166" t="str">
        <f>"For Base Period Ended  "&amp;TEXT(HISTORIC_YEAR, "mmmm dd, yyyy")</f>
        <v>For Base Period Ended  June 30, 2024</v>
      </c>
      <c r="B4" s="39"/>
      <c r="C4" s="39"/>
    </row>
    <row r="5" spans="1:11" ht="14.25">
      <c r="A5" s="22"/>
      <c r="B5" s="22"/>
      <c r="C5" s="22"/>
    </row>
    <row r="6" spans="1:11" ht="14.25">
      <c r="A6" s="86" t="s">
        <v>1</v>
      </c>
      <c r="B6" s="86"/>
      <c r="C6" s="86" t="s">
        <v>145</v>
      </c>
    </row>
    <row r="7" spans="1:11" ht="11.25" customHeight="1">
      <c r="A7" s="98" t="s">
        <v>113</v>
      </c>
      <c r="B7" s="88" t="s">
        <v>114</v>
      </c>
      <c r="C7" s="88" t="s">
        <v>91</v>
      </c>
    </row>
    <row r="8" spans="1:11" ht="14.25">
      <c r="A8" s="22"/>
      <c r="B8" s="86" t="s">
        <v>118</v>
      </c>
      <c r="C8" s="86" t="s">
        <v>119</v>
      </c>
    </row>
    <row r="9" spans="1:11" ht="14.25">
      <c r="A9" s="22"/>
      <c r="B9" s="22"/>
      <c r="C9" s="22"/>
    </row>
    <row r="10" spans="1:11" ht="15.75">
      <c r="A10" s="86">
        <v>1</v>
      </c>
      <c r="B10" s="101" t="s">
        <v>197</v>
      </c>
      <c r="C10" s="24">
        <v>0.31130000000000002</v>
      </c>
      <c r="E10"/>
      <c r="F10"/>
      <c r="G10"/>
      <c r="H10"/>
    </row>
    <row r="11" spans="1:11" ht="14.25">
      <c r="A11" s="86">
        <v>2</v>
      </c>
      <c r="B11" s="22"/>
      <c r="C11" s="22"/>
    </row>
    <row r="12" spans="1:11" ht="15">
      <c r="A12" s="86">
        <v>3</v>
      </c>
      <c r="B12" s="171" t="s">
        <v>196</v>
      </c>
      <c r="C12" s="24">
        <f>ROUND(366/24,4)</f>
        <v>15.25</v>
      </c>
    </row>
    <row r="13" spans="1:11" ht="14.25">
      <c r="A13" s="86">
        <v>4</v>
      </c>
      <c r="B13" s="22"/>
      <c r="C13" s="22"/>
    </row>
    <row r="14" spans="1:11" ht="15.75">
      <c r="A14" s="86">
        <v>5</v>
      </c>
      <c r="B14" s="171" t="s">
        <v>150</v>
      </c>
      <c r="C14" s="24">
        <f>'WP 2-1'!E379</f>
        <v>18.07</v>
      </c>
      <c r="E14" s="8"/>
      <c r="F14"/>
      <c r="G14"/>
      <c r="H14"/>
      <c r="I14"/>
      <c r="J14"/>
      <c r="K14"/>
    </row>
    <row r="15" spans="1:11" ht="14.25">
      <c r="A15" s="86">
        <v>6</v>
      </c>
      <c r="B15" s="172" t="s">
        <v>109</v>
      </c>
      <c r="C15" s="22"/>
    </row>
    <row r="16" spans="1:11" ht="14.25">
      <c r="A16" s="86">
        <v>7</v>
      </c>
      <c r="B16" s="22"/>
      <c r="C16" s="22"/>
    </row>
    <row r="17" spans="1:10" ht="15">
      <c r="A17" s="86">
        <v>8</v>
      </c>
      <c r="B17" s="171" t="s">
        <v>198</v>
      </c>
      <c r="C17" s="25">
        <v>1</v>
      </c>
    </row>
    <row r="18" spans="1:10" ht="14.25">
      <c r="A18" s="86">
        <v>9</v>
      </c>
      <c r="B18" s="22"/>
      <c r="C18" s="22"/>
    </row>
    <row r="19" spans="1:10" ht="15.75" thickBot="1">
      <c r="A19" s="86">
        <v>10</v>
      </c>
      <c r="B19" s="171" t="s">
        <v>54</v>
      </c>
      <c r="C19" s="173">
        <f>ROUND(C17+C14+C12+C10,2)</f>
        <v>34.630000000000003</v>
      </c>
      <c r="E19" s="8"/>
    </row>
    <row r="20" spans="1:10" ht="15.75" thickTop="1">
      <c r="A20" s="86">
        <v>11</v>
      </c>
      <c r="B20" s="170"/>
      <c r="C20" s="170"/>
    </row>
    <row r="21" spans="1:10" ht="15">
      <c r="A21" s="86">
        <v>12</v>
      </c>
      <c r="B21" s="172" t="s">
        <v>199</v>
      </c>
      <c r="C21" s="170"/>
    </row>
    <row r="22" spans="1:10" ht="15">
      <c r="A22" s="86">
        <v>13</v>
      </c>
      <c r="B22" s="172" t="s">
        <v>235</v>
      </c>
      <c r="C22" s="170"/>
    </row>
    <row r="23" spans="1:10" ht="15.75">
      <c r="A23" s="86">
        <v>14</v>
      </c>
      <c r="B23" s="172" t="s">
        <v>240</v>
      </c>
      <c r="C23" s="170"/>
      <c r="E23"/>
      <c r="F23"/>
      <c r="G23"/>
      <c r="H23"/>
    </row>
    <row r="24" spans="1:10" ht="27" customHeight="1">
      <c r="A24" s="86">
        <v>15</v>
      </c>
      <c r="B24" s="279" t="s">
        <v>241</v>
      </c>
      <c r="C24" s="279"/>
      <c r="E24"/>
      <c r="F24"/>
      <c r="G24"/>
      <c r="H24"/>
      <c r="I24"/>
      <c r="J24"/>
    </row>
    <row r="43" spans="3:3">
      <c r="C43" s="216"/>
    </row>
  </sheetData>
  <mergeCells count="1">
    <mergeCell ref="B24:C24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tabColor theme="6" tint="0.59999389629810485"/>
  </sheetPr>
  <dimension ref="A1:L380"/>
  <sheetViews>
    <sheetView showGridLines="0" zoomScaleNormal="100" zoomScaleSheetLayoutView="90" workbookViewId="0"/>
  </sheetViews>
  <sheetFormatPr defaultColWidth="9.625" defaultRowHeight="12.75"/>
  <cols>
    <col min="1" max="1" width="1.625" style="7" customWidth="1"/>
    <col min="2" max="2" width="7.375" style="7" bestFit="1" customWidth="1"/>
    <col min="3" max="3" width="31.25" style="7" bestFit="1" customWidth="1"/>
    <col min="4" max="4" width="6.75" style="7" customWidth="1"/>
    <col min="5" max="5" width="14.5" style="7" bestFit="1" customWidth="1"/>
    <col min="6" max="6" width="15.75" style="7" customWidth="1"/>
    <col min="7" max="7" width="5.125" style="7" customWidth="1"/>
    <col min="8" max="16384" width="9.625" style="7"/>
  </cols>
  <sheetData>
    <row r="1" spans="1:12">
      <c r="B1" s="74" t="str">
        <f>CONCATENATE(COMPANY,"-",JURISDICTION)</f>
        <v>Atmos Energy Corporation-Kentucky</v>
      </c>
      <c r="C1" s="75"/>
      <c r="D1" s="75"/>
      <c r="E1" s="174"/>
      <c r="F1" s="75"/>
      <c r="G1" s="37" t="s">
        <v>95</v>
      </c>
    </row>
    <row r="2" spans="1:12">
      <c r="B2" s="175" t="s">
        <v>185</v>
      </c>
      <c r="C2" s="175"/>
      <c r="D2" s="175"/>
      <c r="E2" s="175"/>
      <c r="F2" s="175"/>
      <c r="G2" s="176"/>
    </row>
    <row r="3" spans="1:12">
      <c r="B3" s="75" t="str">
        <f>'ATO-CWC2'!A4</f>
        <v>For Base Period Ended  June 30, 2024</v>
      </c>
      <c r="C3" s="75"/>
      <c r="D3" s="75"/>
      <c r="E3" s="174"/>
      <c r="F3" s="75"/>
      <c r="G3" s="176"/>
    </row>
    <row r="4" spans="1:12">
      <c r="A4" s="177"/>
      <c r="B4" s="177"/>
      <c r="C4" s="177"/>
      <c r="D4" s="177"/>
      <c r="E4" s="177"/>
      <c r="F4" s="177"/>
      <c r="G4" s="177"/>
    </row>
    <row r="6" spans="1:12">
      <c r="B6" s="124" t="s">
        <v>108</v>
      </c>
      <c r="C6" s="125" t="s">
        <v>136</v>
      </c>
      <c r="D6" s="35"/>
      <c r="E6" s="178" t="s">
        <v>131</v>
      </c>
      <c r="F6" s="35"/>
      <c r="G6" s="158"/>
    </row>
    <row r="7" spans="1:12">
      <c r="B7" s="35"/>
      <c r="C7" s="35"/>
      <c r="D7" s="35"/>
      <c r="E7" s="38"/>
      <c r="F7" s="35"/>
    </row>
    <row r="8" spans="1:12" ht="15.75">
      <c r="B8" s="36">
        <v>1</v>
      </c>
      <c r="C8" s="243" t="s">
        <v>292</v>
      </c>
      <c r="D8" s="95"/>
      <c r="E8" s="244">
        <v>6086985.7400000002</v>
      </c>
      <c r="F8" s="95"/>
      <c r="G8" s="179"/>
      <c r="H8"/>
      <c r="I8"/>
      <c r="J8"/>
      <c r="K8"/>
      <c r="L8"/>
    </row>
    <row r="9" spans="1:12">
      <c r="B9" s="36">
        <f t="shared" ref="B9:B72" si="0">B8+1</f>
        <v>2</v>
      </c>
      <c r="C9" s="243" t="s">
        <v>293</v>
      </c>
      <c r="D9" s="95"/>
      <c r="E9" s="244">
        <v>6035915.1699999999</v>
      </c>
      <c r="F9" s="95"/>
      <c r="G9" s="179"/>
    </row>
    <row r="10" spans="1:12">
      <c r="B10" s="36">
        <f t="shared" si="0"/>
        <v>3</v>
      </c>
      <c r="C10" s="243" t="s">
        <v>294</v>
      </c>
      <c r="D10" s="95"/>
      <c r="E10" s="244">
        <v>5623055.29</v>
      </c>
      <c r="F10" s="95"/>
      <c r="G10" s="179"/>
    </row>
    <row r="11" spans="1:12">
      <c r="B11" s="36">
        <f t="shared" si="0"/>
        <v>4</v>
      </c>
      <c r="C11" s="243" t="s">
        <v>295</v>
      </c>
      <c r="D11" s="95"/>
      <c r="E11" s="244">
        <v>5292232.46</v>
      </c>
      <c r="F11" s="95"/>
      <c r="G11" s="179"/>
    </row>
    <row r="12" spans="1:12">
      <c r="B12" s="36">
        <f t="shared" si="0"/>
        <v>5</v>
      </c>
      <c r="C12" s="243" t="s">
        <v>296</v>
      </c>
      <c r="D12" s="95"/>
      <c r="E12" s="244">
        <v>4952095.3</v>
      </c>
      <c r="F12" s="95"/>
      <c r="G12" s="179"/>
    </row>
    <row r="13" spans="1:12">
      <c r="B13" s="36">
        <f t="shared" si="0"/>
        <v>6</v>
      </c>
      <c r="C13" s="243" t="s">
        <v>297</v>
      </c>
      <c r="D13" s="95"/>
      <c r="E13" s="244">
        <v>4819279.99</v>
      </c>
      <c r="F13" s="95"/>
      <c r="G13" s="179"/>
    </row>
    <row r="14" spans="1:12">
      <c r="B14" s="36">
        <f t="shared" si="0"/>
        <v>7</v>
      </c>
      <c r="C14" s="243" t="s">
        <v>298</v>
      </c>
      <c r="D14" s="95"/>
      <c r="E14" s="244">
        <v>4865995.2</v>
      </c>
      <c r="F14" s="95"/>
      <c r="G14" s="179"/>
    </row>
    <row r="15" spans="1:12">
      <c r="B15" s="36">
        <f t="shared" si="0"/>
        <v>8</v>
      </c>
      <c r="C15" s="243" t="s">
        <v>299</v>
      </c>
      <c r="D15" s="95"/>
      <c r="E15" s="244">
        <v>4838148.16</v>
      </c>
      <c r="F15" s="95"/>
      <c r="G15" s="179"/>
    </row>
    <row r="16" spans="1:12">
      <c r="B16" s="36">
        <f t="shared" si="0"/>
        <v>9</v>
      </c>
      <c r="C16" s="243" t="s">
        <v>300</v>
      </c>
      <c r="D16" s="95"/>
      <c r="E16" s="244">
        <v>4799836.75</v>
      </c>
      <c r="F16" s="95"/>
      <c r="G16" s="179"/>
    </row>
    <row r="17" spans="2:7">
      <c r="B17" s="36">
        <f t="shared" si="0"/>
        <v>10</v>
      </c>
      <c r="C17" s="243" t="s">
        <v>301</v>
      </c>
      <c r="D17" s="95"/>
      <c r="E17" s="244">
        <v>4319384.78</v>
      </c>
      <c r="F17" s="95"/>
      <c r="G17" s="179"/>
    </row>
    <row r="18" spans="2:7">
      <c r="B18" s="36">
        <f t="shared" si="0"/>
        <v>11</v>
      </c>
      <c r="C18" s="243" t="s">
        <v>302</v>
      </c>
      <c r="D18" s="95"/>
      <c r="E18" s="244">
        <v>3311596.36</v>
      </c>
      <c r="F18" s="95"/>
      <c r="G18" s="179"/>
    </row>
    <row r="19" spans="2:7">
      <c r="B19" s="36">
        <f t="shared" si="0"/>
        <v>12</v>
      </c>
      <c r="C19" s="243" t="s">
        <v>303</v>
      </c>
      <c r="D19" s="95"/>
      <c r="E19" s="244">
        <v>3397021.44</v>
      </c>
      <c r="F19" s="95"/>
      <c r="G19" s="179"/>
    </row>
    <row r="20" spans="2:7">
      <c r="B20" s="36">
        <f t="shared" si="0"/>
        <v>13</v>
      </c>
      <c r="C20" s="243" t="s">
        <v>304</v>
      </c>
      <c r="D20" s="95"/>
      <c r="E20" s="244">
        <v>3581637.93</v>
      </c>
      <c r="F20" s="95"/>
      <c r="G20" s="179"/>
    </row>
    <row r="21" spans="2:7">
      <c r="B21" s="36">
        <f t="shared" si="0"/>
        <v>14</v>
      </c>
      <c r="C21" s="243" t="s">
        <v>305</v>
      </c>
      <c r="D21" s="95"/>
      <c r="E21" s="244">
        <v>3838187.48</v>
      </c>
      <c r="F21" s="95"/>
      <c r="G21" s="179"/>
    </row>
    <row r="22" spans="2:7">
      <c r="B22" s="36">
        <f t="shared" si="0"/>
        <v>15</v>
      </c>
      <c r="C22" s="243" t="s">
        <v>306</v>
      </c>
      <c r="D22" s="95"/>
      <c r="E22" s="244">
        <v>3807365.1</v>
      </c>
      <c r="F22" s="95"/>
      <c r="G22" s="179"/>
    </row>
    <row r="23" spans="2:7">
      <c r="B23" s="36">
        <f t="shared" si="0"/>
        <v>16</v>
      </c>
      <c r="C23" s="243" t="s">
        <v>307</v>
      </c>
      <c r="D23" s="95"/>
      <c r="E23" s="244">
        <v>3762168.57</v>
      </c>
      <c r="F23" s="95"/>
      <c r="G23" s="179"/>
    </row>
    <row r="24" spans="2:7">
      <c r="B24" s="36">
        <f t="shared" si="0"/>
        <v>17</v>
      </c>
      <c r="C24" s="243" t="s">
        <v>308</v>
      </c>
      <c r="D24" s="95"/>
      <c r="E24" s="244">
        <v>3704179.4</v>
      </c>
      <c r="F24" s="95"/>
      <c r="G24" s="179"/>
    </row>
    <row r="25" spans="2:7">
      <c r="B25" s="36">
        <f t="shared" si="0"/>
        <v>18</v>
      </c>
      <c r="C25" s="243" t="s">
        <v>309</v>
      </c>
      <c r="D25" s="95"/>
      <c r="E25" s="244">
        <v>3894184.36</v>
      </c>
      <c r="F25" s="95"/>
      <c r="G25" s="179"/>
    </row>
    <row r="26" spans="2:7">
      <c r="B26" s="36">
        <f t="shared" si="0"/>
        <v>19</v>
      </c>
      <c r="C26" s="243" t="s">
        <v>310</v>
      </c>
      <c r="D26" s="95"/>
      <c r="E26" s="244">
        <v>4177732.13</v>
      </c>
      <c r="F26" s="95"/>
      <c r="G26" s="179"/>
    </row>
    <row r="27" spans="2:7">
      <c r="B27" s="36">
        <f t="shared" si="0"/>
        <v>20</v>
      </c>
      <c r="C27" s="243" t="s">
        <v>311</v>
      </c>
      <c r="D27" s="95"/>
      <c r="E27" s="244">
        <v>6012011.7999999998</v>
      </c>
      <c r="F27" s="95"/>
      <c r="G27" s="179"/>
    </row>
    <row r="28" spans="2:7">
      <c r="B28" s="36">
        <f t="shared" si="0"/>
        <v>21</v>
      </c>
      <c r="C28" s="243" t="s">
        <v>312</v>
      </c>
      <c r="D28" s="95"/>
      <c r="E28" s="244">
        <v>6152906.2800000003</v>
      </c>
      <c r="F28" s="95"/>
      <c r="G28" s="179"/>
    </row>
    <row r="29" spans="2:7">
      <c r="B29" s="36">
        <f t="shared" si="0"/>
        <v>22</v>
      </c>
      <c r="C29" s="243" t="s">
        <v>313</v>
      </c>
      <c r="D29" s="95"/>
      <c r="E29" s="244">
        <v>6116443.7199999997</v>
      </c>
      <c r="F29" s="95"/>
      <c r="G29" s="179"/>
    </row>
    <row r="30" spans="2:7">
      <c r="B30" s="36">
        <f t="shared" si="0"/>
        <v>23</v>
      </c>
      <c r="C30" s="243" t="s">
        <v>314</v>
      </c>
      <c r="D30" s="95"/>
      <c r="E30" s="244">
        <v>6074259.8499999996</v>
      </c>
      <c r="F30" s="95"/>
      <c r="G30" s="179"/>
    </row>
    <row r="31" spans="2:7">
      <c r="B31" s="36">
        <f t="shared" si="0"/>
        <v>24</v>
      </c>
      <c r="C31" s="243" t="s">
        <v>315</v>
      </c>
      <c r="D31" s="95"/>
      <c r="E31" s="244">
        <v>6068838.6299999999</v>
      </c>
      <c r="F31" s="95"/>
      <c r="G31" s="179"/>
    </row>
    <row r="32" spans="2:7">
      <c r="B32" s="36">
        <f t="shared" si="0"/>
        <v>25</v>
      </c>
      <c r="C32" s="243" t="s">
        <v>316</v>
      </c>
      <c r="D32" s="95"/>
      <c r="E32" s="244">
        <v>6150854.21</v>
      </c>
      <c r="F32" s="95"/>
      <c r="G32" s="179"/>
    </row>
    <row r="33" spans="2:7">
      <c r="B33" s="36">
        <f t="shared" si="0"/>
        <v>26</v>
      </c>
      <c r="C33" s="243" t="s">
        <v>317</v>
      </c>
      <c r="D33" s="95"/>
      <c r="E33" s="244">
        <v>6206735.6799999997</v>
      </c>
      <c r="F33" s="95"/>
      <c r="G33" s="179"/>
    </row>
    <row r="34" spans="2:7">
      <c r="B34" s="36">
        <f t="shared" si="0"/>
        <v>27</v>
      </c>
      <c r="C34" s="243" t="s">
        <v>318</v>
      </c>
      <c r="D34" s="95"/>
      <c r="E34" s="244">
        <v>6442497.0999999996</v>
      </c>
      <c r="F34" s="95"/>
      <c r="G34" s="179"/>
    </row>
    <row r="35" spans="2:7">
      <c r="B35" s="36">
        <f t="shared" si="0"/>
        <v>28</v>
      </c>
      <c r="C35" s="243" t="s">
        <v>319</v>
      </c>
      <c r="D35" s="95"/>
      <c r="E35" s="244">
        <v>6331748.1200000001</v>
      </c>
      <c r="F35" s="95"/>
      <c r="G35" s="179"/>
    </row>
    <row r="36" spans="2:7">
      <c r="B36" s="36">
        <f t="shared" si="0"/>
        <v>29</v>
      </c>
      <c r="C36" s="243" t="s">
        <v>320</v>
      </c>
      <c r="D36" s="95"/>
      <c r="E36" s="244">
        <v>6287901.0700000003</v>
      </c>
      <c r="F36" s="95"/>
      <c r="G36" s="179"/>
    </row>
    <row r="37" spans="2:7">
      <c r="B37" s="36">
        <f t="shared" si="0"/>
        <v>30</v>
      </c>
      <c r="C37" s="243" t="s">
        <v>321</v>
      </c>
      <c r="D37" s="95"/>
      <c r="E37" s="244">
        <v>6239996.71</v>
      </c>
      <c r="F37" s="95"/>
      <c r="G37" s="179"/>
    </row>
    <row r="38" spans="2:7">
      <c r="B38" s="36">
        <f t="shared" si="0"/>
        <v>31</v>
      </c>
      <c r="C38" s="243" t="s">
        <v>322</v>
      </c>
      <c r="D38" s="95"/>
      <c r="E38" s="244">
        <v>5535028.8899999997</v>
      </c>
      <c r="F38" s="95"/>
      <c r="G38" s="179"/>
    </row>
    <row r="39" spans="2:7">
      <c r="B39" s="36">
        <f t="shared" si="0"/>
        <v>32</v>
      </c>
      <c r="C39" s="243" t="s">
        <v>323</v>
      </c>
      <c r="D39" s="95"/>
      <c r="E39" s="244">
        <v>5238000.9000000004</v>
      </c>
      <c r="F39" s="95"/>
      <c r="G39" s="179"/>
    </row>
    <row r="40" spans="2:7">
      <c r="B40" s="36">
        <f t="shared" si="0"/>
        <v>33</v>
      </c>
      <c r="C40" s="243" t="s">
        <v>324</v>
      </c>
      <c r="D40" s="95"/>
      <c r="E40" s="244">
        <v>5127636.45</v>
      </c>
      <c r="F40" s="95"/>
      <c r="G40" s="179"/>
    </row>
    <row r="41" spans="2:7">
      <c r="B41" s="36">
        <f t="shared" si="0"/>
        <v>34</v>
      </c>
      <c r="C41" s="243" t="s">
        <v>325</v>
      </c>
      <c r="D41" s="95"/>
      <c r="E41" s="244">
        <v>5170421.6900000004</v>
      </c>
      <c r="F41" s="95"/>
      <c r="G41" s="179"/>
    </row>
    <row r="42" spans="2:7">
      <c r="B42" s="36">
        <f t="shared" si="0"/>
        <v>35</v>
      </c>
      <c r="C42" s="243" t="s">
        <v>326</v>
      </c>
      <c r="D42" s="95"/>
      <c r="E42" s="244">
        <v>5175285.78</v>
      </c>
      <c r="F42" s="95"/>
      <c r="G42" s="179"/>
    </row>
    <row r="43" spans="2:7">
      <c r="B43" s="36">
        <f t="shared" si="0"/>
        <v>36</v>
      </c>
      <c r="C43" s="243" t="s">
        <v>327</v>
      </c>
      <c r="D43" s="95"/>
      <c r="E43" s="244">
        <v>5156014.46</v>
      </c>
      <c r="F43" s="95"/>
      <c r="G43" s="179"/>
    </row>
    <row r="44" spans="2:7">
      <c r="B44" s="36">
        <f t="shared" si="0"/>
        <v>37</v>
      </c>
      <c r="C44" s="243" t="s">
        <v>328</v>
      </c>
      <c r="D44" s="95"/>
      <c r="E44" s="244">
        <v>5116077.4400000004</v>
      </c>
      <c r="F44" s="95"/>
      <c r="G44" s="179"/>
    </row>
    <row r="45" spans="2:7">
      <c r="B45" s="36">
        <f t="shared" si="0"/>
        <v>38</v>
      </c>
      <c r="C45" s="243" t="s">
        <v>329</v>
      </c>
      <c r="D45" s="95"/>
      <c r="E45" s="244">
        <v>4514705.1500000004</v>
      </c>
      <c r="F45" s="95"/>
      <c r="G45" s="179"/>
    </row>
    <row r="46" spans="2:7">
      <c r="B46" s="36">
        <f t="shared" si="0"/>
        <v>39</v>
      </c>
      <c r="C46" s="243" t="s">
        <v>330</v>
      </c>
      <c r="D46" s="95"/>
      <c r="E46" s="244">
        <v>4285163.51</v>
      </c>
      <c r="F46" s="95"/>
      <c r="G46" s="179"/>
    </row>
    <row r="47" spans="2:7">
      <c r="B47" s="36">
        <f t="shared" si="0"/>
        <v>40</v>
      </c>
      <c r="C47" s="243" t="s">
        <v>331</v>
      </c>
      <c r="D47" s="95"/>
      <c r="E47" s="244">
        <v>4129177.24</v>
      </c>
      <c r="F47" s="95"/>
      <c r="G47" s="179"/>
    </row>
    <row r="48" spans="2:7">
      <c r="B48" s="36">
        <f t="shared" si="0"/>
        <v>41</v>
      </c>
      <c r="C48" s="243" t="s">
        <v>332</v>
      </c>
      <c r="D48" s="95"/>
      <c r="E48" s="244">
        <v>4284278.3499999996</v>
      </c>
      <c r="F48" s="95"/>
      <c r="G48" s="179"/>
    </row>
    <row r="49" spans="2:7">
      <c r="B49" s="36">
        <f t="shared" si="0"/>
        <v>42</v>
      </c>
      <c r="C49" s="243" t="s">
        <v>333</v>
      </c>
      <c r="D49" s="95"/>
      <c r="E49" s="244">
        <v>4569912.97</v>
      </c>
      <c r="F49" s="95"/>
      <c r="G49" s="179"/>
    </row>
    <row r="50" spans="2:7">
      <c r="B50" s="36">
        <f t="shared" si="0"/>
        <v>43</v>
      </c>
      <c r="C50" s="243" t="s">
        <v>334</v>
      </c>
      <c r="D50" s="95"/>
      <c r="E50" s="244">
        <v>4534463.4400000004</v>
      </c>
      <c r="F50" s="95"/>
      <c r="G50" s="179"/>
    </row>
    <row r="51" spans="2:7">
      <c r="B51" s="36">
        <f t="shared" si="0"/>
        <v>44</v>
      </c>
      <c r="C51" s="243" t="s">
        <v>335</v>
      </c>
      <c r="D51" s="95"/>
      <c r="E51" s="244">
        <v>4499982.0599999996</v>
      </c>
      <c r="F51" s="95"/>
      <c r="G51" s="179"/>
    </row>
    <row r="52" spans="2:7">
      <c r="B52" s="36">
        <f t="shared" si="0"/>
        <v>45</v>
      </c>
      <c r="C52" s="243" t="s">
        <v>336</v>
      </c>
      <c r="D52" s="95"/>
      <c r="E52" s="244">
        <v>4095898.3</v>
      </c>
      <c r="F52" s="95"/>
      <c r="G52" s="179"/>
    </row>
    <row r="53" spans="2:7">
      <c r="B53" s="36">
        <f t="shared" si="0"/>
        <v>46</v>
      </c>
      <c r="C53" s="243" t="s">
        <v>337</v>
      </c>
      <c r="D53" s="95"/>
      <c r="E53" s="244">
        <v>3374260.08</v>
      </c>
      <c r="F53" s="95"/>
      <c r="G53" s="179"/>
    </row>
    <row r="54" spans="2:7">
      <c r="B54" s="36">
        <f t="shared" si="0"/>
        <v>47</v>
      </c>
      <c r="C54" s="243" t="s">
        <v>338</v>
      </c>
      <c r="D54" s="95"/>
      <c r="E54" s="244">
        <v>3595066.74</v>
      </c>
      <c r="F54" s="95"/>
      <c r="G54" s="179"/>
    </row>
    <row r="55" spans="2:7">
      <c r="B55" s="36">
        <f t="shared" si="0"/>
        <v>48</v>
      </c>
      <c r="C55" s="243" t="s">
        <v>339</v>
      </c>
      <c r="D55" s="95"/>
      <c r="E55" s="244">
        <v>5879220.0800000001</v>
      </c>
      <c r="F55" s="95"/>
      <c r="G55" s="179"/>
    </row>
    <row r="56" spans="2:7">
      <c r="B56" s="36">
        <f t="shared" si="0"/>
        <v>49</v>
      </c>
      <c r="C56" s="243" t="s">
        <v>340</v>
      </c>
      <c r="D56" s="95"/>
      <c r="E56" s="244">
        <v>6138750.1699999999</v>
      </c>
      <c r="F56" s="95"/>
      <c r="G56" s="179"/>
    </row>
    <row r="57" spans="2:7">
      <c r="B57" s="36">
        <f t="shared" si="0"/>
        <v>50</v>
      </c>
      <c r="C57" s="243" t="s">
        <v>341</v>
      </c>
      <c r="D57" s="95"/>
      <c r="E57" s="244">
        <v>6096557.7400000002</v>
      </c>
      <c r="F57" s="95"/>
      <c r="G57" s="179"/>
    </row>
    <row r="58" spans="2:7">
      <c r="B58" s="36">
        <f t="shared" si="0"/>
        <v>51</v>
      </c>
      <c r="C58" s="243" t="s">
        <v>342</v>
      </c>
      <c r="D58" s="95"/>
      <c r="E58" s="244">
        <v>6061492.9199999999</v>
      </c>
      <c r="F58" s="95"/>
      <c r="G58" s="179"/>
    </row>
    <row r="59" spans="2:7">
      <c r="B59" s="36">
        <f t="shared" si="0"/>
        <v>52</v>
      </c>
      <c r="C59" s="243" t="s">
        <v>343</v>
      </c>
      <c r="D59" s="95"/>
      <c r="E59" s="244">
        <v>5973210.6500000004</v>
      </c>
      <c r="F59" s="95"/>
      <c r="G59" s="179"/>
    </row>
    <row r="60" spans="2:7">
      <c r="B60" s="36">
        <f t="shared" si="0"/>
        <v>53</v>
      </c>
      <c r="C60" s="243" t="s">
        <v>344</v>
      </c>
      <c r="D60" s="95"/>
      <c r="E60" s="244">
        <v>5909589.9400000004</v>
      </c>
      <c r="F60" s="95"/>
      <c r="G60" s="179"/>
    </row>
    <row r="61" spans="2:7">
      <c r="B61" s="36">
        <f t="shared" si="0"/>
        <v>54</v>
      </c>
      <c r="C61" s="243" t="s">
        <v>345</v>
      </c>
      <c r="D61" s="95"/>
      <c r="E61" s="244">
        <v>6115068.2199999997</v>
      </c>
      <c r="F61" s="95"/>
      <c r="G61" s="179"/>
    </row>
    <row r="62" spans="2:7">
      <c r="B62" s="36">
        <f t="shared" si="0"/>
        <v>55</v>
      </c>
      <c r="C62" s="243" t="s">
        <v>346</v>
      </c>
      <c r="D62" s="95"/>
      <c r="E62" s="244">
        <v>6302382.0199999996</v>
      </c>
      <c r="F62" s="95"/>
      <c r="G62" s="179"/>
    </row>
    <row r="63" spans="2:7">
      <c r="B63" s="36">
        <f t="shared" si="0"/>
        <v>56</v>
      </c>
      <c r="C63" s="243" t="s">
        <v>347</v>
      </c>
      <c r="D63" s="95"/>
      <c r="E63" s="244">
        <v>6500920.4500000002</v>
      </c>
      <c r="F63" s="95"/>
      <c r="G63" s="179"/>
    </row>
    <row r="64" spans="2:7">
      <c r="B64" s="36">
        <f t="shared" si="0"/>
        <v>57</v>
      </c>
      <c r="C64" s="243" t="s">
        <v>348</v>
      </c>
      <c r="D64" s="95"/>
      <c r="E64" s="244">
        <v>6474922.8799999999</v>
      </c>
      <c r="F64" s="95"/>
      <c r="G64" s="179"/>
    </row>
    <row r="65" spans="2:7">
      <c r="B65" s="36">
        <f t="shared" si="0"/>
        <v>58</v>
      </c>
      <c r="C65" s="243" t="s">
        <v>349</v>
      </c>
      <c r="D65" s="95"/>
      <c r="E65" s="244">
        <v>6434781.9199999999</v>
      </c>
      <c r="F65" s="95"/>
      <c r="G65" s="179"/>
    </row>
    <row r="66" spans="2:7">
      <c r="B66" s="36">
        <f t="shared" si="0"/>
        <v>59</v>
      </c>
      <c r="C66" s="243" t="s">
        <v>350</v>
      </c>
      <c r="D66" s="95"/>
      <c r="E66" s="244">
        <v>5953376.7999999998</v>
      </c>
      <c r="F66" s="95"/>
      <c r="G66" s="179"/>
    </row>
    <row r="67" spans="2:7">
      <c r="B67" s="36">
        <f t="shared" si="0"/>
        <v>60</v>
      </c>
      <c r="C67" s="243" t="s">
        <v>351</v>
      </c>
      <c r="D67" s="95"/>
      <c r="E67" s="244">
        <v>5599876.5899999999</v>
      </c>
      <c r="F67" s="95"/>
      <c r="G67" s="179"/>
    </row>
    <row r="68" spans="2:7">
      <c r="B68" s="36">
        <f t="shared" si="0"/>
        <v>61</v>
      </c>
      <c r="C68" s="243" t="s">
        <v>352</v>
      </c>
      <c r="D68" s="95"/>
      <c r="E68" s="244">
        <v>5064151.62</v>
      </c>
      <c r="F68" s="95"/>
      <c r="G68" s="179"/>
    </row>
    <row r="69" spans="2:7">
      <c r="B69" s="36">
        <f t="shared" si="0"/>
        <v>62</v>
      </c>
      <c r="C69" s="243" t="s">
        <v>353</v>
      </c>
      <c r="D69" s="95"/>
      <c r="E69" s="244">
        <v>4881377.41</v>
      </c>
      <c r="F69" s="95"/>
      <c r="G69" s="179"/>
    </row>
    <row r="70" spans="2:7">
      <c r="B70" s="36">
        <f t="shared" si="0"/>
        <v>63</v>
      </c>
      <c r="C70" s="243" t="s">
        <v>354</v>
      </c>
      <c r="D70" s="95"/>
      <c r="E70" s="244">
        <v>5025645.0599999996</v>
      </c>
      <c r="F70" s="95"/>
      <c r="G70" s="179"/>
    </row>
    <row r="71" spans="2:7">
      <c r="B71" s="36">
        <f t="shared" si="0"/>
        <v>64</v>
      </c>
      <c r="C71" s="243" t="s">
        <v>355</v>
      </c>
      <c r="D71" s="95"/>
      <c r="E71" s="244">
        <v>5003267.93</v>
      </c>
      <c r="F71" s="95"/>
      <c r="G71" s="179"/>
    </row>
    <row r="72" spans="2:7">
      <c r="B72" s="36">
        <f t="shared" si="0"/>
        <v>65</v>
      </c>
      <c r="C72" s="243" t="s">
        <v>356</v>
      </c>
      <c r="D72" s="95"/>
      <c r="E72" s="244">
        <v>4983741.3099999996</v>
      </c>
      <c r="F72" s="95"/>
      <c r="G72" s="179"/>
    </row>
    <row r="73" spans="2:7">
      <c r="B73" s="36">
        <f t="shared" ref="B73:B136" si="1">B72+1</f>
        <v>66</v>
      </c>
      <c r="C73" s="243" t="s">
        <v>357</v>
      </c>
      <c r="D73" s="95"/>
      <c r="E73" s="244">
        <v>4954726.1100000003</v>
      </c>
      <c r="F73" s="95"/>
      <c r="G73" s="179"/>
    </row>
    <row r="74" spans="2:7">
      <c r="B74" s="36">
        <f t="shared" si="1"/>
        <v>67</v>
      </c>
      <c r="C74" s="243" t="s">
        <v>358</v>
      </c>
      <c r="D74" s="95"/>
      <c r="E74" s="244">
        <v>4399355.8899999997</v>
      </c>
      <c r="F74" s="95"/>
      <c r="G74" s="179"/>
    </row>
    <row r="75" spans="2:7">
      <c r="B75" s="36">
        <f t="shared" si="1"/>
        <v>68</v>
      </c>
      <c r="C75" s="243" t="s">
        <v>359</v>
      </c>
      <c r="D75" s="95"/>
      <c r="E75" s="244">
        <v>4031009.88</v>
      </c>
      <c r="F75" s="95"/>
      <c r="G75" s="179"/>
    </row>
    <row r="76" spans="2:7">
      <c r="B76" s="36">
        <f t="shared" si="1"/>
        <v>69</v>
      </c>
      <c r="C76" s="243" t="s">
        <v>360</v>
      </c>
      <c r="D76" s="95"/>
      <c r="E76" s="244">
        <v>4340216.1399999997</v>
      </c>
      <c r="F76" s="95"/>
      <c r="G76" s="179"/>
    </row>
    <row r="77" spans="2:7">
      <c r="B77" s="36">
        <f t="shared" si="1"/>
        <v>70</v>
      </c>
      <c r="C77" s="243" t="s">
        <v>361</v>
      </c>
      <c r="D77" s="95"/>
      <c r="E77" s="244">
        <v>4477981.95</v>
      </c>
      <c r="F77" s="95"/>
      <c r="G77" s="179"/>
    </row>
    <row r="78" spans="2:7">
      <c r="B78" s="36">
        <f t="shared" si="1"/>
        <v>71</v>
      </c>
      <c r="C78" s="243" t="s">
        <v>362</v>
      </c>
      <c r="D78" s="95"/>
      <c r="E78" s="244">
        <v>4468548.16</v>
      </c>
      <c r="F78" s="95"/>
      <c r="G78" s="179"/>
    </row>
    <row r="79" spans="2:7">
      <c r="B79" s="36">
        <f t="shared" si="1"/>
        <v>72</v>
      </c>
      <c r="C79" s="243" t="s">
        <v>363</v>
      </c>
      <c r="D79" s="95"/>
      <c r="E79" s="244">
        <v>4447230.01</v>
      </c>
      <c r="F79" s="95"/>
      <c r="G79" s="179"/>
    </row>
    <row r="80" spans="2:7">
      <c r="B80" s="36">
        <f t="shared" si="1"/>
        <v>73</v>
      </c>
      <c r="C80" s="243" t="s">
        <v>364</v>
      </c>
      <c r="D80" s="95"/>
      <c r="E80" s="244">
        <v>3968783.74</v>
      </c>
      <c r="F80" s="95"/>
      <c r="G80" s="179"/>
    </row>
    <row r="81" spans="2:7">
      <c r="B81" s="36">
        <f t="shared" si="1"/>
        <v>74</v>
      </c>
      <c r="C81" s="243" t="s">
        <v>365</v>
      </c>
      <c r="D81" s="95"/>
      <c r="E81" s="244">
        <v>2855169.68</v>
      </c>
      <c r="F81" s="95"/>
      <c r="G81" s="179"/>
    </row>
    <row r="82" spans="2:7">
      <c r="B82" s="36">
        <f t="shared" si="1"/>
        <v>75</v>
      </c>
      <c r="C82" s="243" t="s">
        <v>366</v>
      </c>
      <c r="D82" s="95"/>
      <c r="E82" s="244">
        <v>3036967.12</v>
      </c>
      <c r="F82" s="95"/>
      <c r="G82" s="179"/>
    </row>
    <row r="83" spans="2:7">
      <c r="B83" s="36">
        <f t="shared" si="1"/>
        <v>76</v>
      </c>
      <c r="C83" s="243" t="s">
        <v>367</v>
      </c>
      <c r="D83" s="95"/>
      <c r="E83" s="244">
        <v>3240106.6</v>
      </c>
      <c r="F83" s="95"/>
      <c r="G83" s="179"/>
    </row>
    <row r="84" spans="2:7">
      <c r="B84" s="36">
        <f t="shared" si="1"/>
        <v>77</v>
      </c>
      <c r="C84" s="243" t="s">
        <v>368</v>
      </c>
      <c r="D84" s="95"/>
      <c r="E84" s="244">
        <v>3537215.96</v>
      </c>
      <c r="F84" s="95"/>
      <c r="G84" s="179"/>
    </row>
    <row r="85" spans="2:7">
      <c r="B85" s="36">
        <f t="shared" si="1"/>
        <v>78</v>
      </c>
      <c r="C85" s="243" t="s">
        <v>369</v>
      </c>
      <c r="D85" s="95"/>
      <c r="E85" s="244">
        <v>3501716.86</v>
      </c>
      <c r="F85" s="95"/>
      <c r="G85" s="179"/>
    </row>
    <row r="86" spans="2:7">
      <c r="B86" s="36">
        <f t="shared" si="1"/>
        <v>79</v>
      </c>
      <c r="C86" s="243" t="s">
        <v>370</v>
      </c>
      <c r="D86" s="95"/>
      <c r="E86" s="244">
        <v>3462874.9</v>
      </c>
      <c r="F86" s="95"/>
      <c r="G86" s="179"/>
    </row>
    <row r="87" spans="2:7">
      <c r="B87" s="36">
        <f t="shared" si="1"/>
        <v>80</v>
      </c>
      <c r="C87" s="243" t="s">
        <v>371</v>
      </c>
      <c r="D87" s="95"/>
      <c r="E87" s="244">
        <v>3733591.13</v>
      </c>
      <c r="F87" s="95"/>
      <c r="G87" s="179"/>
    </row>
    <row r="88" spans="2:7">
      <c r="B88" s="36">
        <f t="shared" si="1"/>
        <v>81</v>
      </c>
      <c r="C88" s="243" t="s">
        <v>372</v>
      </c>
      <c r="D88" s="95"/>
      <c r="E88" s="244">
        <v>4051695.04</v>
      </c>
      <c r="F88" s="95"/>
      <c r="G88" s="179"/>
    </row>
    <row r="89" spans="2:7">
      <c r="B89" s="36">
        <f t="shared" si="1"/>
        <v>82</v>
      </c>
      <c r="C89" s="243" t="s">
        <v>373</v>
      </c>
      <c r="D89" s="95"/>
      <c r="E89" s="244">
        <v>5763764.0999999996</v>
      </c>
      <c r="F89" s="95"/>
      <c r="G89" s="179"/>
    </row>
    <row r="90" spans="2:7">
      <c r="B90" s="36">
        <f t="shared" si="1"/>
        <v>83</v>
      </c>
      <c r="C90" s="243" t="s">
        <v>374</v>
      </c>
      <c r="D90" s="95"/>
      <c r="E90" s="244">
        <v>5906010.0199999996</v>
      </c>
      <c r="F90" s="95"/>
      <c r="G90" s="179"/>
    </row>
    <row r="91" spans="2:7">
      <c r="B91" s="36">
        <f t="shared" si="1"/>
        <v>84</v>
      </c>
      <c r="C91" s="243" t="s">
        <v>375</v>
      </c>
      <c r="D91" s="95"/>
      <c r="E91" s="244">
        <v>6150109.46</v>
      </c>
      <c r="F91" s="95"/>
      <c r="G91" s="179"/>
    </row>
    <row r="92" spans="2:7">
      <c r="B92" s="36">
        <f t="shared" si="1"/>
        <v>85</v>
      </c>
      <c r="C92" s="243" t="s">
        <v>376</v>
      </c>
      <c r="D92" s="95"/>
      <c r="E92" s="244">
        <v>6111406.6299999999</v>
      </c>
      <c r="F92" s="95"/>
      <c r="G92" s="179"/>
    </row>
    <row r="93" spans="2:7">
      <c r="B93" s="36">
        <f t="shared" si="1"/>
        <v>86</v>
      </c>
      <c r="C93" s="243" t="s">
        <v>377</v>
      </c>
      <c r="D93" s="95"/>
      <c r="E93" s="244">
        <v>6064825.6500000004</v>
      </c>
      <c r="F93" s="95"/>
      <c r="G93" s="179"/>
    </row>
    <row r="94" spans="2:7">
      <c r="B94" s="36">
        <f t="shared" si="1"/>
        <v>87</v>
      </c>
      <c r="C94" s="243" t="s">
        <v>378</v>
      </c>
      <c r="D94" s="95"/>
      <c r="E94" s="244">
        <v>6102176.7800000003</v>
      </c>
      <c r="F94" s="95"/>
      <c r="G94" s="179"/>
    </row>
    <row r="95" spans="2:7">
      <c r="B95" s="36">
        <f t="shared" si="1"/>
        <v>88</v>
      </c>
      <c r="C95" s="243" t="s">
        <v>379</v>
      </c>
      <c r="D95" s="95"/>
      <c r="E95" s="244">
        <v>6021384.6600000001</v>
      </c>
      <c r="F95" s="95"/>
      <c r="G95" s="179"/>
    </row>
    <row r="96" spans="2:7">
      <c r="B96" s="36">
        <f t="shared" si="1"/>
        <v>89</v>
      </c>
      <c r="C96" s="243" t="s">
        <v>380</v>
      </c>
      <c r="D96" s="95"/>
      <c r="E96" s="244">
        <v>6067936.5199999996</v>
      </c>
      <c r="F96" s="95"/>
      <c r="G96" s="179"/>
    </row>
    <row r="97" spans="2:7">
      <c r="B97" s="36">
        <f t="shared" si="1"/>
        <v>90</v>
      </c>
      <c r="C97" s="243" t="s">
        <v>381</v>
      </c>
      <c r="D97" s="95"/>
      <c r="E97" s="244">
        <v>5974125.0099999998</v>
      </c>
      <c r="F97" s="95"/>
      <c r="G97" s="179"/>
    </row>
    <row r="98" spans="2:7">
      <c r="B98" s="36">
        <f t="shared" si="1"/>
        <v>91</v>
      </c>
      <c r="C98" s="243" t="s">
        <v>382</v>
      </c>
      <c r="D98" s="95"/>
      <c r="E98" s="244">
        <v>5778106.8399999999</v>
      </c>
      <c r="F98" s="95"/>
      <c r="G98" s="179"/>
    </row>
    <row r="99" spans="2:7">
      <c r="B99" s="36">
        <f t="shared" si="1"/>
        <v>92</v>
      </c>
      <c r="C99" s="243" t="s">
        <v>383</v>
      </c>
      <c r="D99" s="95"/>
      <c r="E99" s="244">
        <v>5721433.3099999996</v>
      </c>
      <c r="F99" s="95"/>
      <c r="G99" s="179"/>
    </row>
    <row r="100" spans="2:7">
      <c r="B100" s="36">
        <f t="shared" si="1"/>
        <v>93</v>
      </c>
      <c r="C100" s="243" t="s">
        <v>384</v>
      </c>
      <c r="D100" s="95"/>
      <c r="E100" s="244">
        <v>5672639.46</v>
      </c>
      <c r="F100" s="95"/>
      <c r="G100" s="179"/>
    </row>
    <row r="101" spans="2:7">
      <c r="B101" s="36">
        <f t="shared" si="1"/>
        <v>94</v>
      </c>
      <c r="C101" s="243" t="s">
        <v>385</v>
      </c>
      <c r="D101" s="95"/>
      <c r="E101" s="244">
        <v>5181133.7699999996</v>
      </c>
      <c r="F101" s="95"/>
      <c r="G101" s="179"/>
    </row>
    <row r="102" spans="2:7">
      <c r="B102" s="36">
        <f t="shared" si="1"/>
        <v>95</v>
      </c>
      <c r="C102" s="243" t="s">
        <v>386</v>
      </c>
      <c r="D102" s="95"/>
      <c r="E102" s="244">
        <v>5013419.6900000004</v>
      </c>
      <c r="F102" s="95"/>
      <c r="G102" s="179"/>
    </row>
    <row r="103" spans="2:7">
      <c r="B103" s="36">
        <f t="shared" si="1"/>
        <v>96</v>
      </c>
      <c r="C103" s="243" t="s">
        <v>387</v>
      </c>
      <c r="D103" s="95"/>
      <c r="E103" s="244">
        <v>4975072.82</v>
      </c>
      <c r="F103" s="95"/>
      <c r="G103" s="179"/>
    </row>
    <row r="104" spans="2:7">
      <c r="B104" s="36">
        <f t="shared" si="1"/>
        <v>97</v>
      </c>
      <c r="C104" s="243" t="s">
        <v>388</v>
      </c>
      <c r="D104" s="95"/>
      <c r="E104" s="244">
        <v>5037872.92</v>
      </c>
      <c r="F104" s="95"/>
      <c r="G104" s="179"/>
    </row>
    <row r="105" spans="2:7">
      <c r="B105" s="36">
        <f t="shared" si="1"/>
        <v>98</v>
      </c>
      <c r="C105" s="243" t="s">
        <v>389</v>
      </c>
      <c r="D105" s="95"/>
      <c r="E105" s="244">
        <v>5194371.1900000004</v>
      </c>
      <c r="F105" s="95"/>
      <c r="G105" s="179"/>
    </row>
    <row r="106" spans="2:7">
      <c r="B106" s="36">
        <f t="shared" si="1"/>
        <v>99</v>
      </c>
      <c r="C106" s="243" t="s">
        <v>390</v>
      </c>
      <c r="D106" s="95"/>
      <c r="E106" s="244">
        <v>5175374.74</v>
      </c>
      <c r="F106" s="95"/>
      <c r="G106" s="179"/>
    </row>
    <row r="107" spans="2:7">
      <c r="B107" s="36">
        <f t="shared" si="1"/>
        <v>100</v>
      </c>
      <c r="C107" s="243" t="s">
        <v>391</v>
      </c>
      <c r="D107" s="95"/>
      <c r="E107" s="244">
        <v>5142928.5599999996</v>
      </c>
      <c r="F107" s="95"/>
      <c r="G107" s="179"/>
    </row>
    <row r="108" spans="2:7">
      <c r="B108" s="36">
        <f t="shared" si="1"/>
        <v>101</v>
      </c>
      <c r="C108" s="243" t="s">
        <v>392</v>
      </c>
      <c r="D108" s="95"/>
      <c r="E108" s="244">
        <v>5120591.84</v>
      </c>
      <c r="F108" s="95"/>
      <c r="G108" s="179"/>
    </row>
    <row r="109" spans="2:7">
      <c r="B109" s="36">
        <f t="shared" si="1"/>
        <v>102</v>
      </c>
      <c r="C109" s="243" t="s">
        <v>393</v>
      </c>
      <c r="D109" s="95"/>
      <c r="E109" s="244">
        <v>4465198.6500000004</v>
      </c>
      <c r="F109" s="95"/>
      <c r="G109" s="179"/>
    </row>
    <row r="110" spans="2:7">
      <c r="B110" s="36">
        <f t="shared" si="1"/>
        <v>103</v>
      </c>
      <c r="C110" s="243" t="s">
        <v>394</v>
      </c>
      <c r="D110" s="95"/>
      <c r="E110" s="244">
        <v>4485866.82</v>
      </c>
      <c r="F110" s="95"/>
      <c r="G110" s="179"/>
    </row>
    <row r="111" spans="2:7">
      <c r="B111" s="36">
        <f t="shared" si="1"/>
        <v>104</v>
      </c>
      <c r="C111" s="243" t="s">
        <v>395</v>
      </c>
      <c r="D111" s="95"/>
      <c r="E111" s="244">
        <v>4643311.09</v>
      </c>
      <c r="F111" s="95"/>
      <c r="G111" s="179"/>
    </row>
    <row r="112" spans="2:7">
      <c r="B112" s="36">
        <f t="shared" si="1"/>
        <v>105</v>
      </c>
      <c r="C112" s="243" t="s">
        <v>396</v>
      </c>
      <c r="D112" s="95"/>
      <c r="E112" s="244">
        <v>4129159.09</v>
      </c>
      <c r="F112" s="95"/>
      <c r="G112" s="179"/>
    </row>
    <row r="113" spans="2:7">
      <c r="B113" s="36">
        <f t="shared" si="1"/>
        <v>106</v>
      </c>
      <c r="C113" s="243" t="s">
        <v>397</v>
      </c>
      <c r="D113" s="95"/>
      <c r="E113" s="244">
        <v>4100094.17</v>
      </c>
      <c r="F113" s="95"/>
      <c r="G113" s="179"/>
    </row>
    <row r="114" spans="2:7">
      <c r="B114" s="36">
        <f t="shared" si="1"/>
        <v>107</v>
      </c>
      <c r="C114" s="243" t="s">
        <v>398</v>
      </c>
      <c r="D114" s="95"/>
      <c r="E114" s="244">
        <v>4057896.92</v>
      </c>
      <c r="F114" s="95"/>
      <c r="G114" s="179"/>
    </row>
    <row r="115" spans="2:7">
      <c r="B115" s="36">
        <f t="shared" si="1"/>
        <v>108</v>
      </c>
      <c r="C115" s="243" t="s">
        <v>399</v>
      </c>
      <c r="D115" s="95"/>
      <c r="E115" s="244">
        <v>3830259.15</v>
      </c>
      <c r="F115" s="95"/>
      <c r="G115" s="179"/>
    </row>
    <row r="116" spans="2:7">
      <c r="B116" s="36">
        <f t="shared" si="1"/>
        <v>109</v>
      </c>
      <c r="C116" s="243" t="s">
        <v>400</v>
      </c>
      <c r="D116" s="95"/>
      <c r="E116" s="244">
        <v>3928566.36</v>
      </c>
      <c r="F116" s="95"/>
      <c r="G116" s="179"/>
    </row>
    <row r="117" spans="2:7">
      <c r="B117" s="36">
        <f t="shared" si="1"/>
        <v>110</v>
      </c>
      <c r="C117" s="243" t="s">
        <v>401</v>
      </c>
      <c r="D117" s="95"/>
      <c r="E117" s="244">
        <v>5997073.2199999997</v>
      </c>
      <c r="F117" s="95"/>
      <c r="G117" s="179"/>
    </row>
    <row r="118" spans="2:7">
      <c r="B118" s="36">
        <f t="shared" si="1"/>
        <v>111</v>
      </c>
      <c r="C118" s="243" t="s">
        <v>402</v>
      </c>
      <c r="D118" s="95"/>
      <c r="E118" s="244">
        <v>6271410.75</v>
      </c>
      <c r="F118" s="95"/>
      <c r="G118" s="179"/>
    </row>
    <row r="119" spans="2:7">
      <c r="B119" s="36">
        <f t="shared" si="1"/>
        <v>112</v>
      </c>
      <c r="C119" s="243" t="s">
        <v>403</v>
      </c>
      <c r="D119" s="95"/>
      <c r="E119" s="244">
        <v>6476841.8200000003</v>
      </c>
      <c r="F119" s="95"/>
      <c r="G119" s="179"/>
    </row>
    <row r="120" spans="2:7">
      <c r="B120" s="36">
        <f t="shared" si="1"/>
        <v>113</v>
      </c>
      <c r="C120" s="243" t="s">
        <v>404</v>
      </c>
      <c r="D120" s="95"/>
      <c r="E120" s="244">
        <v>6442258.04</v>
      </c>
      <c r="F120" s="95"/>
      <c r="G120" s="179"/>
    </row>
    <row r="121" spans="2:7">
      <c r="B121" s="36">
        <f t="shared" si="1"/>
        <v>114</v>
      </c>
      <c r="C121" s="243" t="s">
        <v>405</v>
      </c>
      <c r="D121" s="95"/>
      <c r="E121" s="244">
        <v>6399214.4699999997</v>
      </c>
      <c r="F121" s="95"/>
      <c r="G121" s="179"/>
    </row>
    <row r="122" spans="2:7">
      <c r="B122" s="36">
        <f t="shared" si="1"/>
        <v>115</v>
      </c>
      <c r="C122" s="243" t="s">
        <v>406</v>
      </c>
      <c r="D122" s="95"/>
      <c r="E122" s="244">
        <v>6362915.2800000003</v>
      </c>
      <c r="F122" s="95"/>
      <c r="G122" s="179"/>
    </row>
    <row r="123" spans="2:7">
      <c r="B123" s="36">
        <f t="shared" si="1"/>
        <v>116</v>
      </c>
      <c r="C123" s="243" t="s">
        <v>407</v>
      </c>
      <c r="D123" s="95"/>
      <c r="E123" s="244">
        <v>6451432.9900000002</v>
      </c>
      <c r="F123" s="95"/>
      <c r="G123" s="179"/>
    </row>
    <row r="124" spans="2:7">
      <c r="B124" s="36">
        <f t="shared" si="1"/>
        <v>117</v>
      </c>
      <c r="C124" s="243" t="s">
        <v>408</v>
      </c>
      <c r="D124" s="95"/>
      <c r="E124" s="244">
        <v>6658914.1699999999</v>
      </c>
      <c r="F124" s="95"/>
      <c r="G124" s="179"/>
    </row>
    <row r="125" spans="2:7">
      <c r="B125" s="36">
        <f t="shared" si="1"/>
        <v>118</v>
      </c>
      <c r="C125" s="243" t="s">
        <v>409</v>
      </c>
      <c r="D125" s="95"/>
      <c r="E125" s="244">
        <v>6635805.6799999997</v>
      </c>
      <c r="F125" s="95"/>
      <c r="G125" s="179"/>
    </row>
    <row r="126" spans="2:7">
      <c r="B126" s="36">
        <f t="shared" si="1"/>
        <v>119</v>
      </c>
      <c r="C126" s="243" t="s">
        <v>410</v>
      </c>
      <c r="D126" s="95"/>
      <c r="E126" s="244">
        <v>6596091.8700000001</v>
      </c>
      <c r="F126" s="95"/>
      <c r="G126" s="179"/>
    </row>
    <row r="127" spans="2:7">
      <c r="B127" s="36">
        <f t="shared" si="1"/>
        <v>120</v>
      </c>
      <c r="C127" s="243" t="s">
        <v>411</v>
      </c>
      <c r="D127" s="95"/>
      <c r="E127" s="244">
        <v>6545040.5599999996</v>
      </c>
      <c r="F127" s="95"/>
      <c r="G127" s="179"/>
    </row>
    <row r="128" spans="2:7">
      <c r="B128" s="36">
        <f t="shared" si="1"/>
        <v>121</v>
      </c>
      <c r="C128" s="243" t="s">
        <v>412</v>
      </c>
      <c r="D128" s="95"/>
      <c r="E128" s="244">
        <v>5950840.71</v>
      </c>
      <c r="F128" s="95"/>
      <c r="G128" s="179"/>
    </row>
    <row r="129" spans="2:7">
      <c r="B129" s="36">
        <f t="shared" si="1"/>
        <v>122</v>
      </c>
      <c r="C129" s="243" t="s">
        <v>413</v>
      </c>
      <c r="D129" s="95"/>
      <c r="E129" s="244">
        <v>5430520.2400000002</v>
      </c>
      <c r="F129" s="95"/>
      <c r="G129" s="179"/>
    </row>
    <row r="130" spans="2:7">
      <c r="B130" s="36">
        <f t="shared" si="1"/>
        <v>123</v>
      </c>
      <c r="C130" s="243" t="s">
        <v>414</v>
      </c>
      <c r="D130" s="95"/>
      <c r="E130" s="244">
        <v>5383202.3300000001</v>
      </c>
      <c r="F130" s="95"/>
      <c r="G130" s="179"/>
    </row>
    <row r="131" spans="2:7">
      <c r="B131" s="36">
        <f t="shared" si="1"/>
        <v>124</v>
      </c>
      <c r="C131" s="243" t="s">
        <v>415</v>
      </c>
      <c r="D131" s="95"/>
      <c r="E131" s="244">
        <v>5562526.3099999996</v>
      </c>
      <c r="F131" s="95"/>
      <c r="G131" s="179"/>
    </row>
    <row r="132" spans="2:7">
      <c r="B132" s="36">
        <f t="shared" si="1"/>
        <v>125</v>
      </c>
      <c r="C132" s="243" t="s">
        <v>416</v>
      </c>
      <c r="D132" s="95"/>
      <c r="E132" s="244">
        <v>5775663.5</v>
      </c>
      <c r="F132" s="95"/>
      <c r="G132" s="179"/>
    </row>
    <row r="133" spans="2:7">
      <c r="B133" s="36">
        <f t="shared" si="1"/>
        <v>126</v>
      </c>
      <c r="C133" s="243" t="s">
        <v>417</v>
      </c>
      <c r="D133" s="95"/>
      <c r="E133" s="244">
        <v>5737610.1799999997</v>
      </c>
      <c r="F133" s="95"/>
      <c r="G133" s="179"/>
    </row>
    <row r="134" spans="2:7">
      <c r="B134" s="36">
        <f t="shared" si="1"/>
        <v>127</v>
      </c>
      <c r="C134" s="243" t="s">
        <v>418</v>
      </c>
      <c r="D134" s="95"/>
      <c r="E134" s="244">
        <v>5716043.1399999997</v>
      </c>
      <c r="F134" s="95"/>
      <c r="G134" s="179"/>
    </row>
    <row r="135" spans="2:7">
      <c r="B135" s="36">
        <f t="shared" si="1"/>
        <v>128</v>
      </c>
      <c r="C135" s="243" t="s">
        <v>419</v>
      </c>
      <c r="D135" s="95"/>
      <c r="E135" s="244">
        <v>5386154.0899999999</v>
      </c>
      <c r="F135" s="95"/>
      <c r="G135" s="179"/>
    </row>
    <row r="136" spans="2:7">
      <c r="B136" s="36">
        <f t="shared" si="1"/>
        <v>129</v>
      </c>
      <c r="C136" s="243" t="s">
        <v>420</v>
      </c>
      <c r="D136" s="95"/>
      <c r="E136" s="244">
        <v>5029891.9800000004</v>
      </c>
      <c r="F136" s="95"/>
      <c r="G136" s="179"/>
    </row>
    <row r="137" spans="2:7">
      <c r="B137" s="36">
        <f t="shared" ref="B137:B200" si="2">B136+1</f>
        <v>130</v>
      </c>
      <c r="C137" s="243" t="s">
        <v>421</v>
      </c>
      <c r="D137" s="95"/>
      <c r="E137" s="244">
        <v>4913887.26</v>
      </c>
      <c r="F137" s="95"/>
      <c r="G137" s="179"/>
    </row>
    <row r="138" spans="2:7">
      <c r="B138" s="36">
        <f t="shared" si="2"/>
        <v>131</v>
      </c>
      <c r="C138" s="243" t="s">
        <v>422</v>
      </c>
      <c r="D138" s="95"/>
      <c r="E138" s="244">
        <v>5679257.2999999998</v>
      </c>
      <c r="F138" s="95"/>
      <c r="G138" s="179"/>
    </row>
    <row r="139" spans="2:7">
      <c r="B139" s="36">
        <f t="shared" si="2"/>
        <v>132</v>
      </c>
      <c r="C139" s="243" t="s">
        <v>423</v>
      </c>
      <c r="D139" s="95"/>
      <c r="E139" s="244">
        <v>5986624.9400000004</v>
      </c>
      <c r="F139" s="95"/>
      <c r="G139" s="179"/>
    </row>
    <row r="140" spans="2:7">
      <c r="B140" s="36">
        <f t="shared" si="2"/>
        <v>133</v>
      </c>
      <c r="C140" s="243" t="s">
        <v>424</v>
      </c>
      <c r="D140" s="95"/>
      <c r="E140" s="244">
        <v>5128778.13</v>
      </c>
      <c r="F140" s="95"/>
      <c r="G140" s="179"/>
    </row>
    <row r="141" spans="2:7">
      <c r="B141" s="36">
        <f t="shared" si="2"/>
        <v>134</v>
      </c>
      <c r="C141" s="243" t="s">
        <v>425</v>
      </c>
      <c r="D141" s="95"/>
      <c r="E141" s="244">
        <v>5088746.3</v>
      </c>
      <c r="F141" s="95"/>
      <c r="G141" s="179"/>
    </row>
    <row r="142" spans="2:7">
      <c r="B142" s="36">
        <f t="shared" si="2"/>
        <v>135</v>
      </c>
      <c r="C142" s="243" t="s">
        <v>426</v>
      </c>
      <c r="D142" s="95"/>
      <c r="E142" s="244">
        <v>5105457.09</v>
      </c>
      <c r="F142" s="95"/>
      <c r="G142" s="179"/>
    </row>
    <row r="143" spans="2:7">
      <c r="B143" s="36">
        <f t="shared" si="2"/>
        <v>136</v>
      </c>
      <c r="C143" s="243" t="s">
        <v>427</v>
      </c>
      <c r="D143" s="95"/>
      <c r="E143" s="244">
        <v>5133514.41</v>
      </c>
      <c r="F143" s="95"/>
      <c r="G143" s="179"/>
    </row>
    <row r="144" spans="2:7">
      <c r="B144" s="36">
        <f t="shared" si="2"/>
        <v>137</v>
      </c>
      <c r="C144" s="243" t="s">
        <v>428</v>
      </c>
      <c r="D144" s="95"/>
      <c r="E144" s="244">
        <v>5569499.1399999997</v>
      </c>
      <c r="F144" s="95"/>
      <c r="G144" s="179"/>
    </row>
    <row r="145" spans="2:7">
      <c r="B145" s="36">
        <f t="shared" si="2"/>
        <v>138</v>
      </c>
      <c r="C145" s="243" t="s">
        <v>429</v>
      </c>
      <c r="D145" s="95"/>
      <c r="E145" s="244">
        <v>8225315.5800000001</v>
      </c>
      <c r="F145" s="95"/>
      <c r="G145" s="179"/>
    </row>
    <row r="146" spans="2:7">
      <c r="B146" s="36">
        <f t="shared" si="2"/>
        <v>139</v>
      </c>
      <c r="C146" s="243" t="s">
        <v>430</v>
      </c>
      <c r="D146" s="95"/>
      <c r="E146" s="244">
        <v>8651721.4900000002</v>
      </c>
      <c r="F146" s="95"/>
      <c r="G146" s="179"/>
    </row>
    <row r="147" spans="2:7">
      <c r="B147" s="36">
        <f t="shared" si="2"/>
        <v>140</v>
      </c>
      <c r="C147" s="243" t="s">
        <v>431</v>
      </c>
      <c r="D147" s="95"/>
      <c r="E147" s="244">
        <v>8587548.8599999994</v>
      </c>
      <c r="F147" s="95"/>
      <c r="G147" s="179"/>
    </row>
    <row r="148" spans="2:7">
      <c r="B148" s="36">
        <f t="shared" si="2"/>
        <v>141</v>
      </c>
      <c r="C148" s="243" t="s">
        <v>432</v>
      </c>
      <c r="D148" s="95"/>
      <c r="E148" s="244">
        <v>8537243.4100000001</v>
      </c>
      <c r="F148" s="95"/>
      <c r="G148" s="179"/>
    </row>
    <row r="149" spans="2:7">
      <c r="B149" s="36">
        <f t="shared" si="2"/>
        <v>142</v>
      </c>
      <c r="C149" s="243" t="s">
        <v>433</v>
      </c>
      <c r="D149" s="95"/>
      <c r="E149" s="244">
        <v>8575386.8300000001</v>
      </c>
      <c r="F149" s="95"/>
      <c r="G149" s="179"/>
    </row>
    <row r="150" spans="2:7">
      <c r="B150" s="36">
        <f t="shared" si="2"/>
        <v>143</v>
      </c>
      <c r="C150" s="243" t="s">
        <v>434</v>
      </c>
      <c r="D150" s="95"/>
      <c r="E150" s="244">
        <v>8849090.9900000002</v>
      </c>
      <c r="F150" s="95"/>
      <c r="G150" s="179"/>
    </row>
    <row r="151" spans="2:7">
      <c r="B151" s="36">
        <f t="shared" si="2"/>
        <v>144</v>
      </c>
      <c r="C151" s="243" t="s">
        <v>435</v>
      </c>
      <c r="D151" s="95"/>
      <c r="E151" s="244">
        <v>9228108.5199999996</v>
      </c>
      <c r="F151" s="95"/>
      <c r="G151" s="179"/>
    </row>
    <row r="152" spans="2:7">
      <c r="B152" s="36">
        <f t="shared" si="2"/>
        <v>145</v>
      </c>
      <c r="C152" s="243" t="s">
        <v>436</v>
      </c>
      <c r="D152" s="95"/>
      <c r="E152" s="244">
        <v>9102597.8699999992</v>
      </c>
      <c r="F152" s="95"/>
      <c r="G152" s="179"/>
    </row>
    <row r="153" spans="2:7">
      <c r="B153" s="36">
        <f t="shared" si="2"/>
        <v>146</v>
      </c>
      <c r="C153" s="243" t="s">
        <v>437</v>
      </c>
      <c r="D153" s="95"/>
      <c r="E153" s="244">
        <v>9030450.6999999993</v>
      </c>
      <c r="F153" s="95"/>
      <c r="G153" s="179"/>
    </row>
    <row r="154" spans="2:7">
      <c r="B154" s="36">
        <f t="shared" si="2"/>
        <v>147</v>
      </c>
      <c r="C154" s="243" t="s">
        <v>438</v>
      </c>
      <c r="D154" s="95"/>
      <c r="E154" s="244">
        <v>8935865.7200000007</v>
      </c>
      <c r="F154" s="95"/>
      <c r="G154" s="179"/>
    </row>
    <row r="155" spans="2:7">
      <c r="B155" s="36">
        <f t="shared" si="2"/>
        <v>148</v>
      </c>
      <c r="C155" s="243" t="s">
        <v>439</v>
      </c>
      <c r="D155" s="95"/>
      <c r="E155" s="244">
        <v>8874303.8300000001</v>
      </c>
      <c r="F155" s="95"/>
      <c r="G155" s="179"/>
    </row>
    <row r="156" spans="2:7">
      <c r="B156" s="36">
        <f t="shared" si="2"/>
        <v>149</v>
      </c>
      <c r="C156" s="243" t="s">
        <v>440</v>
      </c>
      <c r="D156" s="95"/>
      <c r="E156" s="244">
        <v>8706633.1300000008</v>
      </c>
      <c r="F156" s="95"/>
      <c r="G156" s="179"/>
    </row>
    <row r="157" spans="2:7">
      <c r="B157" s="36">
        <f t="shared" si="2"/>
        <v>150</v>
      </c>
      <c r="C157" s="243" t="s">
        <v>441</v>
      </c>
      <c r="D157" s="95"/>
      <c r="E157" s="244">
        <v>8659855.8800000008</v>
      </c>
      <c r="F157" s="95"/>
      <c r="G157" s="179"/>
    </row>
    <row r="158" spans="2:7">
      <c r="B158" s="36">
        <f t="shared" si="2"/>
        <v>151</v>
      </c>
      <c r="C158" s="243" t="s">
        <v>442</v>
      </c>
      <c r="D158" s="95"/>
      <c r="E158" s="244">
        <v>8148211.6699999999</v>
      </c>
      <c r="F158" s="95"/>
      <c r="G158" s="179"/>
    </row>
    <row r="159" spans="2:7">
      <c r="B159" s="36">
        <f t="shared" si="2"/>
        <v>152</v>
      </c>
      <c r="C159" s="243" t="s">
        <v>443</v>
      </c>
      <c r="D159" s="95"/>
      <c r="E159" s="244">
        <v>7839590.6900000004</v>
      </c>
      <c r="F159" s="95"/>
      <c r="G159" s="179"/>
    </row>
    <row r="160" spans="2:7">
      <c r="B160" s="36">
        <f t="shared" si="2"/>
        <v>153</v>
      </c>
      <c r="C160" s="243" t="s">
        <v>444</v>
      </c>
      <c r="D160" s="95"/>
      <c r="E160" s="244">
        <v>8108206.7300000004</v>
      </c>
      <c r="F160" s="95"/>
      <c r="G160" s="179"/>
    </row>
    <row r="161" spans="2:7">
      <c r="B161" s="36">
        <f t="shared" si="2"/>
        <v>154</v>
      </c>
      <c r="C161" s="243" t="s">
        <v>445</v>
      </c>
      <c r="D161" s="95"/>
      <c r="E161" s="244">
        <v>8037187.6900000004</v>
      </c>
      <c r="F161" s="95"/>
      <c r="G161" s="179"/>
    </row>
    <row r="162" spans="2:7">
      <c r="B162" s="36">
        <f t="shared" si="2"/>
        <v>155</v>
      </c>
      <c r="C162" s="243" t="s">
        <v>446</v>
      </c>
      <c r="D162" s="95"/>
      <c r="E162" s="244">
        <v>7960439.21</v>
      </c>
      <c r="F162" s="95"/>
      <c r="G162" s="179"/>
    </row>
    <row r="163" spans="2:7">
      <c r="B163" s="36">
        <f t="shared" si="2"/>
        <v>156</v>
      </c>
      <c r="C163" s="243" t="s">
        <v>447</v>
      </c>
      <c r="D163" s="95"/>
      <c r="E163" s="244">
        <v>7490768.21</v>
      </c>
      <c r="F163" s="95"/>
      <c r="G163" s="179"/>
    </row>
    <row r="164" spans="2:7">
      <c r="B164" s="36">
        <f t="shared" si="2"/>
        <v>157</v>
      </c>
      <c r="C164" s="243" t="s">
        <v>448</v>
      </c>
      <c r="D164" s="95"/>
      <c r="E164" s="244">
        <v>7114212.4000000004</v>
      </c>
      <c r="F164" s="95"/>
      <c r="G164" s="179"/>
    </row>
    <row r="165" spans="2:7">
      <c r="B165" s="36">
        <f t="shared" si="2"/>
        <v>158</v>
      </c>
      <c r="C165" s="243" t="s">
        <v>449</v>
      </c>
      <c r="D165" s="95"/>
      <c r="E165" s="244">
        <v>7184182.8600000003</v>
      </c>
      <c r="F165" s="95"/>
      <c r="G165" s="179"/>
    </row>
    <row r="166" spans="2:7">
      <c r="B166" s="36">
        <f t="shared" si="2"/>
        <v>159</v>
      </c>
      <c r="C166" s="243" t="s">
        <v>450</v>
      </c>
      <c r="D166" s="95"/>
      <c r="E166" s="244">
        <v>7645327</v>
      </c>
      <c r="F166" s="95"/>
      <c r="G166" s="179"/>
    </row>
    <row r="167" spans="2:7">
      <c r="B167" s="36">
        <f t="shared" si="2"/>
        <v>160</v>
      </c>
      <c r="C167" s="243" t="s">
        <v>451</v>
      </c>
      <c r="D167" s="95"/>
      <c r="E167" s="244">
        <v>8116639.9000000004</v>
      </c>
      <c r="F167" s="95"/>
      <c r="G167" s="179"/>
    </row>
    <row r="168" spans="2:7">
      <c r="B168" s="36">
        <f t="shared" si="2"/>
        <v>161</v>
      </c>
      <c r="C168" s="243" t="s">
        <v>452</v>
      </c>
      <c r="D168" s="95"/>
      <c r="E168" s="244">
        <v>8066230.5099999998</v>
      </c>
      <c r="F168" s="95"/>
      <c r="G168" s="179"/>
    </row>
    <row r="169" spans="2:7">
      <c r="B169" s="36">
        <f t="shared" si="2"/>
        <v>162</v>
      </c>
      <c r="C169" s="243" t="s">
        <v>453</v>
      </c>
      <c r="D169" s="95"/>
      <c r="E169" s="244">
        <v>7995321.8700000001</v>
      </c>
      <c r="F169" s="95"/>
      <c r="G169" s="179"/>
    </row>
    <row r="170" spans="2:7">
      <c r="B170" s="36">
        <f t="shared" si="2"/>
        <v>163</v>
      </c>
      <c r="C170" s="243" t="s">
        <v>454</v>
      </c>
      <c r="D170" s="95"/>
      <c r="E170" s="244">
        <v>7789610.4100000001</v>
      </c>
      <c r="F170" s="95"/>
      <c r="G170" s="179"/>
    </row>
    <row r="171" spans="2:7">
      <c r="B171" s="36">
        <f t="shared" si="2"/>
        <v>164</v>
      </c>
      <c r="C171" s="243" t="s">
        <v>455</v>
      </c>
      <c r="D171" s="95"/>
      <c r="E171" s="244">
        <v>7096998.4100000001</v>
      </c>
      <c r="F171" s="95"/>
      <c r="G171" s="179"/>
    </row>
    <row r="172" spans="2:7">
      <c r="B172" s="36">
        <f t="shared" si="2"/>
        <v>165</v>
      </c>
      <c r="C172" s="243" t="s">
        <v>456</v>
      </c>
      <c r="D172" s="95"/>
      <c r="E172" s="244">
        <v>7847890.71</v>
      </c>
      <c r="F172" s="95"/>
      <c r="G172" s="179"/>
    </row>
    <row r="173" spans="2:7">
      <c r="B173" s="36">
        <f t="shared" si="2"/>
        <v>166</v>
      </c>
      <c r="C173" s="243" t="s">
        <v>457</v>
      </c>
      <c r="D173" s="95"/>
      <c r="E173" s="244">
        <v>9530007.7599999998</v>
      </c>
      <c r="F173" s="95"/>
      <c r="G173" s="179"/>
    </row>
    <row r="174" spans="2:7">
      <c r="B174" s="36">
        <f t="shared" si="2"/>
        <v>167</v>
      </c>
      <c r="C174" s="243" t="s">
        <v>458</v>
      </c>
      <c r="D174" s="95"/>
      <c r="E174" s="244">
        <v>12199155.050000001</v>
      </c>
      <c r="F174" s="95"/>
      <c r="G174" s="179"/>
    </row>
    <row r="175" spans="2:7">
      <c r="B175" s="36">
        <f t="shared" si="2"/>
        <v>168</v>
      </c>
      <c r="C175" s="243" t="s">
        <v>459</v>
      </c>
      <c r="D175" s="95"/>
      <c r="E175" s="244">
        <v>12105556.23</v>
      </c>
      <c r="F175" s="95"/>
      <c r="G175" s="179"/>
    </row>
    <row r="176" spans="2:7">
      <c r="B176" s="36">
        <f t="shared" si="2"/>
        <v>169</v>
      </c>
      <c r="C176" s="243" t="s">
        <v>460</v>
      </c>
      <c r="D176" s="95"/>
      <c r="E176" s="244">
        <v>12026957.32</v>
      </c>
      <c r="F176" s="95"/>
      <c r="G176" s="179"/>
    </row>
    <row r="177" spans="2:7">
      <c r="B177" s="36">
        <f t="shared" si="2"/>
        <v>170</v>
      </c>
      <c r="C177" s="243" t="s">
        <v>461</v>
      </c>
      <c r="D177" s="95"/>
      <c r="E177" s="244">
        <v>11954741.630000001</v>
      </c>
      <c r="F177" s="95"/>
      <c r="G177" s="179"/>
    </row>
    <row r="178" spans="2:7">
      <c r="B178" s="36">
        <f t="shared" si="2"/>
        <v>171</v>
      </c>
      <c r="C178" s="243" t="s">
        <v>462</v>
      </c>
      <c r="D178" s="95"/>
      <c r="E178" s="244">
        <v>12201337.68</v>
      </c>
      <c r="F178" s="95"/>
      <c r="G178" s="179"/>
    </row>
    <row r="179" spans="2:7">
      <c r="B179" s="36">
        <f t="shared" si="2"/>
        <v>172</v>
      </c>
      <c r="C179" s="243" t="s">
        <v>463</v>
      </c>
      <c r="D179" s="95"/>
      <c r="E179" s="244">
        <v>12728990.9</v>
      </c>
      <c r="F179" s="95"/>
      <c r="G179" s="179"/>
    </row>
    <row r="180" spans="2:7">
      <c r="B180" s="36">
        <f t="shared" si="2"/>
        <v>173</v>
      </c>
      <c r="C180" s="243" t="s">
        <v>464</v>
      </c>
      <c r="D180" s="95"/>
      <c r="E180" s="244">
        <v>13500437.49</v>
      </c>
      <c r="F180" s="95"/>
      <c r="G180" s="179"/>
    </row>
    <row r="181" spans="2:7">
      <c r="B181" s="36">
        <f t="shared" si="2"/>
        <v>174</v>
      </c>
      <c r="C181" s="243" t="s">
        <v>465</v>
      </c>
      <c r="D181" s="95"/>
      <c r="E181" s="244">
        <v>13969798.359999999</v>
      </c>
      <c r="F181" s="95"/>
      <c r="G181" s="179"/>
    </row>
    <row r="182" spans="2:7">
      <c r="B182" s="36">
        <f t="shared" si="2"/>
        <v>175</v>
      </c>
      <c r="C182" s="243" t="s">
        <v>466</v>
      </c>
      <c r="D182" s="95"/>
      <c r="E182" s="244">
        <v>13874290.84</v>
      </c>
      <c r="F182" s="95"/>
      <c r="G182" s="179"/>
    </row>
    <row r="183" spans="2:7">
      <c r="B183" s="36">
        <f t="shared" si="2"/>
        <v>176</v>
      </c>
      <c r="C183" s="243" t="s">
        <v>467</v>
      </c>
      <c r="D183" s="95"/>
      <c r="E183" s="244">
        <v>13799144.6</v>
      </c>
      <c r="F183" s="95"/>
      <c r="G183" s="179"/>
    </row>
    <row r="184" spans="2:7">
      <c r="B184" s="36">
        <f t="shared" si="2"/>
        <v>177</v>
      </c>
      <c r="C184" s="243" t="s">
        <v>468</v>
      </c>
      <c r="D184" s="95"/>
      <c r="E184" s="244">
        <v>13681845.810000001</v>
      </c>
      <c r="F184" s="95"/>
      <c r="G184" s="179"/>
    </row>
    <row r="185" spans="2:7">
      <c r="B185" s="36">
        <f t="shared" si="2"/>
        <v>178</v>
      </c>
      <c r="C185" s="243" t="s">
        <v>469</v>
      </c>
      <c r="D185" s="95"/>
      <c r="E185" s="244">
        <v>13191383.029999999</v>
      </c>
      <c r="F185" s="95"/>
      <c r="G185" s="179"/>
    </row>
    <row r="186" spans="2:7">
      <c r="B186" s="36">
        <f t="shared" si="2"/>
        <v>179</v>
      </c>
      <c r="C186" s="243" t="s">
        <v>470</v>
      </c>
      <c r="D186" s="95"/>
      <c r="E186" s="244">
        <v>12583488.859999999</v>
      </c>
      <c r="F186" s="95"/>
      <c r="G186" s="179"/>
    </row>
    <row r="187" spans="2:7">
      <c r="B187" s="36">
        <f t="shared" si="2"/>
        <v>180</v>
      </c>
      <c r="C187" s="243" t="s">
        <v>471</v>
      </c>
      <c r="D187" s="95"/>
      <c r="E187" s="244">
        <v>11536300.49</v>
      </c>
      <c r="F187" s="95"/>
      <c r="G187" s="179"/>
    </row>
    <row r="188" spans="2:7">
      <c r="B188" s="36">
        <f t="shared" si="2"/>
        <v>181</v>
      </c>
      <c r="C188" s="243" t="s">
        <v>472</v>
      </c>
      <c r="D188" s="95"/>
      <c r="E188" s="244">
        <v>10997002.439999999</v>
      </c>
      <c r="F188" s="95"/>
      <c r="G188" s="179"/>
    </row>
    <row r="189" spans="2:7">
      <c r="B189" s="36">
        <f t="shared" si="2"/>
        <v>182</v>
      </c>
      <c r="C189" s="243" t="s">
        <v>473</v>
      </c>
      <c r="D189" s="95"/>
      <c r="E189" s="244">
        <v>10953955.960000001</v>
      </c>
      <c r="F189" s="95"/>
      <c r="G189" s="179"/>
    </row>
    <row r="190" spans="2:7">
      <c r="B190" s="36">
        <f t="shared" si="2"/>
        <v>183</v>
      </c>
      <c r="C190" s="243" t="s">
        <v>474</v>
      </c>
      <c r="D190" s="95"/>
      <c r="E190" s="244">
        <v>10922786.58</v>
      </c>
      <c r="F190" s="95"/>
      <c r="G190" s="179"/>
    </row>
    <row r="191" spans="2:7">
      <c r="B191" s="36">
        <f t="shared" si="2"/>
        <v>184</v>
      </c>
      <c r="C191" s="243" t="s">
        <v>475</v>
      </c>
      <c r="D191" s="95"/>
      <c r="E191" s="244">
        <v>10822154.789999999</v>
      </c>
      <c r="F191" s="95"/>
      <c r="G191" s="179"/>
    </row>
    <row r="192" spans="2:7">
      <c r="B192" s="36">
        <f t="shared" si="2"/>
        <v>185</v>
      </c>
      <c r="C192" s="243" t="s">
        <v>476</v>
      </c>
      <c r="D192" s="95"/>
      <c r="E192" s="244">
        <v>9719777.0899999999</v>
      </c>
      <c r="F192" s="95"/>
      <c r="G192" s="179"/>
    </row>
    <row r="193" spans="2:7">
      <c r="B193" s="36">
        <f t="shared" si="2"/>
        <v>186</v>
      </c>
      <c r="C193" s="243" t="s">
        <v>477</v>
      </c>
      <c r="D193" s="95"/>
      <c r="E193" s="244">
        <v>8433666.25</v>
      </c>
      <c r="F193" s="95"/>
      <c r="G193" s="179"/>
    </row>
    <row r="194" spans="2:7">
      <c r="B194" s="36">
        <f t="shared" si="2"/>
        <v>187</v>
      </c>
      <c r="C194" s="243" t="s">
        <v>478</v>
      </c>
      <c r="D194" s="95"/>
      <c r="E194" s="244">
        <v>8703311.1199999992</v>
      </c>
      <c r="F194" s="95"/>
      <c r="G194" s="179"/>
    </row>
    <row r="195" spans="2:7">
      <c r="B195" s="36">
        <f t="shared" si="2"/>
        <v>188</v>
      </c>
      <c r="C195" s="243" t="s">
        <v>479</v>
      </c>
      <c r="D195" s="95"/>
      <c r="E195" s="244">
        <v>8964844.5199999996</v>
      </c>
      <c r="F195" s="95"/>
      <c r="G195" s="179"/>
    </row>
    <row r="196" spans="2:7">
      <c r="B196" s="36">
        <f t="shared" si="2"/>
        <v>189</v>
      </c>
      <c r="C196" s="243" t="s">
        <v>480</v>
      </c>
      <c r="D196" s="95"/>
      <c r="E196" s="244">
        <v>8927518.7200000007</v>
      </c>
      <c r="F196" s="95"/>
      <c r="G196" s="179"/>
    </row>
    <row r="197" spans="2:7">
      <c r="B197" s="36">
        <f t="shared" si="2"/>
        <v>190</v>
      </c>
      <c r="C197" s="243" t="s">
        <v>481</v>
      </c>
      <c r="D197" s="95"/>
      <c r="E197" s="244">
        <v>8850274.4600000009</v>
      </c>
      <c r="F197" s="95"/>
      <c r="G197" s="179"/>
    </row>
    <row r="198" spans="2:7">
      <c r="B198" s="36">
        <f t="shared" si="2"/>
        <v>191</v>
      </c>
      <c r="C198" s="243" t="s">
        <v>482</v>
      </c>
      <c r="D198" s="95"/>
      <c r="E198" s="244">
        <v>8146054.5599999996</v>
      </c>
      <c r="F198" s="95"/>
      <c r="G198" s="179"/>
    </row>
    <row r="199" spans="2:7">
      <c r="B199" s="36">
        <f t="shared" si="2"/>
        <v>192</v>
      </c>
      <c r="C199" s="243" t="s">
        <v>483</v>
      </c>
      <c r="D199" s="95"/>
      <c r="E199" s="244">
        <v>6610275.75</v>
      </c>
      <c r="F199" s="95"/>
      <c r="G199" s="179"/>
    </row>
    <row r="200" spans="2:7">
      <c r="B200" s="36">
        <f t="shared" si="2"/>
        <v>193</v>
      </c>
      <c r="C200" s="243" t="s">
        <v>484</v>
      </c>
      <c r="D200" s="95"/>
      <c r="E200" s="244">
        <v>6832829.3799999999</v>
      </c>
      <c r="F200" s="95"/>
      <c r="G200" s="179"/>
    </row>
    <row r="201" spans="2:7">
      <c r="B201" s="36">
        <f t="shared" ref="B201:B264" si="3">B200+1</f>
        <v>194</v>
      </c>
      <c r="C201" s="243" t="s">
        <v>485</v>
      </c>
      <c r="D201" s="95"/>
      <c r="E201" s="244">
        <v>7564253</v>
      </c>
      <c r="F201" s="95"/>
      <c r="G201" s="179"/>
    </row>
    <row r="202" spans="2:7">
      <c r="B202" s="36">
        <f t="shared" si="3"/>
        <v>195</v>
      </c>
      <c r="C202" s="243" t="s">
        <v>486</v>
      </c>
      <c r="D202" s="95"/>
      <c r="E202" s="244">
        <v>8539850.7899999991</v>
      </c>
      <c r="F202" s="95"/>
      <c r="G202" s="179"/>
    </row>
    <row r="203" spans="2:7">
      <c r="B203" s="36">
        <f t="shared" si="3"/>
        <v>196</v>
      </c>
      <c r="C203" s="243" t="s">
        <v>487</v>
      </c>
      <c r="D203" s="95"/>
      <c r="E203" s="244">
        <v>8468411.8000000007</v>
      </c>
      <c r="F203" s="95"/>
      <c r="G203" s="179"/>
    </row>
    <row r="204" spans="2:7">
      <c r="B204" s="36">
        <f t="shared" si="3"/>
        <v>197</v>
      </c>
      <c r="C204" s="243" t="s">
        <v>488</v>
      </c>
      <c r="D204" s="95"/>
      <c r="E204" s="244">
        <v>8392755.3499999996</v>
      </c>
      <c r="F204" s="95"/>
      <c r="G204" s="179"/>
    </row>
    <row r="205" spans="2:7">
      <c r="B205" s="36">
        <f t="shared" si="3"/>
        <v>198</v>
      </c>
      <c r="C205" s="243" t="s">
        <v>489</v>
      </c>
      <c r="D205" s="95"/>
      <c r="E205" s="244">
        <v>8077098.5300000003</v>
      </c>
      <c r="F205" s="95"/>
      <c r="G205" s="179"/>
    </row>
    <row r="206" spans="2:7">
      <c r="B206" s="36">
        <f t="shared" si="3"/>
        <v>199</v>
      </c>
      <c r="C206" s="243" t="s">
        <v>490</v>
      </c>
      <c r="D206" s="95"/>
      <c r="E206" s="244">
        <v>8561573.6099999994</v>
      </c>
      <c r="F206" s="95"/>
      <c r="G206" s="179"/>
    </row>
    <row r="207" spans="2:7">
      <c r="B207" s="36">
        <f t="shared" si="3"/>
        <v>200</v>
      </c>
      <c r="C207" s="243" t="s">
        <v>491</v>
      </c>
      <c r="D207" s="95"/>
      <c r="E207" s="244">
        <v>9239953.6400000006</v>
      </c>
      <c r="F207" s="95"/>
      <c r="G207" s="179"/>
    </row>
    <row r="208" spans="2:7">
      <c r="B208" s="36">
        <f t="shared" si="3"/>
        <v>201</v>
      </c>
      <c r="C208" s="243" t="s">
        <v>492</v>
      </c>
      <c r="D208" s="95"/>
      <c r="E208" s="244">
        <v>10556879.890000001</v>
      </c>
      <c r="F208" s="95"/>
      <c r="G208" s="179"/>
    </row>
    <row r="209" spans="2:7">
      <c r="B209" s="36">
        <f t="shared" si="3"/>
        <v>202</v>
      </c>
      <c r="C209" s="243" t="s">
        <v>493</v>
      </c>
      <c r="D209" s="95"/>
      <c r="E209" s="244">
        <v>13560003.24</v>
      </c>
      <c r="F209" s="95"/>
      <c r="G209" s="179"/>
    </row>
    <row r="210" spans="2:7">
      <c r="B210" s="36">
        <f t="shared" si="3"/>
        <v>203</v>
      </c>
      <c r="C210" s="243" t="s">
        <v>494</v>
      </c>
      <c r="D210" s="95"/>
      <c r="E210" s="244">
        <v>13510450.34</v>
      </c>
      <c r="F210" s="95"/>
      <c r="G210" s="179"/>
    </row>
    <row r="211" spans="2:7">
      <c r="B211" s="36">
        <f t="shared" si="3"/>
        <v>204</v>
      </c>
      <c r="C211" s="243" t="s">
        <v>495</v>
      </c>
      <c r="D211" s="95"/>
      <c r="E211" s="244">
        <v>13379262.789999999</v>
      </c>
      <c r="F211" s="95"/>
      <c r="G211" s="179"/>
    </row>
    <row r="212" spans="2:7">
      <c r="B212" s="36">
        <f t="shared" si="3"/>
        <v>205</v>
      </c>
      <c r="C212" s="243" t="s">
        <v>496</v>
      </c>
      <c r="D212" s="95"/>
      <c r="E212" s="244">
        <v>13698254.83</v>
      </c>
      <c r="F212" s="95"/>
      <c r="G212" s="179"/>
    </row>
    <row r="213" spans="2:7">
      <c r="B213" s="36">
        <f t="shared" si="3"/>
        <v>206</v>
      </c>
      <c r="C213" s="243" t="s">
        <v>497</v>
      </c>
      <c r="D213" s="95"/>
      <c r="E213" s="244">
        <v>13924002.73</v>
      </c>
      <c r="F213" s="95"/>
      <c r="G213" s="179"/>
    </row>
    <row r="214" spans="2:7">
      <c r="B214" s="36">
        <f t="shared" si="3"/>
        <v>207</v>
      </c>
      <c r="C214" s="243" t="s">
        <v>498</v>
      </c>
      <c r="D214" s="95"/>
      <c r="E214" s="244">
        <v>14771360.73</v>
      </c>
      <c r="F214" s="95"/>
      <c r="G214" s="179"/>
    </row>
    <row r="215" spans="2:7">
      <c r="B215" s="36">
        <f t="shared" si="3"/>
        <v>208</v>
      </c>
      <c r="C215" s="243" t="s">
        <v>499</v>
      </c>
      <c r="D215" s="95"/>
      <c r="E215" s="244">
        <v>15996126.640000001</v>
      </c>
      <c r="F215" s="95"/>
      <c r="G215" s="179"/>
    </row>
    <row r="216" spans="2:7">
      <c r="B216" s="36">
        <f t="shared" si="3"/>
        <v>209</v>
      </c>
      <c r="C216" s="243" t="s">
        <v>500</v>
      </c>
      <c r="D216" s="95"/>
      <c r="E216" s="244">
        <v>16863979.210000001</v>
      </c>
      <c r="F216" s="95"/>
      <c r="G216" s="179"/>
    </row>
    <row r="217" spans="2:7">
      <c r="B217" s="36">
        <f t="shared" si="3"/>
        <v>210</v>
      </c>
      <c r="C217" s="243" t="s">
        <v>501</v>
      </c>
      <c r="D217" s="95"/>
      <c r="E217" s="244">
        <v>16732464.060000001</v>
      </c>
      <c r="F217" s="95"/>
      <c r="G217" s="179"/>
    </row>
    <row r="218" spans="2:7">
      <c r="B218" s="36">
        <f t="shared" si="3"/>
        <v>211</v>
      </c>
      <c r="C218" s="243" t="s">
        <v>502</v>
      </c>
      <c r="D218" s="95"/>
      <c r="E218" s="244">
        <v>16587562.73</v>
      </c>
      <c r="F218" s="95"/>
      <c r="G218" s="179"/>
    </row>
    <row r="219" spans="2:7">
      <c r="B219" s="36">
        <f t="shared" si="3"/>
        <v>212</v>
      </c>
      <c r="C219" s="243" t="s">
        <v>503</v>
      </c>
      <c r="D219" s="95"/>
      <c r="E219" s="244">
        <v>16794390.890000001</v>
      </c>
      <c r="F219" s="95"/>
      <c r="G219" s="179"/>
    </row>
    <row r="220" spans="2:7">
      <c r="B220" s="36">
        <f t="shared" si="3"/>
        <v>213</v>
      </c>
      <c r="C220" s="243" t="s">
        <v>504</v>
      </c>
      <c r="D220" s="95"/>
      <c r="E220" s="244">
        <v>15511764.039999999</v>
      </c>
      <c r="F220" s="95"/>
      <c r="G220" s="179"/>
    </row>
    <row r="221" spans="2:7">
      <c r="B221" s="36">
        <f t="shared" si="3"/>
        <v>214</v>
      </c>
      <c r="C221" s="243" t="s">
        <v>505</v>
      </c>
      <c r="D221" s="95"/>
      <c r="E221" s="244">
        <v>14428708.890000001</v>
      </c>
      <c r="F221" s="95"/>
      <c r="G221" s="179"/>
    </row>
    <row r="222" spans="2:7">
      <c r="B222" s="36">
        <f t="shared" si="3"/>
        <v>215</v>
      </c>
      <c r="C222" s="243" t="s">
        <v>506</v>
      </c>
      <c r="D222" s="95"/>
      <c r="E222" s="244">
        <v>14664670.99</v>
      </c>
      <c r="F222" s="95"/>
      <c r="G222" s="179"/>
    </row>
    <row r="223" spans="2:7">
      <c r="B223" s="36">
        <f t="shared" si="3"/>
        <v>216</v>
      </c>
      <c r="C223" s="243" t="s">
        <v>507</v>
      </c>
      <c r="D223" s="95"/>
      <c r="E223" s="244">
        <v>14961705.93</v>
      </c>
      <c r="F223" s="95"/>
      <c r="G223" s="179"/>
    </row>
    <row r="224" spans="2:7">
      <c r="B224" s="36">
        <f t="shared" si="3"/>
        <v>217</v>
      </c>
      <c r="C224" s="243" t="s">
        <v>508</v>
      </c>
      <c r="D224" s="95"/>
      <c r="E224" s="244">
        <v>14812073.859999999</v>
      </c>
      <c r="F224" s="95"/>
      <c r="G224" s="179"/>
    </row>
    <row r="225" spans="2:7">
      <c r="B225" s="36">
        <f t="shared" si="3"/>
        <v>218</v>
      </c>
      <c r="C225" s="243" t="s">
        <v>509</v>
      </c>
      <c r="D225" s="95"/>
      <c r="E225" s="244">
        <v>14731428.26</v>
      </c>
      <c r="F225" s="95"/>
      <c r="G225" s="179"/>
    </row>
    <row r="226" spans="2:7">
      <c r="B226" s="36">
        <f t="shared" si="3"/>
        <v>219</v>
      </c>
      <c r="C226" s="243" t="s">
        <v>510</v>
      </c>
      <c r="D226" s="95"/>
      <c r="E226" s="244">
        <v>14443888.470000001</v>
      </c>
      <c r="F226" s="95"/>
      <c r="G226" s="179"/>
    </row>
    <row r="227" spans="2:7">
      <c r="B227" s="36">
        <f t="shared" si="3"/>
        <v>220</v>
      </c>
      <c r="C227" s="243" t="s">
        <v>511</v>
      </c>
      <c r="D227" s="95"/>
      <c r="E227" s="244">
        <v>13730161.25</v>
      </c>
      <c r="F227" s="95"/>
      <c r="G227" s="179"/>
    </row>
    <row r="228" spans="2:7">
      <c r="B228" s="36">
        <f t="shared" si="3"/>
        <v>221</v>
      </c>
      <c r="C228" s="243" t="s">
        <v>512</v>
      </c>
      <c r="D228" s="95"/>
      <c r="E228" s="244">
        <v>13431750.109999999</v>
      </c>
      <c r="F228" s="95"/>
      <c r="G228" s="179"/>
    </row>
    <row r="229" spans="2:7">
      <c r="B229" s="36">
        <f t="shared" si="3"/>
        <v>222</v>
      </c>
      <c r="C229" s="243" t="s">
        <v>513</v>
      </c>
      <c r="D229" s="95"/>
      <c r="E229" s="244">
        <v>13100544.449999999</v>
      </c>
      <c r="F229" s="95"/>
      <c r="G229" s="179"/>
    </row>
    <row r="230" spans="2:7">
      <c r="B230" s="36">
        <f t="shared" si="3"/>
        <v>223</v>
      </c>
      <c r="C230" s="243" t="s">
        <v>514</v>
      </c>
      <c r="D230" s="95"/>
      <c r="E230" s="244">
        <v>13693191.9</v>
      </c>
      <c r="F230" s="95"/>
      <c r="G230" s="179"/>
    </row>
    <row r="231" spans="2:7">
      <c r="B231" s="36">
        <f t="shared" si="3"/>
        <v>224</v>
      </c>
      <c r="C231" s="243" t="s">
        <v>515</v>
      </c>
      <c r="D231" s="95"/>
      <c r="E231" s="244">
        <v>13534058.789999999</v>
      </c>
      <c r="F231" s="95"/>
      <c r="G231" s="179"/>
    </row>
    <row r="232" spans="2:7">
      <c r="B232" s="36">
        <f t="shared" si="3"/>
        <v>225</v>
      </c>
      <c r="C232" s="243" t="s">
        <v>516</v>
      </c>
      <c r="D232" s="95"/>
      <c r="E232" s="244">
        <v>13396588.390000001</v>
      </c>
      <c r="F232" s="95"/>
      <c r="G232" s="179"/>
    </row>
    <row r="233" spans="2:7">
      <c r="B233" s="36">
        <f t="shared" si="3"/>
        <v>226</v>
      </c>
      <c r="C233" s="243" t="s">
        <v>517</v>
      </c>
      <c r="D233" s="95"/>
      <c r="E233" s="244">
        <v>12565995.57</v>
      </c>
      <c r="F233" s="95"/>
      <c r="G233" s="179"/>
    </row>
    <row r="234" spans="2:7">
      <c r="B234" s="36">
        <f t="shared" si="3"/>
        <v>227</v>
      </c>
      <c r="C234" s="243" t="s">
        <v>518</v>
      </c>
      <c r="D234" s="95"/>
      <c r="E234" s="244">
        <v>11888023.23</v>
      </c>
      <c r="F234" s="95"/>
      <c r="G234" s="179"/>
    </row>
    <row r="235" spans="2:7">
      <c r="B235" s="36">
        <f t="shared" si="3"/>
        <v>228</v>
      </c>
      <c r="C235" s="243" t="s">
        <v>519</v>
      </c>
      <c r="D235" s="95"/>
      <c r="E235" s="244">
        <v>11262371.619999999</v>
      </c>
      <c r="F235" s="95"/>
      <c r="G235" s="179"/>
    </row>
    <row r="236" spans="2:7">
      <c r="B236" s="36">
        <f t="shared" si="3"/>
        <v>229</v>
      </c>
      <c r="C236" s="243" t="s">
        <v>520</v>
      </c>
      <c r="D236" s="95"/>
      <c r="E236" s="244">
        <v>11788358.08</v>
      </c>
      <c r="F236" s="95"/>
      <c r="G236" s="179"/>
    </row>
    <row r="237" spans="2:7">
      <c r="B237" s="36">
        <f t="shared" si="3"/>
        <v>230</v>
      </c>
      <c r="C237" s="243" t="s">
        <v>521</v>
      </c>
      <c r="D237" s="95"/>
      <c r="E237" s="244">
        <v>12664386.6</v>
      </c>
      <c r="F237" s="95"/>
      <c r="G237" s="179"/>
    </row>
    <row r="238" spans="2:7">
      <c r="B238" s="36">
        <f t="shared" si="3"/>
        <v>231</v>
      </c>
      <c r="C238" s="243" t="s">
        <v>522</v>
      </c>
      <c r="D238" s="95"/>
      <c r="E238" s="244">
        <v>12520531.060000001</v>
      </c>
      <c r="F238" s="95"/>
      <c r="G238" s="179"/>
    </row>
    <row r="239" spans="2:7">
      <c r="B239" s="36">
        <f t="shared" si="3"/>
        <v>232</v>
      </c>
      <c r="C239" s="243" t="s">
        <v>523</v>
      </c>
      <c r="D239" s="95"/>
      <c r="E239" s="244">
        <v>12412979.210000001</v>
      </c>
      <c r="F239" s="95"/>
      <c r="G239" s="179"/>
    </row>
    <row r="240" spans="2:7">
      <c r="B240" s="36">
        <f t="shared" si="3"/>
        <v>233</v>
      </c>
      <c r="C240" s="243" t="s">
        <v>524</v>
      </c>
      <c r="D240" s="95"/>
      <c r="E240" s="244">
        <v>13036318.84</v>
      </c>
      <c r="F240" s="95"/>
      <c r="G240" s="179"/>
    </row>
    <row r="241" spans="2:7">
      <c r="B241" s="36">
        <f t="shared" si="3"/>
        <v>234</v>
      </c>
      <c r="C241" s="243" t="s">
        <v>525</v>
      </c>
      <c r="D241" s="95"/>
      <c r="E241" s="244">
        <v>14858812.720000001</v>
      </c>
      <c r="F241" s="95"/>
      <c r="G241" s="179"/>
    </row>
    <row r="242" spans="2:7">
      <c r="B242" s="36">
        <f t="shared" si="3"/>
        <v>235</v>
      </c>
      <c r="C242" s="243" t="s">
        <v>526</v>
      </c>
      <c r="D242" s="95"/>
      <c r="E242" s="244">
        <v>14854500.49</v>
      </c>
      <c r="F242" s="95"/>
      <c r="G242" s="179"/>
    </row>
    <row r="243" spans="2:7">
      <c r="B243" s="36">
        <f t="shared" si="3"/>
        <v>236</v>
      </c>
      <c r="C243" s="243" t="s">
        <v>527</v>
      </c>
      <c r="D243" s="95"/>
      <c r="E243" s="244">
        <v>15202585.029999999</v>
      </c>
      <c r="F243" s="95"/>
      <c r="G243" s="179"/>
    </row>
    <row r="244" spans="2:7">
      <c r="B244" s="36">
        <f t="shared" si="3"/>
        <v>237</v>
      </c>
      <c r="C244" s="243" t="s">
        <v>528</v>
      </c>
      <c r="D244" s="95"/>
      <c r="E244" s="244">
        <v>16007866.220000001</v>
      </c>
      <c r="F244" s="95"/>
      <c r="G244" s="179"/>
    </row>
    <row r="245" spans="2:7">
      <c r="B245" s="36">
        <f t="shared" si="3"/>
        <v>238</v>
      </c>
      <c r="C245" s="243" t="s">
        <v>529</v>
      </c>
      <c r="D245" s="95"/>
      <c r="E245" s="244">
        <v>15890143.77</v>
      </c>
      <c r="F245" s="95"/>
      <c r="G245" s="179"/>
    </row>
    <row r="246" spans="2:7">
      <c r="B246" s="36">
        <f t="shared" si="3"/>
        <v>239</v>
      </c>
      <c r="C246" s="243" t="s">
        <v>530</v>
      </c>
      <c r="D246" s="95"/>
      <c r="E246" s="244">
        <v>15748063.98</v>
      </c>
      <c r="F246" s="95"/>
      <c r="G246" s="179"/>
    </row>
    <row r="247" spans="2:7">
      <c r="B247" s="36">
        <f t="shared" si="3"/>
        <v>240</v>
      </c>
      <c r="C247" s="243" t="s">
        <v>531</v>
      </c>
      <c r="D247" s="95"/>
      <c r="E247" s="244">
        <v>15073204.73</v>
      </c>
      <c r="F247" s="95"/>
      <c r="G247" s="179"/>
    </row>
    <row r="248" spans="2:7">
      <c r="B248" s="36">
        <f t="shared" si="3"/>
        <v>241</v>
      </c>
      <c r="C248" s="243" t="s">
        <v>532</v>
      </c>
      <c r="D248" s="95"/>
      <c r="E248" s="244">
        <v>14700882.189999999</v>
      </c>
      <c r="F248" s="95"/>
      <c r="G248" s="179"/>
    </row>
    <row r="249" spans="2:7">
      <c r="B249" s="36">
        <f t="shared" si="3"/>
        <v>242</v>
      </c>
      <c r="C249" s="243" t="s">
        <v>533</v>
      </c>
      <c r="D249" s="95"/>
      <c r="E249" s="244">
        <v>13951090.859999999</v>
      </c>
      <c r="F249" s="95"/>
      <c r="G249" s="179"/>
    </row>
    <row r="250" spans="2:7">
      <c r="B250" s="36">
        <f t="shared" si="3"/>
        <v>243</v>
      </c>
      <c r="C250" s="243" t="s">
        <v>534</v>
      </c>
      <c r="D250" s="95"/>
      <c r="E250" s="244">
        <v>13380414.33</v>
      </c>
      <c r="F250" s="95"/>
      <c r="G250" s="179"/>
    </row>
    <row r="251" spans="2:7">
      <c r="B251" s="36">
        <f t="shared" si="3"/>
        <v>244</v>
      </c>
      <c r="C251" s="243" t="s">
        <v>535</v>
      </c>
      <c r="D251" s="95"/>
      <c r="E251" s="244">
        <v>13592652.289999999</v>
      </c>
      <c r="F251" s="95"/>
      <c r="G251" s="179"/>
    </row>
    <row r="252" spans="2:7">
      <c r="B252" s="36">
        <f t="shared" si="3"/>
        <v>245</v>
      </c>
      <c r="C252" s="243" t="s">
        <v>536</v>
      </c>
      <c r="D252" s="95"/>
      <c r="E252" s="244">
        <v>13453482.32</v>
      </c>
      <c r="F252" s="95"/>
      <c r="G252" s="179"/>
    </row>
    <row r="253" spans="2:7">
      <c r="B253" s="36">
        <f t="shared" si="3"/>
        <v>246</v>
      </c>
      <c r="C253" s="243" t="s">
        <v>537</v>
      </c>
      <c r="D253" s="95"/>
      <c r="E253" s="244">
        <v>13332817.77</v>
      </c>
      <c r="F253" s="95"/>
      <c r="G253" s="179"/>
    </row>
    <row r="254" spans="2:7">
      <c r="B254" s="36">
        <f t="shared" si="3"/>
        <v>247</v>
      </c>
      <c r="C254" s="243" t="s">
        <v>538</v>
      </c>
      <c r="D254" s="95"/>
      <c r="E254" s="244">
        <v>11958625.98</v>
      </c>
      <c r="F254" s="95"/>
      <c r="G254" s="179"/>
    </row>
    <row r="255" spans="2:7">
      <c r="B255" s="36">
        <f t="shared" si="3"/>
        <v>248</v>
      </c>
      <c r="C255" s="243" t="s">
        <v>539</v>
      </c>
      <c r="D255" s="95"/>
      <c r="E255" s="244">
        <v>11159325.92</v>
      </c>
      <c r="F255" s="95"/>
      <c r="G255" s="179"/>
    </row>
    <row r="256" spans="2:7">
      <c r="B256" s="36">
        <f t="shared" si="3"/>
        <v>249</v>
      </c>
      <c r="C256" s="243" t="s">
        <v>540</v>
      </c>
      <c r="D256" s="95"/>
      <c r="E256" s="244">
        <v>10863109.369999999</v>
      </c>
      <c r="F256" s="95"/>
      <c r="G256" s="179"/>
    </row>
    <row r="257" spans="2:7">
      <c r="B257" s="36">
        <f t="shared" si="3"/>
        <v>250</v>
      </c>
      <c r="C257" s="243" t="s">
        <v>541</v>
      </c>
      <c r="D257" s="95"/>
      <c r="E257" s="244">
        <v>11385537.779999999</v>
      </c>
      <c r="F257" s="95"/>
      <c r="G257" s="179"/>
    </row>
    <row r="258" spans="2:7">
      <c r="B258" s="36">
        <f t="shared" si="3"/>
        <v>251</v>
      </c>
      <c r="C258" s="243" t="s">
        <v>542</v>
      </c>
      <c r="D258" s="95"/>
      <c r="E258" s="244">
        <v>11687444.58</v>
      </c>
      <c r="F258" s="95"/>
      <c r="G258" s="179"/>
    </row>
    <row r="259" spans="2:7">
      <c r="B259" s="36">
        <f t="shared" si="3"/>
        <v>252</v>
      </c>
      <c r="C259" s="243" t="s">
        <v>543</v>
      </c>
      <c r="D259" s="95"/>
      <c r="E259" s="244">
        <v>11602247.890000001</v>
      </c>
      <c r="F259" s="95"/>
      <c r="G259" s="179"/>
    </row>
    <row r="260" spans="2:7">
      <c r="B260" s="36">
        <f t="shared" si="3"/>
        <v>253</v>
      </c>
      <c r="C260" s="243" t="s">
        <v>544</v>
      </c>
      <c r="D260" s="95"/>
      <c r="E260" s="244">
        <v>11489781.01</v>
      </c>
      <c r="F260" s="95"/>
      <c r="G260" s="179"/>
    </row>
    <row r="261" spans="2:7">
      <c r="B261" s="36">
        <f t="shared" si="3"/>
        <v>254</v>
      </c>
      <c r="C261" s="243" t="s">
        <v>545</v>
      </c>
      <c r="D261" s="95"/>
      <c r="E261" s="244">
        <v>10728465.470000001</v>
      </c>
      <c r="F261" s="95"/>
      <c r="G261" s="179"/>
    </row>
    <row r="262" spans="2:7">
      <c r="B262" s="36">
        <f t="shared" si="3"/>
        <v>255</v>
      </c>
      <c r="C262" s="243" t="s">
        <v>546</v>
      </c>
      <c r="D262" s="95"/>
      <c r="E262" s="244">
        <v>10195381.75</v>
      </c>
      <c r="F262" s="95"/>
      <c r="G262" s="179"/>
    </row>
    <row r="263" spans="2:7">
      <c r="B263" s="36">
        <f t="shared" si="3"/>
        <v>256</v>
      </c>
      <c r="C263" s="243" t="s">
        <v>547</v>
      </c>
      <c r="D263" s="95"/>
      <c r="E263" s="244">
        <v>10085975.050000001</v>
      </c>
      <c r="F263" s="95"/>
      <c r="G263" s="179"/>
    </row>
    <row r="264" spans="2:7">
      <c r="B264" s="36">
        <f t="shared" si="3"/>
        <v>257</v>
      </c>
      <c r="C264" s="243" t="s">
        <v>548</v>
      </c>
      <c r="D264" s="95"/>
      <c r="E264" s="244">
        <v>10028840.369999999</v>
      </c>
      <c r="F264" s="95"/>
      <c r="G264" s="179"/>
    </row>
    <row r="265" spans="2:7">
      <c r="B265" s="36">
        <f t="shared" ref="B265:B328" si="4">B264+1</f>
        <v>258</v>
      </c>
      <c r="C265" s="243" t="s">
        <v>549</v>
      </c>
      <c r="D265" s="95"/>
      <c r="E265" s="244">
        <v>9586352.0899999999</v>
      </c>
      <c r="F265" s="95"/>
      <c r="G265" s="179"/>
    </row>
    <row r="266" spans="2:7">
      <c r="B266" s="36">
        <f t="shared" si="4"/>
        <v>259</v>
      </c>
      <c r="C266" s="243" t="s">
        <v>550</v>
      </c>
      <c r="D266" s="95"/>
      <c r="E266" s="244">
        <v>9483151.6300000008</v>
      </c>
      <c r="F266" s="95"/>
      <c r="G266" s="179"/>
    </row>
    <row r="267" spans="2:7">
      <c r="B267" s="36">
        <f t="shared" si="4"/>
        <v>260</v>
      </c>
      <c r="C267" s="243" t="s">
        <v>551</v>
      </c>
      <c r="D267" s="95"/>
      <c r="E267" s="244">
        <v>9406907.3800000008</v>
      </c>
      <c r="F267" s="95"/>
      <c r="G267" s="179"/>
    </row>
    <row r="268" spans="2:7">
      <c r="B268" s="36">
        <f t="shared" si="4"/>
        <v>261</v>
      </c>
      <c r="C268" s="243" t="s">
        <v>552</v>
      </c>
      <c r="D268" s="95"/>
      <c r="E268" s="244">
        <v>11241356.02</v>
      </c>
      <c r="F268" s="95"/>
      <c r="G268" s="179"/>
    </row>
    <row r="269" spans="2:7">
      <c r="B269" s="36">
        <f t="shared" si="4"/>
        <v>262</v>
      </c>
      <c r="C269" s="243" t="s">
        <v>553</v>
      </c>
      <c r="D269" s="95"/>
      <c r="E269" s="244">
        <v>11265286.09</v>
      </c>
      <c r="F269" s="95"/>
      <c r="G269" s="179"/>
    </row>
    <row r="270" spans="2:7">
      <c r="B270" s="36">
        <f t="shared" si="4"/>
        <v>263</v>
      </c>
      <c r="C270" s="243" t="s">
        <v>554</v>
      </c>
      <c r="D270" s="95"/>
      <c r="E270" s="244">
        <v>11295674.75</v>
      </c>
      <c r="F270" s="95"/>
      <c r="G270" s="179"/>
    </row>
    <row r="271" spans="2:7">
      <c r="B271" s="36">
        <f t="shared" si="4"/>
        <v>264</v>
      </c>
      <c r="C271" s="243" t="s">
        <v>555</v>
      </c>
      <c r="D271" s="95"/>
      <c r="E271" s="244">
        <v>11554126.300000001</v>
      </c>
      <c r="F271" s="95"/>
      <c r="G271" s="179"/>
    </row>
    <row r="272" spans="2:7">
      <c r="B272" s="36">
        <f t="shared" si="4"/>
        <v>265</v>
      </c>
      <c r="C272" s="243" t="s">
        <v>556</v>
      </c>
      <c r="D272" s="95"/>
      <c r="E272" s="244">
        <v>12196249.720000001</v>
      </c>
      <c r="F272" s="95"/>
      <c r="G272" s="179"/>
    </row>
    <row r="273" spans="2:7">
      <c r="B273" s="36">
        <f t="shared" si="4"/>
        <v>266</v>
      </c>
      <c r="C273" s="243" t="s">
        <v>557</v>
      </c>
      <c r="D273" s="95"/>
      <c r="E273" s="244">
        <v>12118980.470000001</v>
      </c>
      <c r="F273" s="95"/>
      <c r="G273" s="179"/>
    </row>
    <row r="274" spans="2:7">
      <c r="B274" s="36">
        <f t="shared" si="4"/>
        <v>267</v>
      </c>
      <c r="C274" s="243" t="s">
        <v>558</v>
      </c>
      <c r="D274" s="95"/>
      <c r="E274" s="244">
        <v>12028802.550000001</v>
      </c>
      <c r="F274" s="95"/>
      <c r="G274" s="179"/>
    </row>
    <row r="275" spans="2:7">
      <c r="B275" s="36">
        <f t="shared" si="4"/>
        <v>268</v>
      </c>
      <c r="C275" s="243" t="s">
        <v>559</v>
      </c>
      <c r="D275" s="95"/>
      <c r="E275" s="244">
        <v>11416586.630000001</v>
      </c>
      <c r="F275" s="95"/>
      <c r="G275" s="179"/>
    </row>
    <row r="276" spans="2:7">
      <c r="B276" s="36">
        <f t="shared" si="4"/>
        <v>269</v>
      </c>
      <c r="C276" s="243" t="s">
        <v>560</v>
      </c>
      <c r="D276" s="95"/>
      <c r="E276" s="244">
        <v>11088162.99</v>
      </c>
      <c r="F276" s="95"/>
      <c r="G276" s="179"/>
    </row>
    <row r="277" spans="2:7">
      <c r="B277" s="36">
        <f t="shared" si="4"/>
        <v>270</v>
      </c>
      <c r="C277" s="243" t="s">
        <v>561</v>
      </c>
      <c r="D277" s="95"/>
      <c r="E277" s="244">
        <v>10500256.609999999</v>
      </c>
      <c r="F277" s="95"/>
      <c r="G277" s="179"/>
    </row>
    <row r="278" spans="2:7">
      <c r="B278" s="36">
        <f t="shared" si="4"/>
        <v>271</v>
      </c>
      <c r="C278" s="243" t="s">
        <v>562</v>
      </c>
      <c r="D278" s="95"/>
      <c r="E278" s="244">
        <v>10036340.35</v>
      </c>
      <c r="F278" s="95"/>
      <c r="G278" s="179"/>
    </row>
    <row r="279" spans="2:7">
      <c r="B279" s="36">
        <f t="shared" si="4"/>
        <v>272</v>
      </c>
      <c r="C279" s="243" t="s">
        <v>563</v>
      </c>
      <c r="D279" s="95"/>
      <c r="E279" s="244">
        <v>9946043.8000000007</v>
      </c>
      <c r="F279" s="95"/>
      <c r="G279" s="179"/>
    </row>
    <row r="280" spans="2:7">
      <c r="B280" s="36">
        <f t="shared" si="4"/>
        <v>273</v>
      </c>
      <c r="C280" s="243" t="s">
        <v>564</v>
      </c>
      <c r="D280" s="95"/>
      <c r="E280" s="244">
        <v>9858336.0800000001</v>
      </c>
      <c r="F280" s="95"/>
      <c r="G280" s="179"/>
    </row>
    <row r="281" spans="2:7">
      <c r="B281" s="36">
        <f t="shared" si="4"/>
        <v>274</v>
      </c>
      <c r="C281" s="243" t="s">
        <v>565</v>
      </c>
      <c r="D281" s="95"/>
      <c r="E281" s="244">
        <v>9785389.7799999993</v>
      </c>
      <c r="F281" s="95"/>
      <c r="G281" s="179"/>
    </row>
    <row r="282" spans="2:7">
      <c r="B282" s="36">
        <f t="shared" si="4"/>
        <v>275</v>
      </c>
      <c r="C282" s="243" t="s">
        <v>566</v>
      </c>
      <c r="D282" s="95"/>
      <c r="E282" s="244">
        <v>8662591.5899999999</v>
      </c>
      <c r="F282" s="95"/>
      <c r="G282" s="179"/>
    </row>
    <row r="283" spans="2:7">
      <c r="B283" s="36">
        <f t="shared" si="4"/>
        <v>276</v>
      </c>
      <c r="C283" s="243" t="s">
        <v>567</v>
      </c>
      <c r="D283" s="95"/>
      <c r="E283" s="244">
        <v>8031550.8099999996</v>
      </c>
      <c r="F283" s="95"/>
      <c r="G283" s="179"/>
    </row>
    <row r="284" spans="2:7">
      <c r="B284" s="36">
        <f t="shared" si="4"/>
        <v>277</v>
      </c>
      <c r="C284" s="243" t="s">
        <v>568</v>
      </c>
      <c r="D284" s="95"/>
      <c r="E284" s="244">
        <v>7756766.5099999998</v>
      </c>
      <c r="F284" s="95"/>
      <c r="G284" s="179"/>
    </row>
    <row r="285" spans="2:7">
      <c r="B285" s="36">
        <f t="shared" si="4"/>
        <v>278</v>
      </c>
      <c r="C285" s="243" t="s">
        <v>569</v>
      </c>
      <c r="D285" s="95"/>
      <c r="E285" s="244">
        <v>7733597.5099999998</v>
      </c>
      <c r="F285" s="95"/>
      <c r="G285" s="179"/>
    </row>
    <row r="286" spans="2:7">
      <c r="B286" s="36">
        <f t="shared" si="4"/>
        <v>279</v>
      </c>
      <c r="C286" s="243" t="s">
        <v>570</v>
      </c>
      <c r="D286" s="95"/>
      <c r="E286" s="244">
        <v>7903379.46</v>
      </c>
      <c r="F286" s="95"/>
      <c r="G286" s="179"/>
    </row>
    <row r="287" spans="2:7">
      <c r="B287" s="36">
        <f t="shared" si="4"/>
        <v>280</v>
      </c>
      <c r="C287" s="243" t="s">
        <v>571</v>
      </c>
      <c r="D287" s="95"/>
      <c r="E287" s="244">
        <v>7844434.2599999998</v>
      </c>
      <c r="F287" s="95"/>
      <c r="G287" s="179"/>
    </row>
    <row r="288" spans="2:7">
      <c r="B288" s="36">
        <f t="shared" si="4"/>
        <v>281</v>
      </c>
      <c r="C288" s="243" t="s">
        <v>572</v>
      </c>
      <c r="D288" s="95"/>
      <c r="E288" s="244">
        <v>7783319.8899999997</v>
      </c>
      <c r="F288" s="95"/>
      <c r="G288" s="179"/>
    </row>
    <row r="289" spans="2:7">
      <c r="B289" s="36">
        <f t="shared" si="4"/>
        <v>282</v>
      </c>
      <c r="C289" s="243" t="s">
        <v>573</v>
      </c>
      <c r="D289" s="95"/>
      <c r="E289" s="244">
        <v>7064146.7300000004</v>
      </c>
      <c r="F289" s="95"/>
      <c r="G289" s="179"/>
    </row>
    <row r="290" spans="2:7">
      <c r="B290" s="36">
        <f t="shared" si="4"/>
        <v>283</v>
      </c>
      <c r="C290" s="243" t="s">
        <v>574</v>
      </c>
      <c r="D290" s="95"/>
      <c r="E290" s="244">
        <v>6528216.1699999999</v>
      </c>
      <c r="F290" s="95"/>
      <c r="G290" s="179"/>
    </row>
    <row r="291" spans="2:7">
      <c r="B291" s="36">
        <f t="shared" si="4"/>
        <v>284</v>
      </c>
      <c r="C291" s="243" t="s">
        <v>575</v>
      </c>
      <c r="D291" s="95"/>
      <c r="E291" s="244">
        <v>6394651.75</v>
      </c>
      <c r="F291" s="95"/>
      <c r="G291" s="179"/>
    </row>
    <row r="292" spans="2:7">
      <c r="B292" s="36">
        <f t="shared" si="4"/>
        <v>285</v>
      </c>
      <c r="C292" s="243" t="s">
        <v>576</v>
      </c>
      <c r="D292" s="95"/>
      <c r="E292" s="244">
        <v>5990199.4299999997</v>
      </c>
      <c r="F292" s="95"/>
      <c r="G292" s="179"/>
    </row>
    <row r="293" spans="2:7">
      <c r="B293" s="36">
        <f t="shared" si="4"/>
        <v>286</v>
      </c>
      <c r="C293" s="243" t="s">
        <v>577</v>
      </c>
      <c r="D293" s="95"/>
      <c r="E293" s="244">
        <v>6489237.7199999997</v>
      </c>
      <c r="F293" s="95"/>
      <c r="G293" s="179"/>
    </row>
    <row r="294" spans="2:7">
      <c r="B294" s="36">
        <f t="shared" si="4"/>
        <v>287</v>
      </c>
      <c r="C294" s="243" t="s">
        <v>578</v>
      </c>
      <c r="D294" s="95"/>
      <c r="E294" s="244">
        <v>6424937.8499999996</v>
      </c>
      <c r="F294" s="95"/>
      <c r="G294" s="179"/>
    </row>
    <row r="295" spans="2:7">
      <c r="B295" s="36">
        <f t="shared" si="4"/>
        <v>288</v>
      </c>
      <c r="C295" s="243" t="s">
        <v>579</v>
      </c>
      <c r="D295" s="95"/>
      <c r="E295" s="244">
        <v>6359655.8399999999</v>
      </c>
      <c r="F295" s="95"/>
      <c r="G295" s="179"/>
    </row>
    <row r="296" spans="2:7">
      <c r="B296" s="36">
        <f t="shared" si="4"/>
        <v>289</v>
      </c>
      <c r="C296" s="243" t="s">
        <v>580</v>
      </c>
      <c r="D296" s="95"/>
      <c r="E296" s="244">
        <v>9264122.8000000007</v>
      </c>
      <c r="F296" s="95"/>
      <c r="G296" s="179"/>
    </row>
    <row r="297" spans="2:7">
      <c r="B297" s="36">
        <f t="shared" si="4"/>
        <v>290</v>
      </c>
      <c r="C297" s="243" t="s">
        <v>581</v>
      </c>
      <c r="D297" s="95"/>
      <c r="E297" s="244">
        <v>9589954.4800000004</v>
      </c>
      <c r="F297" s="95"/>
      <c r="G297" s="179"/>
    </row>
    <row r="298" spans="2:7">
      <c r="B298" s="36">
        <f t="shared" si="4"/>
        <v>291</v>
      </c>
      <c r="C298" s="243" t="s">
        <v>582</v>
      </c>
      <c r="D298" s="95"/>
      <c r="E298" s="244">
        <v>10044318.51</v>
      </c>
      <c r="F298" s="95"/>
      <c r="G298" s="179"/>
    </row>
    <row r="299" spans="2:7">
      <c r="B299" s="36">
        <f t="shared" si="4"/>
        <v>292</v>
      </c>
      <c r="C299" s="243" t="s">
        <v>583</v>
      </c>
      <c r="D299" s="95"/>
      <c r="E299" s="244">
        <v>10421998.390000001</v>
      </c>
      <c r="F299" s="95"/>
      <c r="G299" s="179"/>
    </row>
    <row r="300" spans="2:7">
      <c r="B300" s="36">
        <f t="shared" si="4"/>
        <v>293</v>
      </c>
      <c r="C300" s="243" t="s">
        <v>584</v>
      </c>
      <c r="D300" s="95"/>
      <c r="E300" s="244">
        <v>10722256.1</v>
      </c>
      <c r="F300" s="95"/>
      <c r="G300" s="179"/>
    </row>
    <row r="301" spans="2:7">
      <c r="B301" s="36">
        <f t="shared" si="4"/>
        <v>294</v>
      </c>
      <c r="C301" s="243" t="s">
        <v>585</v>
      </c>
      <c r="D301" s="95"/>
      <c r="E301" s="244">
        <v>10650011.57</v>
      </c>
      <c r="F301" s="95"/>
      <c r="G301" s="179"/>
    </row>
    <row r="302" spans="2:7">
      <c r="B302" s="36">
        <f t="shared" si="4"/>
        <v>295</v>
      </c>
      <c r="C302" s="243" t="s">
        <v>586</v>
      </c>
      <c r="D302" s="95"/>
      <c r="E302" s="244">
        <v>10578442.26</v>
      </c>
      <c r="F302" s="95"/>
      <c r="G302" s="179"/>
    </row>
    <row r="303" spans="2:7">
      <c r="B303" s="36">
        <f t="shared" si="4"/>
        <v>296</v>
      </c>
      <c r="C303" s="243" t="s">
        <v>587</v>
      </c>
      <c r="D303" s="95"/>
      <c r="E303" s="244">
        <v>10117116.640000001</v>
      </c>
      <c r="F303" s="95"/>
      <c r="G303" s="179"/>
    </row>
    <row r="304" spans="2:7">
      <c r="B304" s="36">
        <f t="shared" si="4"/>
        <v>297</v>
      </c>
      <c r="C304" s="243" t="s">
        <v>588</v>
      </c>
      <c r="D304" s="95"/>
      <c r="E304" s="244">
        <v>10209286.789999999</v>
      </c>
      <c r="F304" s="95"/>
      <c r="G304" s="179"/>
    </row>
    <row r="305" spans="2:7">
      <c r="B305" s="36">
        <f t="shared" si="4"/>
        <v>298</v>
      </c>
      <c r="C305" s="243" t="s">
        <v>589</v>
      </c>
      <c r="D305" s="95"/>
      <c r="E305" s="244">
        <v>10312468.23</v>
      </c>
      <c r="F305" s="95"/>
      <c r="G305" s="179"/>
    </row>
    <row r="306" spans="2:7">
      <c r="B306" s="36">
        <f t="shared" si="4"/>
        <v>299</v>
      </c>
      <c r="C306" s="243" t="s">
        <v>590</v>
      </c>
      <c r="D306" s="95"/>
      <c r="E306" s="244">
        <v>10557162.630000001</v>
      </c>
      <c r="F306" s="95"/>
      <c r="G306" s="179"/>
    </row>
    <row r="307" spans="2:7">
      <c r="B307" s="36">
        <f t="shared" si="4"/>
        <v>300</v>
      </c>
      <c r="C307" s="243" t="s">
        <v>591</v>
      </c>
      <c r="D307" s="95"/>
      <c r="E307" s="244">
        <v>10406315.99</v>
      </c>
      <c r="F307" s="95"/>
      <c r="G307" s="179"/>
    </row>
    <row r="308" spans="2:7">
      <c r="B308" s="36">
        <f t="shared" si="4"/>
        <v>301</v>
      </c>
      <c r="C308" s="243" t="s">
        <v>592</v>
      </c>
      <c r="D308" s="95"/>
      <c r="E308" s="244">
        <v>10342341</v>
      </c>
      <c r="F308" s="95"/>
      <c r="G308" s="179"/>
    </row>
    <row r="309" spans="2:7">
      <c r="B309" s="36">
        <f t="shared" si="4"/>
        <v>302</v>
      </c>
      <c r="C309" s="243" t="s">
        <v>593</v>
      </c>
      <c r="D309" s="95"/>
      <c r="E309" s="244">
        <v>10233656.689999999</v>
      </c>
      <c r="F309" s="95"/>
      <c r="G309" s="179"/>
    </row>
    <row r="310" spans="2:7">
      <c r="B310" s="36">
        <f t="shared" si="4"/>
        <v>303</v>
      </c>
      <c r="C310" s="243" t="s">
        <v>594</v>
      </c>
      <c r="D310" s="95"/>
      <c r="E310" s="244">
        <v>9298816.6799999997</v>
      </c>
      <c r="F310" s="95"/>
      <c r="G310" s="179"/>
    </row>
    <row r="311" spans="2:7">
      <c r="B311" s="36">
        <f t="shared" si="4"/>
        <v>304</v>
      </c>
      <c r="C311" s="243" t="s">
        <v>595</v>
      </c>
      <c r="D311" s="95"/>
      <c r="E311" s="244">
        <v>8258734.2199999997</v>
      </c>
      <c r="F311" s="95"/>
      <c r="G311" s="179"/>
    </row>
    <row r="312" spans="2:7">
      <c r="B312" s="36">
        <f t="shared" si="4"/>
        <v>305</v>
      </c>
      <c r="C312" s="243" t="s">
        <v>596</v>
      </c>
      <c r="D312" s="95"/>
      <c r="E312" s="244">
        <v>7905001.0599999996</v>
      </c>
      <c r="F312" s="95"/>
      <c r="G312" s="179"/>
    </row>
    <row r="313" spans="2:7">
      <c r="B313" s="36">
        <f t="shared" si="4"/>
        <v>306</v>
      </c>
      <c r="C313" s="243" t="s">
        <v>597</v>
      </c>
      <c r="D313" s="95"/>
      <c r="E313" s="244">
        <v>7605199.9000000004</v>
      </c>
      <c r="F313" s="95"/>
      <c r="G313" s="179"/>
    </row>
    <row r="314" spans="2:7">
      <c r="B314" s="36">
        <f t="shared" si="4"/>
        <v>307</v>
      </c>
      <c r="C314" s="243" t="s">
        <v>598</v>
      </c>
      <c r="D314" s="95"/>
      <c r="E314" s="244">
        <v>7591228.1399999997</v>
      </c>
      <c r="F314" s="95"/>
      <c r="G314" s="179"/>
    </row>
    <row r="315" spans="2:7">
      <c r="B315" s="36">
        <f t="shared" si="4"/>
        <v>308</v>
      </c>
      <c r="C315" s="243" t="s">
        <v>599</v>
      </c>
      <c r="D315" s="95"/>
      <c r="E315" s="244">
        <v>7566125.7199999997</v>
      </c>
      <c r="F315" s="95"/>
      <c r="G315" s="179"/>
    </row>
    <row r="316" spans="2:7">
      <c r="B316" s="36">
        <f t="shared" si="4"/>
        <v>309</v>
      </c>
      <c r="C316" s="243" t="s">
        <v>600</v>
      </c>
      <c r="D316" s="95"/>
      <c r="E316" s="244">
        <v>7532018.0800000001</v>
      </c>
      <c r="F316" s="95"/>
      <c r="G316" s="179"/>
    </row>
    <row r="317" spans="2:7">
      <c r="B317" s="36">
        <f t="shared" si="4"/>
        <v>310</v>
      </c>
      <c r="C317" s="243" t="s">
        <v>601</v>
      </c>
      <c r="D317" s="95"/>
      <c r="E317" s="244">
        <v>6700312.46</v>
      </c>
      <c r="F317" s="95"/>
      <c r="G317" s="179"/>
    </row>
    <row r="318" spans="2:7">
      <c r="B318" s="36">
        <f t="shared" si="4"/>
        <v>311</v>
      </c>
      <c r="C318" s="243" t="s">
        <v>602</v>
      </c>
      <c r="D318" s="95"/>
      <c r="E318" s="244">
        <v>6099093.3799999999</v>
      </c>
      <c r="F318" s="95"/>
      <c r="G318" s="179"/>
    </row>
    <row r="319" spans="2:7">
      <c r="B319" s="36">
        <f t="shared" si="4"/>
        <v>312</v>
      </c>
      <c r="C319" s="243" t="s">
        <v>603</v>
      </c>
      <c r="D319" s="95"/>
      <c r="E319" s="244">
        <v>5929072.7699999996</v>
      </c>
      <c r="F319" s="95"/>
      <c r="G319" s="179"/>
    </row>
    <row r="320" spans="2:7">
      <c r="B320" s="36">
        <f t="shared" si="4"/>
        <v>313</v>
      </c>
      <c r="C320" s="243" t="s">
        <v>604</v>
      </c>
      <c r="D320" s="95"/>
      <c r="E320" s="244">
        <v>4327803.8899999997</v>
      </c>
      <c r="F320" s="95"/>
      <c r="G320" s="179"/>
    </row>
    <row r="321" spans="2:7">
      <c r="B321" s="36">
        <f t="shared" si="4"/>
        <v>314</v>
      </c>
      <c r="C321" s="243" t="s">
        <v>605</v>
      </c>
      <c r="D321" s="95"/>
      <c r="E321" s="244">
        <v>4612716.51</v>
      </c>
      <c r="F321" s="95"/>
      <c r="G321" s="179"/>
    </row>
    <row r="322" spans="2:7">
      <c r="B322" s="36">
        <f t="shared" si="4"/>
        <v>315</v>
      </c>
      <c r="C322" s="243" t="s">
        <v>606</v>
      </c>
      <c r="D322" s="95"/>
      <c r="E322" s="244">
        <v>4567195.78</v>
      </c>
      <c r="F322" s="95"/>
      <c r="G322" s="179"/>
    </row>
    <row r="323" spans="2:7">
      <c r="B323" s="36">
        <f t="shared" si="4"/>
        <v>316</v>
      </c>
      <c r="C323" s="243" t="s">
        <v>607</v>
      </c>
      <c r="D323" s="95"/>
      <c r="E323" s="244">
        <v>4530828.26</v>
      </c>
      <c r="F323" s="95"/>
      <c r="G323" s="179"/>
    </row>
    <row r="324" spans="2:7">
      <c r="B324" s="36">
        <f t="shared" si="4"/>
        <v>317</v>
      </c>
      <c r="C324" s="243" t="s">
        <v>608</v>
      </c>
      <c r="D324" s="95"/>
      <c r="E324" s="244">
        <v>4227661.6399999997</v>
      </c>
      <c r="F324" s="95"/>
      <c r="G324" s="179"/>
    </row>
    <row r="325" spans="2:7">
      <c r="B325" s="36">
        <f t="shared" si="4"/>
        <v>318</v>
      </c>
      <c r="C325" s="243" t="s">
        <v>609</v>
      </c>
      <c r="D325" s="95"/>
      <c r="E325" s="244">
        <v>5854393.25</v>
      </c>
      <c r="F325" s="95"/>
      <c r="G325" s="179"/>
    </row>
    <row r="326" spans="2:7">
      <c r="B326" s="36">
        <f t="shared" si="4"/>
        <v>319</v>
      </c>
      <c r="C326" s="243" t="s">
        <v>610</v>
      </c>
      <c r="D326" s="95"/>
      <c r="E326" s="244">
        <v>5966094.0899999999</v>
      </c>
      <c r="F326" s="95"/>
      <c r="G326" s="179"/>
    </row>
    <row r="327" spans="2:7">
      <c r="B327" s="36">
        <f t="shared" si="4"/>
        <v>320</v>
      </c>
      <c r="C327" s="243" t="s">
        <v>611</v>
      </c>
      <c r="D327" s="95"/>
      <c r="E327" s="244">
        <v>6309495.6100000003</v>
      </c>
      <c r="F327" s="95"/>
      <c r="G327" s="179"/>
    </row>
    <row r="328" spans="2:7">
      <c r="B328" s="36">
        <f t="shared" si="4"/>
        <v>321</v>
      </c>
      <c r="C328" s="243" t="s">
        <v>612</v>
      </c>
      <c r="D328" s="95"/>
      <c r="E328" s="244">
        <v>6655277.2000000002</v>
      </c>
      <c r="F328" s="95"/>
      <c r="G328" s="179"/>
    </row>
    <row r="329" spans="2:7">
      <c r="B329" s="36">
        <f t="shared" ref="B329:B372" si="5">B328+1</f>
        <v>322</v>
      </c>
      <c r="C329" s="243" t="s">
        <v>613</v>
      </c>
      <c r="D329" s="95"/>
      <c r="E329" s="244">
        <v>6618720.46</v>
      </c>
      <c r="F329" s="95"/>
      <c r="G329" s="179"/>
    </row>
    <row r="330" spans="2:7">
      <c r="B330" s="36">
        <f t="shared" si="5"/>
        <v>323</v>
      </c>
      <c r="C330" s="243" t="s">
        <v>614</v>
      </c>
      <c r="D330" s="95"/>
      <c r="E330" s="244">
        <v>6582070.7800000003</v>
      </c>
      <c r="F330" s="95"/>
      <c r="G330" s="179"/>
    </row>
    <row r="331" spans="2:7">
      <c r="B331" s="36">
        <f t="shared" si="5"/>
        <v>324</v>
      </c>
      <c r="C331" s="243" t="s">
        <v>615</v>
      </c>
      <c r="D331" s="95"/>
      <c r="E331" s="244">
        <v>6632869.5</v>
      </c>
      <c r="F331" s="95"/>
      <c r="G331" s="179"/>
    </row>
    <row r="332" spans="2:7">
      <c r="B332" s="36">
        <f t="shared" si="5"/>
        <v>325</v>
      </c>
      <c r="C332" s="243" t="s">
        <v>616</v>
      </c>
      <c r="D332" s="95"/>
      <c r="E332" s="244">
        <v>6624877.1600000001</v>
      </c>
      <c r="F332" s="95"/>
      <c r="G332" s="179"/>
    </row>
    <row r="333" spans="2:7">
      <c r="B333" s="36">
        <f t="shared" si="5"/>
        <v>326</v>
      </c>
      <c r="C333" s="243" t="s">
        <v>617</v>
      </c>
      <c r="D333" s="95"/>
      <c r="E333" s="244">
        <v>6595633.0300000003</v>
      </c>
      <c r="F333" s="95"/>
      <c r="G333" s="179"/>
    </row>
    <row r="334" spans="2:7">
      <c r="B334" s="36">
        <f t="shared" si="5"/>
        <v>327</v>
      </c>
      <c r="C334" s="243" t="s">
        <v>618</v>
      </c>
      <c r="D334" s="95"/>
      <c r="E334" s="244">
        <v>6904494.4400000004</v>
      </c>
      <c r="F334" s="95"/>
      <c r="G334" s="179"/>
    </row>
    <row r="335" spans="2:7">
      <c r="B335" s="36">
        <f t="shared" si="5"/>
        <v>328</v>
      </c>
      <c r="C335" s="243" t="s">
        <v>619</v>
      </c>
      <c r="D335" s="95"/>
      <c r="E335" s="244">
        <v>7095139.1299999999</v>
      </c>
      <c r="F335" s="95"/>
      <c r="G335" s="179"/>
    </row>
    <row r="336" spans="2:7">
      <c r="B336" s="36">
        <f t="shared" si="5"/>
        <v>329</v>
      </c>
      <c r="C336" s="243" t="s">
        <v>620</v>
      </c>
      <c r="D336" s="95"/>
      <c r="E336" s="244">
        <v>7021558.9100000001</v>
      </c>
      <c r="F336" s="95"/>
      <c r="G336" s="179"/>
    </row>
    <row r="337" spans="2:7">
      <c r="B337" s="36">
        <f t="shared" si="5"/>
        <v>330</v>
      </c>
      <c r="C337" s="243" t="s">
        <v>621</v>
      </c>
      <c r="D337" s="95"/>
      <c r="E337" s="244">
        <v>7007492.8200000003</v>
      </c>
      <c r="F337" s="95"/>
      <c r="G337" s="179"/>
    </row>
    <row r="338" spans="2:7">
      <c r="B338" s="36">
        <f t="shared" si="5"/>
        <v>331</v>
      </c>
      <c r="C338" s="243" t="s">
        <v>622</v>
      </c>
      <c r="D338" s="95"/>
      <c r="E338" s="244">
        <v>6985779.79</v>
      </c>
      <c r="F338" s="95"/>
      <c r="G338" s="179"/>
    </row>
    <row r="339" spans="2:7">
      <c r="B339" s="36">
        <f t="shared" si="5"/>
        <v>332</v>
      </c>
      <c r="C339" s="243" t="s">
        <v>623</v>
      </c>
      <c r="D339" s="95"/>
      <c r="E339" s="244">
        <v>6564614.7800000003</v>
      </c>
      <c r="F339" s="95"/>
      <c r="G339" s="179"/>
    </row>
    <row r="340" spans="2:7">
      <c r="B340" s="36">
        <f t="shared" si="5"/>
        <v>333</v>
      </c>
      <c r="C340" s="243" t="s">
        <v>624</v>
      </c>
      <c r="D340" s="95"/>
      <c r="E340" s="244">
        <v>6073207.9400000004</v>
      </c>
      <c r="F340" s="95"/>
      <c r="G340" s="179"/>
    </row>
    <row r="341" spans="2:7">
      <c r="B341" s="36">
        <f t="shared" si="5"/>
        <v>334</v>
      </c>
      <c r="C341" s="243" t="s">
        <v>625</v>
      </c>
      <c r="D341" s="95"/>
      <c r="E341" s="244">
        <v>5822735.8200000003</v>
      </c>
      <c r="F341" s="95"/>
      <c r="G341" s="179"/>
    </row>
    <row r="342" spans="2:7">
      <c r="B342" s="36">
        <f t="shared" si="5"/>
        <v>335</v>
      </c>
      <c r="C342" s="243" t="s">
        <v>626</v>
      </c>
      <c r="D342" s="95"/>
      <c r="E342" s="244">
        <v>5375249.3200000003</v>
      </c>
      <c r="F342" s="95"/>
      <c r="G342" s="179"/>
    </row>
    <row r="343" spans="2:7">
      <c r="B343" s="36">
        <f t="shared" si="5"/>
        <v>336</v>
      </c>
      <c r="C343" s="243" t="s">
        <v>627</v>
      </c>
      <c r="D343" s="95"/>
      <c r="E343" s="244">
        <v>5352383.5599999996</v>
      </c>
      <c r="F343" s="95"/>
      <c r="G343" s="179"/>
    </row>
    <row r="344" spans="2:7">
      <c r="B344" s="36">
        <f t="shared" si="5"/>
        <v>337</v>
      </c>
      <c r="C344" s="243" t="s">
        <v>628</v>
      </c>
      <c r="D344" s="95"/>
      <c r="E344" s="244">
        <v>5305902.63</v>
      </c>
      <c r="F344" s="95"/>
      <c r="G344" s="179"/>
    </row>
    <row r="345" spans="2:7">
      <c r="B345" s="36">
        <f t="shared" si="5"/>
        <v>338</v>
      </c>
      <c r="C345" s="243" t="s">
        <v>629</v>
      </c>
      <c r="D345" s="95"/>
      <c r="E345" s="244">
        <v>4680282.8600000003</v>
      </c>
      <c r="F345" s="95"/>
      <c r="G345" s="179"/>
    </row>
    <row r="346" spans="2:7">
      <c r="B346" s="36">
        <f t="shared" si="5"/>
        <v>339</v>
      </c>
      <c r="C346" s="243" t="s">
        <v>630</v>
      </c>
      <c r="D346" s="95"/>
      <c r="E346" s="244">
        <v>4205440.25</v>
      </c>
      <c r="F346" s="95"/>
      <c r="G346" s="179"/>
    </row>
    <row r="347" spans="2:7">
      <c r="B347" s="36">
        <f t="shared" si="5"/>
        <v>340</v>
      </c>
      <c r="C347" s="243" t="s">
        <v>631</v>
      </c>
      <c r="D347" s="95"/>
      <c r="E347" s="244">
        <v>3985380.53</v>
      </c>
      <c r="F347" s="95"/>
      <c r="G347" s="179"/>
    </row>
    <row r="348" spans="2:7">
      <c r="B348" s="36">
        <f t="shared" si="5"/>
        <v>341</v>
      </c>
      <c r="C348" s="243" t="s">
        <v>632</v>
      </c>
      <c r="D348" s="95"/>
      <c r="E348" s="244">
        <v>4057447.4</v>
      </c>
      <c r="F348" s="95"/>
      <c r="G348" s="179"/>
    </row>
    <row r="349" spans="2:7">
      <c r="B349" s="36">
        <f t="shared" si="5"/>
        <v>342</v>
      </c>
      <c r="C349" s="243" t="s">
        <v>633</v>
      </c>
      <c r="D349" s="95"/>
      <c r="E349" s="244">
        <v>3469314.47</v>
      </c>
      <c r="F349" s="95"/>
      <c r="G349" s="179"/>
    </row>
    <row r="350" spans="2:7">
      <c r="B350" s="36">
        <f t="shared" si="5"/>
        <v>343</v>
      </c>
      <c r="C350" s="243" t="s">
        <v>634</v>
      </c>
      <c r="D350" s="95"/>
      <c r="E350" s="244">
        <v>3437445.31</v>
      </c>
      <c r="F350" s="95"/>
      <c r="G350" s="179"/>
    </row>
    <row r="351" spans="2:7">
      <c r="B351" s="36">
        <f t="shared" si="5"/>
        <v>344</v>
      </c>
      <c r="C351" s="243" t="s">
        <v>635</v>
      </c>
      <c r="D351" s="95"/>
      <c r="E351" s="244">
        <v>3385458.24</v>
      </c>
      <c r="F351" s="95"/>
      <c r="G351" s="179"/>
    </row>
    <row r="352" spans="2:7">
      <c r="B352" s="36">
        <f t="shared" si="5"/>
        <v>345</v>
      </c>
      <c r="C352" s="243" t="s">
        <v>636</v>
      </c>
      <c r="D352" s="95"/>
      <c r="E352" s="244">
        <v>3214879.43</v>
      </c>
      <c r="F352" s="95"/>
      <c r="G352" s="179"/>
    </row>
    <row r="353" spans="2:7">
      <c r="B353" s="36">
        <f t="shared" si="5"/>
        <v>346</v>
      </c>
      <c r="C353" s="243" t="s">
        <v>637</v>
      </c>
      <c r="D353" s="95"/>
      <c r="E353" s="244">
        <v>3068407.21</v>
      </c>
      <c r="F353" s="95"/>
      <c r="G353" s="179"/>
    </row>
    <row r="354" spans="2:7">
      <c r="B354" s="36">
        <f t="shared" si="5"/>
        <v>347</v>
      </c>
      <c r="C354" s="243" t="s">
        <v>638</v>
      </c>
      <c r="D354" s="95"/>
      <c r="E354" s="244">
        <v>3134083.91</v>
      </c>
      <c r="F354" s="95"/>
      <c r="G354" s="179"/>
    </row>
    <row r="355" spans="2:7">
      <c r="B355" s="36">
        <f t="shared" si="5"/>
        <v>348</v>
      </c>
      <c r="C355" s="243" t="s">
        <v>639</v>
      </c>
      <c r="D355" s="95"/>
      <c r="E355" s="244">
        <v>3367008.74</v>
      </c>
      <c r="F355" s="95"/>
      <c r="G355" s="179"/>
    </row>
    <row r="356" spans="2:7">
      <c r="B356" s="36">
        <f t="shared" si="5"/>
        <v>349</v>
      </c>
      <c r="C356" s="243" t="s">
        <v>640</v>
      </c>
      <c r="D356" s="95"/>
      <c r="E356" s="244">
        <v>3651163.46</v>
      </c>
      <c r="F356" s="95"/>
      <c r="G356" s="179"/>
    </row>
    <row r="357" spans="2:7">
      <c r="B357" s="36">
        <f t="shared" si="5"/>
        <v>350</v>
      </c>
      <c r="C357" s="243" t="s">
        <v>641</v>
      </c>
      <c r="D357" s="95"/>
      <c r="E357" s="244">
        <v>3617827.37</v>
      </c>
      <c r="F357" s="95"/>
      <c r="G357" s="179"/>
    </row>
    <row r="358" spans="2:7">
      <c r="B358" s="36">
        <f t="shared" si="5"/>
        <v>351</v>
      </c>
      <c r="C358" s="243" t="s">
        <v>642</v>
      </c>
      <c r="D358" s="95"/>
      <c r="E358" s="244">
        <v>3581080.07</v>
      </c>
      <c r="F358" s="95"/>
      <c r="G358" s="179"/>
    </row>
    <row r="359" spans="2:7">
      <c r="B359" s="36">
        <f t="shared" si="5"/>
        <v>352</v>
      </c>
      <c r="C359" s="243" t="s">
        <v>643</v>
      </c>
      <c r="D359" s="95"/>
      <c r="E359" s="244">
        <v>3643874.51</v>
      </c>
      <c r="F359" s="95"/>
      <c r="G359" s="179"/>
    </row>
    <row r="360" spans="2:7">
      <c r="B360" s="36">
        <f t="shared" si="5"/>
        <v>353</v>
      </c>
      <c r="C360" s="243" t="s">
        <v>644</v>
      </c>
      <c r="D360" s="95"/>
      <c r="E360" s="244">
        <v>3847916.24</v>
      </c>
      <c r="F360" s="95"/>
      <c r="G360" s="179"/>
    </row>
    <row r="361" spans="2:7">
      <c r="B361" s="36">
        <f t="shared" si="5"/>
        <v>354</v>
      </c>
      <c r="C361" s="243" t="s">
        <v>645</v>
      </c>
      <c r="D361" s="95"/>
      <c r="E361" s="244">
        <v>4160408.89</v>
      </c>
      <c r="F361" s="95"/>
      <c r="G361" s="179"/>
    </row>
    <row r="362" spans="2:7">
      <c r="B362" s="36">
        <f t="shared" si="5"/>
        <v>355</v>
      </c>
      <c r="C362" s="243" t="s">
        <v>646</v>
      </c>
      <c r="D362" s="95"/>
      <c r="E362" s="244">
        <v>4364774.5</v>
      </c>
      <c r="F362" s="95"/>
      <c r="G362" s="179"/>
    </row>
    <row r="363" spans="2:7">
      <c r="B363" s="36">
        <f t="shared" si="5"/>
        <v>356</v>
      </c>
      <c r="C363" s="243" t="s">
        <v>647</v>
      </c>
      <c r="D363" s="95"/>
      <c r="E363" s="244">
        <v>4588755.76</v>
      </c>
      <c r="F363" s="95"/>
      <c r="G363" s="179"/>
    </row>
    <row r="364" spans="2:7">
      <c r="B364" s="36">
        <f t="shared" si="5"/>
        <v>357</v>
      </c>
      <c r="C364" s="243" t="s">
        <v>648</v>
      </c>
      <c r="D364" s="95"/>
      <c r="E364" s="244">
        <v>4549210.46</v>
      </c>
      <c r="F364" s="95"/>
      <c r="G364" s="179"/>
    </row>
    <row r="365" spans="2:7">
      <c r="B365" s="36">
        <f t="shared" si="5"/>
        <v>358</v>
      </c>
      <c r="C365" s="243" t="s">
        <v>649</v>
      </c>
      <c r="D365" s="95"/>
      <c r="E365" s="244">
        <v>4513304.91</v>
      </c>
      <c r="F365" s="95"/>
      <c r="G365" s="179"/>
    </row>
    <row r="366" spans="2:7">
      <c r="B366" s="36">
        <f t="shared" si="5"/>
        <v>359</v>
      </c>
      <c r="C366" s="243" t="s">
        <v>650</v>
      </c>
      <c r="D366" s="95"/>
      <c r="E366" s="244">
        <v>6399042.9699999997</v>
      </c>
      <c r="F366" s="95"/>
      <c r="G366" s="179"/>
    </row>
    <row r="367" spans="2:7">
      <c r="B367" s="36">
        <f t="shared" si="5"/>
        <v>360</v>
      </c>
      <c r="C367" s="243" t="s">
        <v>651</v>
      </c>
      <c r="D367" s="95"/>
      <c r="E367" s="244">
        <v>6398147.2699999996</v>
      </c>
      <c r="F367" s="95"/>
      <c r="G367" s="179"/>
    </row>
    <row r="368" spans="2:7">
      <c r="B368" s="36">
        <f t="shared" si="5"/>
        <v>361</v>
      </c>
      <c r="C368" s="243" t="s">
        <v>652</v>
      </c>
      <c r="D368" s="95"/>
      <c r="E368" s="244">
        <v>6398148.4000000004</v>
      </c>
      <c r="F368" s="95"/>
      <c r="G368" s="179"/>
    </row>
    <row r="369" spans="2:7">
      <c r="B369" s="36">
        <f t="shared" si="5"/>
        <v>362</v>
      </c>
      <c r="C369" s="243" t="s">
        <v>653</v>
      </c>
      <c r="D369" s="95"/>
      <c r="E369" s="244">
        <v>6337377.9800000004</v>
      </c>
      <c r="F369" s="95"/>
      <c r="G369" s="179"/>
    </row>
    <row r="370" spans="2:7">
      <c r="B370" s="36">
        <f t="shared" si="5"/>
        <v>363</v>
      </c>
      <c r="C370" s="243" t="s">
        <v>654</v>
      </c>
      <c r="D370" s="95"/>
      <c r="E370" s="244">
        <v>6158610.5199999996</v>
      </c>
      <c r="F370" s="95"/>
      <c r="G370" s="179"/>
    </row>
    <row r="371" spans="2:7">
      <c r="B371" s="36">
        <f t="shared" si="5"/>
        <v>364</v>
      </c>
      <c r="C371" s="243" t="s">
        <v>655</v>
      </c>
      <c r="D371" s="95"/>
      <c r="E371" s="244">
        <v>6111659.46</v>
      </c>
      <c r="F371" s="95"/>
      <c r="G371" s="179"/>
    </row>
    <row r="372" spans="2:7">
      <c r="B372" s="36">
        <f t="shared" si="5"/>
        <v>365</v>
      </c>
      <c r="C372" s="243" t="s">
        <v>656</v>
      </c>
      <c r="D372" s="95"/>
      <c r="E372" s="244">
        <v>6066250.2199999997</v>
      </c>
      <c r="F372" s="95"/>
      <c r="G372" s="179"/>
    </row>
    <row r="373" spans="2:7">
      <c r="B373" s="36">
        <v>366</v>
      </c>
      <c r="C373" s="35"/>
      <c r="D373" s="35"/>
      <c r="E373" s="38"/>
      <c r="F373" s="35"/>
    </row>
    <row r="374" spans="2:7">
      <c r="B374" s="36">
        <v>367</v>
      </c>
      <c r="C374" s="35" t="s">
        <v>74</v>
      </c>
      <c r="D374" s="35"/>
      <c r="E374" s="237">
        <f>ROUND(SUM(E8:E372)/(COUNT(E8:E372)),2)</f>
        <v>7809992.3300000001</v>
      </c>
      <c r="F374" s="237"/>
    </row>
    <row r="375" spans="2:7">
      <c r="B375" s="36">
        <v>368</v>
      </c>
      <c r="C375" s="35"/>
      <c r="D375" s="35"/>
      <c r="E375" s="38"/>
      <c r="F375" s="35"/>
    </row>
    <row r="376" spans="2:7">
      <c r="B376" s="36">
        <v>369</v>
      </c>
      <c r="C376" s="35" t="s">
        <v>206</v>
      </c>
      <c r="D376" s="35"/>
      <c r="E376" s="35">
        <f>-'WP 2-2'!O16</f>
        <v>157752777.07999998</v>
      </c>
      <c r="F376" s="35" t="s">
        <v>234</v>
      </c>
    </row>
    <row r="377" spans="2:7">
      <c r="B377" s="36">
        <v>370</v>
      </c>
      <c r="C377" s="35" t="s">
        <v>207</v>
      </c>
      <c r="D377" s="35"/>
      <c r="E377" s="35">
        <f>ROUND(E376/COUNT(E8:E372),2)</f>
        <v>432199.39</v>
      </c>
      <c r="F377" s="35"/>
    </row>
    <row r="378" spans="2:7">
      <c r="B378" s="36">
        <v>371</v>
      </c>
      <c r="C378" s="35"/>
      <c r="D378" s="35"/>
      <c r="E378" s="38"/>
      <c r="F378" s="35"/>
    </row>
    <row r="379" spans="2:7">
      <c r="B379" s="36">
        <v>372</v>
      </c>
      <c r="C379" s="35" t="s">
        <v>75</v>
      </c>
      <c r="D379" s="35"/>
      <c r="E379" s="38">
        <f>ROUND(E374/E377,2)</f>
        <v>18.07</v>
      </c>
      <c r="F379" s="35"/>
    </row>
    <row r="380" spans="2:7">
      <c r="E380" s="8"/>
    </row>
  </sheetData>
  <phoneticPr fontId="9" type="noConversion"/>
  <printOptions horizontalCentered="1"/>
  <pageMargins left="0.95" right="0.5" top="1" bottom="0.5" header="0.5" footer="0.5"/>
  <pageSetup scale="65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P26"/>
  <sheetViews>
    <sheetView zoomScaleNormal="100" zoomScaleSheetLayoutView="100" workbookViewId="0"/>
  </sheetViews>
  <sheetFormatPr defaultColWidth="8" defaultRowHeight="12.75"/>
  <cols>
    <col min="1" max="1" width="6.75" style="189" customWidth="1"/>
    <col min="2" max="2" width="31.625" style="189" customWidth="1"/>
    <col min="3" max="3" width="12" style="189" customWidth="1"/>
    <col min="4" max="7" width="13.75" style="189" bestFit="1" customWidth="1"/>
    <col min="8" max="10" width="14.75" style="189" bestFit="1" customWidth="1"/>
    <col min="11" max="13" width="13.75" style="189" bestFit="1" customWidth="1"/>
    <col min="14" max="14" width="11.375" style="189" customWidth="1"/>
    <col min="15" max="15" width="16.125" style="189" customWidth="1"/>
    <col min="16" max="17" width="10.125" style="189" bestFit="1" customWidth="1"/>
    <col min="18" max="18" width="11.125" style="189" bestFit="1" customWidth="1"/>
    <col min="19" max="16384" width="8" style="189"/>
  </cols>
  <sheetData>
    <row r="1" spans="1:16" s="185" customFormat="1" ht="15">
      <c r="A1" s="74" t="str">
        <f>+'WP 2-1'!B1</f>
        <v>Atmos Energy Corporation-Kentucky</v>
      </c>
      <c r="B1" s="180"/>
      <c r="C1" s="180"/>
      <c r="D1" s="181"/>
      <c r="E1" s="180"/>
      <c r="F1" s="182"/>
      <c r="G1" s="183"/>
      <c r="H1" s="183"/>
      <c r="I1" s="183"/>
      <c r="J1" s="183"/>
      <c r="K1" s="183"/>
      <c r="L1" s="183"/>
      <c r="M1" s="183"/>
      <c r="N1" s="183"/>
      <c r="O1" s="184" t="s">
        <v>96</v>
      </c>
    </row>
    <row r="2" spans="1:16" s="185" customFormat="1" ht="15">
      <c r="A2" s="186" t="s">
        <v>200</v>
      </c>
      <c r="B2" s="182"/>
      <c r="C2" s="180"/>
      <c r="D2" s="181"/>
      <c r="E2" s="180"/>
      <c r="F2" s="180"/>
      <c r="G2" s="183"/>
      <c r="H2" s="183"/>
      <c r="I2" s="183"/>
      <c r="J2" s="183"/>
      <c r="K2" s="183"/>
      <c r="L2" s="183"/>
      <c r="M2" s="183"/>
      <c r="N2" s="183"/>
      <c r="O2" s="184"/>
    </row>
    <row r="3" spans="1:16" s="185" customFormat="1" ht="15">
      <c r="A3" s="186" t="str">
        <f>+'ATO-CWC2'!A4</f>
        <v>For Base Period Ended  June 30, 2024</v>
      </c>
      <c r="B3" s="180"/>
      <c r="C3" s="180"/>
      <c r="D3" s="181"/>
      <c r="E3" s="180"/>
      <c r="F3" s="180"/>
      <c r="G3" s="183"/>
      <c r="H3" s="183"/>
      <c r="I3" s="183"/>
      <c r="J3" s="183"/>
      <c r="K3" s="183"/>
      <c r="L3" s="183"/>
      <c r="M3" s="183"/>
      <c r="N3" s="183"/>
      <c r="O3" s="184"/>
    </row>
    <row r="4" spans="1:16" s="185" customFormat="1" ht="15.75">
      <c r="A4" s="182"/>
      <c r="B4" s="182"/>
      <c r="C4" s="182"/>
      <c r="D4" s="182"/>
      <c r="E4"/>
      <c r="F4"/>
      <c r="G4"/>
      <c r="H4"/>
      <c r="I4"/>
      <c r="J4"/>
      <c r="K4"/>
      <c r="L4"/>
      <c r="M4"/>
      <c r="N4"/>
      <c r="O4" s="184"/>
    </row>
    <row r="5" spans="1:16" s="185" customFormat="1" ht="14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6" s="185" customFormat="1">
      <c r="A6" s="187" t="s">
        <v>161</v>
      </c>
      <c r="B6" s="187" t="s">
        <v>114</v>
      </c>
      <c r="C6" s="239" t="s">
        <v>242</v>
      </c>
      <c r="D6" s="239" t="s">
        <v>243</v>
      </c>
      <c r="E6" s="239" t="s">
        <v>244</v>
      </c>
      <c r="F6" s="239" t="s">
        <v>245</v>
      </c>
      <c r="G6" s="239" t="s">
        <v>246</v>
      </c>
      <c r="H6" s="239" t="s">
        <v>247</v>
      </c>
      <c r="I6" s="239" t="s">
        <v>248</v>
      </c>
      <c r="J6" s="239" t="s">
        <v>249</v>
      </c>
      <c r="K6" s="239" t="s">
        <v>250</v>
      </c>
      <c r="L6" s="239" t="s">
        <v>251</v>
      </c>
      <c r="M6" s="239" t="s">
        <v>252</v>
      </c>
      <c r="N6" s="239" t="s">
        <v>253</v>
      </c>
      <c r="O6" s="240" t="s">
        <v>131</v>
      </c>
    </row>
    <row r="7" spans="1:16">
      <c r="A7" s="188">
        <v>4800</v>
      </c>
      <c r="B7" s="35" t="s">
        <v>37</v>
      </c>
      <c r="C7" s="238">
        <v>-3784074.14</v>
      </c>
      <c r="D7" s="238">
        <v>-3729998.89</v>
      </c>
      <c r="E7" s="238">
        <v>-3800703.64</v>
      </c>
      <c r="F7" s="238">
        <v>-4075146.42</v>
      </c>
      <c r="G7" s="238">
        <v>-6697888.7899999991</v>
      </c>
      <c r="H7" s="238">
        <v>-10243103.590000002</v>
      </c>
      <c r="I7" s="238">
        <v>-14522204.02</v>
      </c>
      <c r="J7" s="238">
        <v>-13210656.850000001</v>
      </c>
      <c r="K7" s="238">
        <v>-9497697.0099999998</v>
      </c>
      <c r="L7" s="238">
        <v>-7469104.6600000011</v>
      </c>
      <c r="M7" s="238">
        <v>-4669379.04</v>
      </c>
      <c r="N7" s="238">
        <v>-4016962.26</v>
      </c>
      <c r="O7" s="238">
        <f>SUM(C7:N7)</f>
        <v>-85716919.310000002</v>
      </c>
    </row>
    <row r="8" spans="1:16">
      <c r="A8" s="188">
        <v>4811</v>
      </c>
      <c r="B8" s="35" t="s">
        <v>182</v>
      </c>
      <c r="C8" s="238">
        <v>-2031075.6799999997</v>
      </c>
      <c r="D8" s="238">
        <v>-1812662.39</v>
      </c>
      <c r="E8" s="238">
        <v>-2081765.7700000003</v>
      </c>
      <c r="F8" s="238">
        <v>-2343566.71</v>
      </c>
      <c r="G8" s="238">
        <v>-3197879.1999999997</v>
      </c>
      <c r="H8" s="238">
        <v>-4714939.66</v>
      </c>
      <c r="I8" s="238">
        <v>-6903467.0300000003</v>
      </c>
      <c r="J8" s="238">
        <v>-6188915.8799999999</v>
      </c>
      <c r="K8" s="238">
        <v>-4359660.05</v>
      </c>
      <c r="L8" s="238">
        <v>-3450356.2800000003</v>
      </c>
      <c r="M8" s="238">
        <v>-2269478.08</v>
      </c>
      <c r="N8" s="238">
        <v>-2019915.06</v>
      </c>
      <c r="O8" s="238">
        <f t="shared" ref="O8:O15" si="0">SUM(C8:N8)</f>
        <v>-41373681.789999999</v>
      </c>
    </row>
    <row r="9" spans="1:16">
      <c r="A9" s="188">
        <v>4812</v>
      </c>
      <c r="B9" s="35" t="s">
        <v>183</v>
      </c>
      <c r="C9" s="238">
        <v>-135181.21</v>
      </c>
      <c r="D9" s="238">
        <v>-155985.76999999999</v>
      </c>
      <c r="E9" s="238">
        <v>-142696.38999999998</v>
      </c>
      <c r="F9" s="238">
        <v>-157161.77000000002</v>
      </c>
      <c r="G9" s="238">
        <v>-305665.42000000004</v>
      </c>
      <c r="H9" s="238">
        <v>-485607.7</v>
      </c>
      <c r="I9" s="238">
        <v>-744307.54999999993</v>
      </c>
      <c r="J9" s="238">
        <v>-650414.62999999989</v>
      </c>
      <c r="K9" s="238">
        <v>-439262.29</v>
      </c>
      <c r="L9" s="238">
        <v>-338108.79999999993</v>
      </c>
      <c r="M9" s="238">
        <v>-376430.17</v>
      </c>
      <c r="N9" s="238">
        <v>-159622.68</v>
      </c>
      <c r="O9" s="238">
        <f t="shared" si="0"/>
        <v>-4090444.38</v>
      </c>
    </row>
    <row r="10" spans="1:16">
      <c r="A10" s="188">
        <v>4820</v>
      </c>
      <c r="B10" s="35" t="s">
        <v>184</v>
      </c>
      <c r="C10" s="238">
        <v>-233247.41</v>
      </c>
      <c r="D10" s="238">
        <v>-211315.14</v>
      </c>
      <c r="E10" s="238">
        <v>-209482.09000000003</v>
      </c>
      <c r="F10" s="238">
        <v>-267276.05</v>
      </c>
      <c r="G10" s="238">
        <v>-444625.69</v>
      </c>
      <c r="H10" s="238">
        <v>-672495.98999999987</v>
      </c>
      <c r="I10" s="238">
        <v>-993050.16999999993</v>
      </c>
      <c r="J10" s="238">
        <v>-903357.27</v>
      </c>
      <c r="K10" s="238">
        <v>-625179.72</v>
      </c>
      <c r="L10" s="238">
        <v>-473387.51999999996</v>
      </c>
      <c r="M10" s="238">
        <v>-325265.89</v>
      </c>
      <c r="N10" s="238">
        <v>-235203.29</v>
      </c>
      <c r="O10" s="238">
        <f t="shared" si="0"/>
        <v>-5593886.2299999995</v>
      </c>
    </row>
    <row r="11" spans="1:16">
      <c r="A11" s="188">
        <v>4870</v>
      </c>
      <c r="B11" s="35" t="s">
        <v>158</v>
      </c>
      <c r="C11" s="238">
        <v>0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-27025.57</v>
      </c>
      <c r="K11" s="238">
        <v>-26264.400000000001</v>
      </c>
      <c r="L11" s="238">
        <v>-19781.560000000001</v>
      </c>
      <c r="M11" s="238">
        <v>-14418.96</v>
      </c>
      <c r="N11" s="238">
        <v>-11956.41</v>
      </c>
      <c r="O11" s="238">
        <f t="shared" si="0"/>
        <v>-99446.9</v>
      </c>
    </row>
    <row r="12" spans="1:16">
      <c r="A12" s="188">
        <v>4880</v>
      </c>
      <c r="B12" s="35" t="s">
        <v>159</v>
      </c>
      <c r="C12" s="238">
        <v>-8490</v>
      </c>
      <c r="D12" s="238">
        <v>80093</v>
      </c>
      <c r="E12" s="238">
        <v>-4212</v>
      </c>
      <c r="F12" s="238">
        <v>-9928</v>
      </c>
      <c r="G12" s="238">
        <v>-8550</v>
      </c>
      <c r="H12" s="238">
        <v>-4906</v>
      </c>
      <c r="I12" s="238">
        <v>-5587</v>
      </c>
      <c r="J12" s="238">
        <v>-4026</v>
      </c>
      <c r="K12" s="238">
        <v>-4332</v>
      </c>
      <c r="L12" s="238">
        <v>-3439</v>
      </c>
      <c r="M12" s="238">
        <v>-3844</v>
      </c>
      <c r="N12" s="238">
        <v>-3004</v>
      </c>
      <c r="O12" s="238">
        <f t="shared" si="0"/>
        <v>19775</v>
      </c>
    </row>
    <row r="13" spans="1:16">
      <c r="A13" s="188">
        <v>4893</v>
      </c>
      <c r="B13" s="35" t="s">
        <v>167</v>
      </c>
      <c r="C13" s="238">
        <v>-1408979.3399999999</v>
      </c>
      <c r="D13" s="238">
        <v>-1499881.1999999997</v>
      </c>
      <c r="E13" s="238">
        <v>-1501919.8199999998</v>
      </c>
      <c r="F13" s="238">
        <v>-1775142.9500000002</v>
      </c>
      <c r="G13" s="238">
        <v>-1854319.0000000002</v>
      </c>
      <c r="H13" s="238">
        <v>-1896774.2000000002</v>
      </c>
      <c r="I13" s="238">
        <v>-2205449.14</v>
      </c>
      <c r="J13" s="238">
        <v>-1919453.7699999998</v>
      </c>
      <c r="K13" s="238">
        <v>-2254677.2599999998</v>
      </c>
      <c r="L13" s="238">
        <v>-1324758.3500000001</v>
      </c>
      <c r="M13" s="238">
        <v>-1662340.1899999997</v>
      </c>
      <c r="N13" s="238">
        <v>-1594478.25</v>
      </c>
      <c r="O13" s="238">
        <f t="shared" si="0"/>
        <v>-20898173.470000003</v>
      </c>
    </row>
    <row r="14" spans="1:16" ht="16.5">
      <c r="A14" s="190" t="s">
        <v>160</v>
      </c>
      <c r="B14" s="35"/>
      <c r="C14" s="241">
        <f t="shared" ref="C14:O14" si="1">SUM(C7:C13)</f>
        <v>-7601047.7800000003</v>
      </c>
      <c r="D14" s="241">
        <f t="shared" si="1"/>
        <v>-7329750.3899999987</v>
      </c>
      <c r="E14" s="241">
        <f t="shared" si="1"/>
        <v>-7740779.709999999</v>
      </c>
      <c r="F14" s="241">
        <f t="shared" si="1"/>
        <v>-8628221.9000000004</v>
      </c>
      <c r="G14" s="241">
        <f t="shared" si="1"/>
        <v>-12508928.099999998</v>
      </c>
      <c r="H14" s="241">
        <f t="shared" si="1"/>
        <v>-18017827.140000001</v>
      </c>
      <c r="I14" s="241">
        <f t="shared" si="1"/>
        <v>-25374064.910000004</v>
      </c>
      <c r="J14" s="241">
        <f t="shared" si="1"/>
        <v>-22903849.969999999</v>
      </c>
      <c r="K14" s="241">
        <f t="shared" si="1"/>
        <v>-17207072.729999997</v>
      </c>
      <c r="L14" s="241">
        <f t="shared" si="1"/>
        <v>-13078936.170000002</v>
      </c>
      <c r="M14" s="241">
        <f t="shared" si="1"/>
        <v>-9321156.3300000001</v>
      </c>
      <c r="N14" s="241">
        <f t="shared" si="1"/>
        <v>-8041141.9500000002</v>
      </c>
      <c r="O14" s="241">
        <f t="shared" si="1"/>
        <v>-157752777.07999998</v>
      </c>
      <c r="P14" s="191"/>
    </row>
    <row r="15" spans="1:16" ht="16.5">
      <c r="A15" s="190"/>
      <c r="B15" s="35" t="s">
        <v>168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>
        <f t="shared" si="0"/>
        <v>0</v>
      </c>
      <c r="P15" s="191"/>
    </row>
    <row r="16" spans="1:16" ht="16.5">
      <c r="A16" s="190" t="s">
        <v>169</v>
      </c>
      <c r="B16" s="35"/>
      <c r="C16" s="241">
        <f>+C14+C15</f>
        <v>-7601047.7800000003</v>
      </c>
      <c r="D16" s="241">
        <f t="shared" ref="D16:N16" si="2">+D14+D15</f>
        <v>-7329750.3899999987</v>
      </c>
      <c r="E16" s="241">
        <f t="shared" si="2"/>
        <v>-7740779.709999999</v>
      </c>
      <c r="F16" s="241">
        <f t="shared" si="2"/>
        <v>-8628221.9000000004</v>
      </c>
      <c r="G16" s="241">
        <f t="shared" si="2"/>
        <v>-12508928.099999998</v>
      </c>
      <c r="H16" s="241">
        <f t="shared" si="2"/>
        <v>-18017827.140000001</v>
      </c>
      <c r="I16" s="241">
        <f t="shared" si="2"/>
        <v>-25374064.910000004</v>
      </c>
      <c r="J16" s="241">
        <f t="shared" si="2"/>
        <v>-22903849.969999999</v>
      </c>
      <c r="K16" s="241">
        <f t="shared" si="2"/>
        <v>-17207072.729999997</v>
      </c>
      <c r="L16" s="241">
        <f t="shared" si="2"/>
        <v>-13078936.170000002</v>
      </c>
      <c r="M16" s="241">
        <f t="shared" si="2"/>
        <v>-9321156.3300000001</v>
      </c>
      <c r="N16" s="241">
        <f t="shared" si="2"/>
        <v>-8041141.9500000002</v>
      </c>
      <c r="O16" s="241">
        <f>+O15+O14</f>
        <v>-157752777.07999998</v>
      </c>
      <c r="P16" s="191"/>
    </row>
    <row r="17" spans="1:16" ht="16.5">
      <c r="A17" s="190"/>
      <c r="B17" s="35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59"/>
      <c r="P17" s="191"/>
    </row>
    <row r="18" spans="1:16">
      <c r="A18" s="188">
        <v>4805</v>
      </c>
      <c r="B18" s="35" t="s">
        <v>154</v>
      </c>
      <c r="C18" s="238">
        <v>83915</v>
      </c>
      <c r="D18" s="238">
        <v>7369</v>
      </c>
      <c r="E18" s="238">
        <v>37498</v>
      </c>
      <c r="F18" s="238">
        <v>-1068405.77</v>
      </c>
      <c r="G18" s="238">
        <v>-2258789.17</v>
      </c>
      <c r="H18" s="238">
        <v>-1115156.3999999999</v>
      </c>
      <c r="I18" s="238">
        <v>-941606.92999999993</v>
      </c>
      <c r="J18" s="238">
        <v>1662235.4</v>
      </c>
      <c r="K18" s="238">
        <v>1038978.9299999999</v>
      </c>
      <c r="L18" s="238">
        <v>2112812.94</v>
      </c>
      <c r="M18" s="238">
        <v>492713</v>
      </c>
      <c r="N18" s="238">
        <v>31587</v>
      </c>
      <c r="O18" s="238">
        <f>SUM(C18:N18)</f>
        <v>83151.000000000466</v>
      </c>
    </row>
    <row r="19" spans="1:16">
      <c r="A19" s="188">
        <v>4815</v>
      </c>
      <c r="B19" s="35" t="s">
        <v>156</v>
      </c>
      <c r="C19" s="238">
        <v>80640</v>
      </c>
      <c r="D19" s="238">
        <v>10787</v>
      </c>
      <c r="E19" s="238">
        <v>34029</v>
      </c>
      <c r="F19" s="238">
        <v>-435640.76</v>
      </c>
      <c r="G19" s="238">
        <v>-889284.19</v>
      </c>
      <c r="H19" s="238">
        <v>-613567.04</v>
      </c>
      <c r="I19" s="238">
        <v>-386847.89</v>
      </c>
      <c r="J19" s="238">
        <v>747402.87</v>
      </c>
      <c r="K19" s="238">
        <v>507331.23</v>
      </c>
      <c r="L19" s="238">
        <v>859771.78</v>
      </c>
      <c r="M19" s="238">
        <v>136563</v>
      </c>
      <c r="N19" s="238">
        <v>31939</v>
      </c>
      <c r="O19" s="238">
        <f>SUM(C19:N19)</f>
        <v>83124.000000000233</v>
      </c>
    </row>
    <row r="20" spans="1:16">
      <c r="A20" s="188">
        <v>4816</v>
      </c>
      <c r="B20" s="35" t="s">
        <v>155</v>
      </c>
      <c r="C20" s="238">
        <v>-4452.6900000000005</v>
      </c>
      <c r="D20" s="238">
        <v>2372.3399999999997</v>
      </c>
      <c r="E20" s="238">
        <v>2207.71</v>
      </c>
      <c r="F20" s="238">
        <v>-15861.65</v>
      </c>
      <c r="G20" s="238">
        <v>-35309.5</v>
      </c>
      <c r="H20" s="238">
        <v>3290.56</v>
      </c>
      <c r="I20" s="238">
        <v>9492.26</v>
      </c>
      <c r="J20" s="238">
        <v>-7351.09</v>
      </c>
      <c r="K20" s="238">
        <v>3459.4</v>
      </c>
      <c r="L20" s="238">
        <v>-21740.68</v>
      </c>
      <c r="M20" s="238">
        <v>40243.51</v>
      </c>
      <c r="N20" s="238">
        <v>10206.77</v>
      </c>
      <c r="O20" s="238">
        <f>SUM(C20:N20)</f>
        <v>-13443.059999999994</v>
      </c>
    </row>
    <row r="21" spans="1:16">
      <c r="A21" s="188">
        <v>4825</v>
      </c>
      <c r="B21" s="35" t="s">
        <v>157</v>
      </c>
      <c r="C21" s="238">
        <v>11234</v>
      </c>
      <c r="D21" s="238">
        <v>285</v>
      </c>
      <c r="E21" s="238">
        <v>4018</v>
      </c>
      <c r="F21" s="238">
        <v>-83073.240000000005</v>
      </c>
      <c r="G21" s="238">
        <v>-164392.64000000001</v>
      </c>
      <c r="H21" s="238">
        <v>-88066.05</v>
      </c>
      <c r="I21" s="238">
        <v>-66617.64</v>
      </c>
      <c r="J21" s="238">
        <v>121280.70999999999</v>
      </c>
      <c r="K21" s="238">
        <v>77500.77</v>
      </c>
      <c r="L21" s="238">
        <v>156195.09</v>
      </c>
      <c r="M21" s="238">
        <v>45481</v>
      </c>
      <c r="N21" s="238">
        <v>3727</v>
      </c>
      <c r="O21" s="238">
        <f>SUM(C21:N21)</f>
        <v>17572.000000000029</v>
      </c>
    </row>
    <row r="22" spans="1:16">
      <c r="A22" s="188">
        <v>4960</v>
      </c>
      <c r="B22" s="35" t="s">
        <v>229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>
        <f>SUM(C22:N22)</f>
        <v>0</v>
      </c>
    </row>
    <row r="23" spans="1:16">
      <c r="A23" s="231" t="s">
        <v>239</v>
      </c>
      <c r="B23" s="35"/>
      <c r="C23" s="241">
        <f>SUM(C18:C22)</f>
        <v>171336.31</v>
      </c>
      <c r="D23" s="241">
        <f t="shared" ref="D23:N23" si="3">SUM(D18:D22)</f>
        <v>20813.34</v>
      </c>
      <c r="E23" s="241">
        <f t="shared" si="3"/>
        <v>77752.710000000006</v>
      </c>
      <c r="F23" s="241">
        <f t="shared" si="3"/>
        <v>-1602981.42</v>
      </c>
      <c r="G23" s="241">
        <f t="shared" si="3"/>
        <v>-3347775.5</v>
      </c>
      <c r="H23" s="241">
        <f t="shared" si="3"/>
        <v>-1813498.93</v>
      </c>
      <c r="I23" s="241">
        <f t="shared" si="3"/>
        <v>-1385580.1999999997</v>
      </c>
      <c r="J23" s="241">
        <f t="shared" si="3"/>
        <v>2523567.89</v>
      </c>
      <c r="K23" s="241">
        <f t="shared" si="3"/>
        <v>1627270.3299999998</v>
      </c>
      <c r="L23" s="241">
        <f t="shared" si="3"/>
        <v>3107039.1299999994</v>
      </c>
      <c r="M23" s="241">
        <f t="shared" si="3"/>
        <v>715000.51</v>
      </c>
      <c r="N23" s="241">
        <f t="shared" si="3"/>
        <v>77459.77</v>
      </c>
      <c r="O23" s="241">
        <f>SUM(O18:O22)</f>
        <v>170403.94000000073</v>
      </c>
    </row>
    <row r="24" spans="1:16" ht="14.2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</row>
    <row r="25" spans="1:16" ht="15" thickBot="1">
      <c r="A25" s="175" t="s">
        <v>153</v>
      </c>
      <c r="B25" s="184"/>
      <c r="C25" s="242">
        <f>+C16+C23</f>
        <v>-7429711.4700000007</v>
      </c>
      <c r="D25" s="242">
        <f t="shared" ref="D25:N25" si="4">+D16+D23</f>
        <v>-7308937.0499999989</v>
      </c>
      <c r="E25" s="242">
        <f t="shared" si="4"/>
        <v>-7663026.9999999991</v>
      </c>
      <c r="F25" s="242">
        <f t="shared" si="4"/>
        <v>-10231203.32</v>
      </c>
      <c r="G25" s="242">
        <f t="shared" si="4"/>
        <v>-15856703.599999998</v>
      </c>
      <c r="H25" s="242">
        <f t="shared" si="4"/>
        <v>-19831326.07</v>
      </c>
      <c r="I25" s="242">
        <f t="shared" si="4"/>
        <v>-26759645.110000003</v>
      </c>
      <c r="J25" s="242">
        <f t="shared" si="4"/>
        <v>-20380282.079999998</v>
      </c>
      <c r="K25" s="242">
        <f t="shared" si="4"/>
        <v>-15579802.399999997</v>
      </c>
      <c r="L25" s="242">
        <f t="shared" si="4"/>
        <v>-9971897.0400000028</v>
      </c>
      <c r="M25" s="242">
        <f t="shared" si="4"/>
        <v>-8606155.8200000003</v>
      </c>
      <c r="N25" s="242">
        <f t="shared" si="4"/>
        <v>-7963682.1800000006</v>
      </c>
      <c r="O25" s="242">
        <f>+O16+O23</f>
        <v>-157582373.13999999</v>
      </c>
    </row>
    <row r="26" spans="1:16" ht="13.5" thickTop="1"/>
  </sheetData>
  <phoneticPr fontId="25" type="noConversion"/>
  <printOptions horizontalCentered="1"/>
  <pageMargins left="0.95" right="0.5" top="1" bottom="0.5" header="0.5" footer="0.5"/>
  <pageSetup scale="52" orientation="landscape" r:id="rId1"/>
  <headerFooter alignWithMargins="0">
    <oddHeader>&amp;R&amp;"+,Regular"&amp;11ATO-1 Lead Lag Study</oddHeader>
    <oddFooter>&amp;R&amp;"Arial,Regular"&amp;10Page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V128"/>
  <sheetViews>
    <sheetView zoomScale="110" zoomScaleNormal="110" zoomScaleSheetLayoutView="75" workbookViewId="0">
      <selection sqref="A1:K1"/>
    </sheetView>
  </sheetViews>
  <sheetFormatPr defaultColWidth="9.625" defaultRowHeight="12.75"/>
  <cols>
    <col min="1" max="1" width="5.125" style="18" customWidth="1"/>
    <col min="2" max="2" width="26.25" style="18" customWidth="1"/>
    <col min="3" max="4" width="14.125" style="65" bestFit="1" customWidth="1"/>
    <col min="5" max="5" width="7.875" style="18" customWidth="1"/>
    <col min="6" max="6" width="8" style="18" customWidth="1"/>
    <col min="7" max="7" width="7.25" style="18" customWidth="1"/>
    <col min="8" max="8" width="8.75" style="18" customWidth="1"/>
    <col min="9" max="9" width="8.375" style="18" customWidth="1"/>
    <col min="10" max="10" width="7.625" style="18" customWidth="1"/>
    <col min="11" max="11" width="13.125" style="18" bestFit="1" customWidth="1"/>
    <col min="12" max="12" width="15.75" style="18" customWidth="1"/>
    <col min="13" max="13" width="1.75" style="18" bestFit="1" customWidth="1"/>
    <col min="14" max="14" width="10" style="18" bestFit="1" customWidth="1"/>
    <col min="15" max="16384" width="9.625" style="18"/>
  </cols>
  <sheetData>
    <row r="1" spans="1:22">
      <c r="A1" s="280" t="str">
        <f>CONCATENATE(COMPANY,"-",JURISDICTION)</f>
        <v>Atmos Energy Corporation-Kentucky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37" t="s">
        <v>174</v>
      </c>
    </row>
    <row r="2" spans="1:22">
      <c r="A2" s="281" t="s">
        <v>36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35"/>
    </row>
    <row r="3" spans="1:22" ht="15.75">
      <c r="A3" s="281" t="str">
        <f>+'ATO-CWC2'!A4</f>
        <v>For Base Period Ended  June 30, 2024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35"/>
      <c r="O3"/>
      <c r="P3"/>
      <c r="Q3"/>
      <c r="R3"/>
      <c r="S3"/>
      <c r="T3"/>
      <c r="U3"/>
      <c r="V3"/>
    </row>
    <row r="4" spans="1:22" ht="15.7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35"/>
      <c r="O4"/>
      <c r="P4"/>
      <c r="Q4"/>
      <c r="R4"/>
      <c r="S4"/>
      <c r="T4"/>
      <c r="U4"/>
      <c r="V4"/>
    </row>
    <row r="5" spans="1:22" ht="15.75">
      <c r="A5" s="36" t="s">
        <v>111</v>
      </c>
      <c r="B5" s="35"/>
      <c r="C5" s="36" t="s">
        <v>87</v>
      </c>
      <c r="D5" s="36" t="s">
        <v>87</v>
      </c>
      <c r="E5" s="36" t="s">
        <v>135</v>
      </c>
      <c r="F5" s="36" t="s">
        <v>47</v>
      </c>
      <c r="G5" s="36" t="s">
        <v>48</v>
      </c>
      <c r="H5" s="36" t="s">
        <v>49</v>
      </c>
      <c r="I5" s="36" t="s">
        <v>110</v>
      </c>
      <c r="J5" s="36" t="s">
        <v>131</v>
      </c>
      <c r="K5" s="36" t="s">
        <v>2</v>
      </c>
      <c r="L5" s="36" t="s">
        <v>146</v>
      </c>
      <c r="O5"/>
      <c r="P5"/>
      <c r="Q5"/>
      <c r="R5"/>
      <c r="S5"/>
      <c r="T5"/>
      <c r="U5"/>
      <c r="V5"/>
    </row>
    <row r="6" spans="1:22">
      <c r="A6" s="193" t="s">
        <v>113</v>
      </c>
      <c r="B6" s="193" t="s">
        <v>45</v>
      </c>
      <c r="C6" s="193" t="s">
        <v>51</v>
      </c>
      <c r="D6" s="193" t="s">
        <v>52</v>
      </c>
      <c r="E6" s="193" t="s">
        <v>126</v>
      </c>
      <c r="F6" s="193" t="s">
        <v>48</v>
      </c>
      <c r="G6" s="193" t="s">
        <v>126</v>
      </c>
      <c r="H6" s="193" t="s">
        <v>138</v>
      </c>
      <c r="I6" s="193" t="s">
        <v>126</v>
      </c>
      <c r="J6" s="193" t="s">
        <v>126</v>
      </c>
      <c r="K6" s="126" t="s">
        <v>115</v>
      </c>
      <c r="L6" s="194" t="s">
        <v>89</v>
      </c>
    </row>
    <row r="7" spans="1:22">
      <c r="A7" s="35"/>
      <c r="B7" s="36" t="s">
        <v>118</v>
      </c>
      <c r="C7" s="36" t="s">
        <v>119</v>
      </c>
      <c r="D7" s="36" t="s">
        <v>120</v>
      </c>
      <c r="E7" s="36" t="s">
        <v>121</v>
      </c>
      <c r="F7" s="36" t="s">
        <v>122</v>
      </c>
      <c r="G7" s="36" t="s">
        <v>123</v>
      </c>
      <c r="H7" s="195" t="s">
        <v>124</v>
      </c>
      <c r="I7" s="195" t="s">
        <v>46</v>
      </c>
      <c r="J7" s="195" t="s">
        <v>68</v>
      </c>
      <c r="K7" s="195" t="s">
        <v>88</v>
      </c>
      <c r="L7" s="195" t="s">
        <v>53</v>
      </c>
    </row>
    <row r="8" spans="1:22">
      <c r="A8" s="35"/>
      <c r="B8" s="66"/>
      <c r="C8" s="67"/>
      <c r="D8" s="68"/>
      <c r="E8" s="69"/>
      <c r="F8" s="70"/>
      <c r="G8" s="69"/>
      <c r="H8" s="71"/>
      <c r="I8" s="73"/>
      <c r="J8" s="72"/>
      <c r="K8" s="72"/>
      <c r="L8" s="72"/>
    </row>
    <row r="9" spans="1:22">
      <c r="A9" s="36">
        <v>1</v>
      </c>
      <c r="B9" s="66" t="s">
        <v>657</v>
      </c>
      <c r="C9" s="253">
        <v>45078</v>
      </c>
      <c r="D9" s="253">
        <v>45107</v>
      </c>
      <c r="E9" s="160">
        <f>(D9-C9+1)/2</f>
        <v>15</v>
      </c>
      <c r="F9" s="254">
        <v>45119</v>
      </c>
      <c r="G9" s="160">
        <f>+F9-D9</f>
        <v>12</v>
      </c>
      <c r="H9" s="71">
        <v>45126</v>
      </c>
      <c r="I9" s="155">
        <f>+H9-F9</f>
        <v>7</v>
      </c>
      <c r="J9" s="72">
        <f>+I9+G9+E9</f>
        <v>34</v>
      </c>
      <c r="K9" s="255">
        <v>1129.0899999999999</v>
      </c>
      <c r="L9" s="255">
        <f>K9*J9</f>
        <v>38389.06</v>
      </c>
      <c r="O9" s="276">
        <f>H9-D9</f>
        <v>19</v>
      </c>
      <c r="P9" s="276">
        <f>O9+E9</f>
        <v>34</v>
      </c>
    </row>
    <row r="10" spans="1:22">
      <c r="A10" s="36">
        <v>2</v>
      </c>
      <c r="B10" s="66" t="s">
        <v>658</v>
      </c>
      <c r="C10" s="253">
        <v>45078</v>
      </c>
      <c r="D10" s="253">
        <v>45107</v>
      </c>
      <c r="E10" s="160">
        <f t="shared" ref="E10:E73" si="0">(D10-C10+1)/2</f>
        <v>15</v>
      </c>
      <c r="F10" s="254">
        <v>45119</v>
      </c>
      <c r="G10" s="160">
        <f t="shared" ref="G10:G73" si="1">+F10-D10</f>
        <v>12</v>
      </c>
      <c r="H10" s="71">
        <v>45127</v>
      </c>
      <c r="I10" s="155">
        <f t="shared" ref="I10:I73" si="2">+H10-F10</f>
        <v>8</v>
      </c>
      <c r="J10" s="72">
        <f t="shared" ref="J10:J73" si="3">+I10+G10+E10</f>
        <v>35</v>
      </c>
      <c r="K10" s="256">
        <v>1946.46</v>
      </c>
      <c r="L10" s="72">
        <f t="shared" ref="L10:L118" si="4">K10*J10</f>
        <v>68126.100000000006</v>
      </c>
    </row>
    <row r="11" spans="1:22">
      <c r="A11" s="36">
        <v>3</v>
      </c>
      <c r="B11" s="66" t="s">
        <v>659</v>
      </c>
      <c r="C11" s="253">
        <v>45078</v>
      </c>
      <c r="D11" s="253">
        <v>45107</v>
      </c>
      <c r="E11" s="160">
        <f t="shared" si="0"/>
        <v>15</v>
      </c>
      <c r="F11" s="254">
        <v>45120</v>
      </c>
      <c r="G11" s="160">
        <f t="shared" si="1"/>
        <v>13</v>
      </c>
      <c r="H11" s="71">
        <v>45126</v>
      </c>
      <c r="I11" s="155">
        <f t="shared" si="2"/>
        <v>6</v>
      </c>
      <c r="J11" s="72">
        <f t="shared" si="3"/>
        <v>34</v>
      </c>
      <c r="K11" s="256">
        <v>8331.4700000000012</v>
      </c>
      <c r="L11" s="72">
        <f t="shared" si="4"/>
        <v>283269.98000000004</v>
      </c>
    </row>
    <row r="12" spans="1:22">
      <c r="A12" s="36">
        <v>4</v>
      </c>
      <c r="B12" s="66" t="s">
        <v>660</v>
      </c>
      <c r="C12" s="253">
        <v>45078</v>
      </c>
      <c r="D12" s="253">
        <v>45107</v>
      </c>
      <c r="E12" s="160">
        <f t="shared" si="0"/>
        <v>15</v>
      </c>
      <c r="F12" s="254">
        <v>45128</v>
      </c>
      <c r="G12" s="160">
        <f t="shared" si="1"/>
        <v>21</v>
      </c>
      <c r="H12" s="71">
        <v>45132</v>
      </c>
      <c r="I12" s="155">
        <f t="shared" si="2"/>
        <v>4</v>
      </c>
      <c r="J12" s="72">
        <f t="shared" si="3"/>
        <v>40</v>
      </c>
      <c r="K12" s="256">
        <v>61320.08</v>
      </c>
      <c r="L12" s="72">
        <f t="shared" si="4"/>
        <v>2452803.2000000002</v>
      </c>
    </row>
    <row r="13" spans="1:22">
      <c r="A13" s="36">
        <v>5</v>
      </c>
      <c r="B13" s="66" t="s">
        <v>660</v>
      </c>
      <c r="C13" s="253">
        <v>45078</v>
      </c>
      <c r="D13" s="253">
        <v>45107</v>
      </c>
      <c r="E13" s="160">
        <f t="shared" si="0"/>
        <v>15</v>
      </c>
      <c r="F13" s="254">
        <v>45128</v>
      </c>
      <c r="G13" s="160">
        <f t="shared" si="1"/>
        <v>21</v>
      </c>
      <c r="H13" s="71">
        <v>45132</v>
      </c>
      <c r="I13" s="155">
        <f t="shared" si="2"/>
        <v>4</v>
      </c>
      <c r="J13" s="72">
        <f t="shared" si="3"/>
        <v>40</v>
      </c>
      <c r="K13" s="256">
        <v>2549139.8000000012</v>
      </c>
      <c r="L13" s="72">
        <f t="shared" si="4"/>
        <v>101965592.00000004</v>
      </c>
    </row>
    <row r="14" spans="1:22">
      <c r="A14" s="36">
        <v>6</v>
      </c>
      <c r="B14" s="66" t="s">
        <v>661</v>
      </c>
      <c r="C14" s="253">
        <v>45078</v>
      </c>
      <c r="D14" s="253">
        <v>45107</v>
      </c>
      <c r="E14" s="160">
        <f t="shared" si="0"/>
        <v>15</v>
      </c>
      <c r="F14" s="254">
        <v>45121</v>
      </c>
      <c r="G14" s="160">
        <f t="shared" si="1"/>
        <v>14</v>
      </c>
      <c r="H14" s="71">
        <v>45131</v>
      </c>
      <c r="I14" s="155">
        <f t="shared" si="2"/>
        <v>10</v>
      </c>
      <c r="J14" s="72">
        <f t="shared" si="3"/>
        <v>39</v>
      </c>
      <c r="K14" s="256">
        <v>170082.05000000002</v>
      </c>
      <c r="L14" s="72">
        <f t="shared" si="4"/>
        <v>6633199.9500000011</v>
      </c>
    </row>
    <row r="15" spans="1:22">
      <c r="A15" s="36">
        <v>7</v>
      </c>
      <c r="B15" s="66" t="s">
        <v>662</v>
      </c>
      <c r="C15" s="253">
        <v>45078</v>
      </c>
      <c r="D15" s="253">
        <v>45107</v>
      </c>
      <c r="E15" s="160">
        <f t="shared" si="0"/>
        <v>15</v>
      </c>
      <c r="F15" s="254">
        <v>45119</v>
      </c>
      <c r="G15" s="160">
        <f t="shared" si="1"/>
        <v>12</v>
      </c>
      <c r="H15" s="71">
        <v>45131</v>
      </c>
      <c r="I15" s="155">
        <f t="shared" si="2"/>
        <v>12</v>
      </c>
      <c r="J15" s="72">
        <f t="shared" si="3"/>
        <v>39</v>
      </c>
      <c r="K15" s="256">
        <v>1213343.1000000001</v>
      </c>
      <c r="L15" s="72">
        <f t="shared" si="4"/>
        <v>47320380.900000006</v>
      </c>
    </row>
    <row r="16" spans="1:22">
      <c r="A16" s="36">
        <v>8</v>
      </c>
      <c r="B16" s="66" t="s">
        <v>663</v>
      </c>
      <c r="C16" s="253">
        <v>45078</v>
      </c>
      <c r="D16" s="253">
        <v>45107</v>
      </c>
      <c r="E16" s="160">
        <f t="shared" si="0"/>
        <v>15</v>
      </c>
      <c r="F16" s="254">
        <v>45119</v>
      </c>
      <c r="G16" s="160">
        <f t="shared" si="1"/>
        <v>12</v>
      </c>
      <c r="H16" s="71">
        <v>45127</v>
      </c>
      <c r="I16" s="155">
        <f t="shared" si="2"/>
        <v>8</v>
      </c>
      <c r="J16" s="72">
        <f t="shared" si="3"/>
        <v>35</v>
      </c>
      <c r="K16" s="256">
        <v>6650.24</v>
      </c>
      <c r="L16" s="72">
        <f t="shared" si="4"/>
        <v>232758.39999999999</v>
      </c>
    </row>
    <row r="17" spans="1:12">
      <c r="A17" s="36">
        <v>9</v>
      </c>
      <c r="B17" s="66" t="s">
        <v>664</v>
      </c>
      <c r="C17" s="253">
        <v>45078</v>
      </c>
      <c r="D17" s="253">
        <v>45107</v>
      </c>
      <c r="E17" s="160">
        <f t="shared" si="0"/>
        <v>15</v>
      </c>
      <c r="F17" s="254">
        <v>45127</v>
      </c>
      <c r="G17" s="160">
        <f t="shared" si="1"/>
        <v>20</v>
      </c>
      <c r="H17" s="71">
        <v>45132</v>
      </c>
      <c r="I17" s="155">
        <f t="shared" si="2"/>
        <v>5</v>
      </c>
      <c r="J17" s="72">
        <f t="shared" si="3"/>
        <v>40</v>
      </c>
      <c r="K17" s="256">
        <v>346246.72000000009</v>
      </c>
      <c r="L17" s="72">
        <f t="shared" si="4"/>
        <v>13849868.800000004</v>
      </c>
    </row>
    <row r="18" spans="1:12">
      <c r="A18" s="36">
        <v>10</v>
      </c>
      <c r="B18" s="66" t="s">
        <v>657</v>
      </c>
      <c r="C18" s="253">
        <v>45108</v>
      </c>
      <c r="D18" s="253">
        <v>45138</v>
      </c>
      <c r="E18" s="160">
        <f t="shared" si="0"/>
        <v>15.5</v>
      </c>
      <c r="F18" s="254">
        <v>45148</v>
      </c>
      <c r="G18" s="160">
        <f t="shared" si="1"/>
        <v>10</v>
      </c>
      <c r="H18" s="71">
        <v>45152</v>
      </c>
      <c r="I18" s="155">
        <f t="shared" si="2"/>
        <v>4</v>
      </c>
      <c r="J18" s="72">
        <f t="shared" si="3"/>
        <v>29.5</v>
      </c>
      <c r="K18" s="256">
        <v>2470.7799999999997</v>
      </c>
      <c r="L18" s="72">
        <f t="shared" si="4"/>
        <v>72888.009999999995</v>
      </c>
    </row>
    <row r="19" spans="1:12">
      <c r="A19" s="36">
        <v>11</v>
      </c>
      <c r="B19" s="66" t="s">
        <v>658</v>
      </c>
      <c r="C19" s="253">
        <v>45108</v>
      </c>
      <c r="D19" s="253">
        <v>45138</v>
      </c>
      <c r="E19" s="160">
        <f t="shared" si="0"/>
        <v>15.5</v>
      </c>
      <c r="F19" s="254">
        <v>45147</v>
      </c>
      <c r="G19" s="160">
        <f t="shared" si="1"/>
        <v>9</v>
      </c>
      <c r="H19" s="71">
        <v>45155</v>
      </c>
      <c r="I19" s="155">
        <f t="shared" si="2"/>
        <v>8</v>
      </c>
      <c r="J19" s="72">
        <f t="shared" si="3"/>
        <v>32.5</v>
      </c>
      <c r="K19" s="256">
        <v>1753.78</v>
      </c>
      <c r="L19" s="72">
        <f t="shared" si="4"/>
        <v>56997.85</v>
      </c>
    </row>
    <row r="20" spans="1:12">
      <c r="A20" s="36">
        <v>12</v>
      </c>
      <c r="B20" s="66" t="s">
        <v>659</v>
      </c>
      <c r="C20" s="253">
        <v>45108</v>
      </c>
      <c r="D20" s="253">
        <v>45138</v>
      </c>
      <c r="E20" s="160">
        <f t="shared" si="0"/>
        <v>15.5</v>
      </c>
      <c r="F20" s="254">
        <v>45148</v>
      </c>
      <c r="G20" s="160">
        <f t="shared" si="1"/>
        <v>10</v>
      </c>
      <c r="H20" s="71">
        <v>45152</v>
      </c>
      <c r="I20" s="155">
        <f t="shared" si="2"/>
        <v>4</v>
      </c>
      <c r="J20" s="72">
        <f t="shared" si="3"/>
        <v>29.5</v>
      </c>
      <c r="K20" s="256">
        <v>11579.940000000002</v>
      </c>
      <c r="L20" s="72">
        <f t="shared" si="4"/>
        <v>341608.2300000001</v>
      </c>
    </row>
    <row r="21" spans="1:12">
      <c r="A21" s="36">
        <v>13</v>
      </c>
      <c r="B21" s="66" t="s">
        <v>660</v>
      </c>
      <c r="C21" s="253">
        <v>45108</v>
      </c>
      <c r="D21" s="253">
        <v>45138</v>
      </c>
      <c r="E21" s="160">
        <f t="shared" si="0"/>
        <v>15.5</v>
      </c>
      <c r="F21" s="254">
        <v>45159</v>
      </c>
      <c r="G21" s="160">
        <f t="shared" si="1"/>
        <v>21</v>
      </c>
      <c r="H21" s="71">
        <v>45163</v>
      </c>
      <c r="I21" s="155">
        <f t="shared" si="2"/>
        <v>4</v>
      </c>
      <c r="J21" s="72">
        <f t="shared" si="3"/>
        <v>40.5</v>
      </c>
      <c r="K21" s="256">
        <v>74968.589999999953</v>
      </c>
      <c r="L21" s="72">
        <f t="shared" si="4"/>
        <v>3036227.8949999982</v>
      </c>
    </row>
    <row r="22" spans="1:12">
      <c r="A22" s="36">
        <v>14</v>
      </c>
      <c r="B22" s="66" t="s">
        <v>660</v>
      </c>
      <c r="C22" s="253">
        <v>45108</v>
      </c>
      <c r="D22" s="253">
        <v>45138</v>
      </c>
      <c r="E22" s="160">
        <f t="shared" si="0"/>
        <v>15.5</v>
      </c>
      <c r="F22" s="254">
        <v>45160</v>
      </c>
      <c r="G22" s="160">
        <f t="shared" si="1"/>
        <v>22</v>
      </c>
      <c r="H22" s="71">
        <v>45163</v>
      </c>
      <c r="I22" s="155">
        <f t="shared" si="2"/>
        <v>3</v>
      </c>
      <c r="J22" s="72">
        <f t="shared" si="3"/>
        <v>40.5</v>
      </c>
      <c r="K22" s="256">
        <v>2937187.0299999993</v>
      </c>
      <c r="L22" s="72">
        <f t="shared" si="4"/>
        <v>118956074.71499997</v>
      </c>
    </row>
    <row r="23" spans="1:12">
      <c r="A23" s="36">
        <v>15</v>
      </c>
      <c r="B23" s="66" t="s">
        <v>661</v>
      </c>
      <c r="C23" s="253">
        <v>45108</v>
      </c>
      <c r="D23" s="253">
        <v>45138</v>
      </c>
      <c r="E23" s="160">
        <f t="shared" si="0"/>
        <v>15.5</v>
      </c>
      <c r="F23" s="254">
        <v>45148</v>
      </c>
      <c r="G23" s="160">
        <f t="shared" si="1"/>
        <v>10</v>
      </c>
      <c r="H23" s="71">
        <v>45159</v>
      </c>
      <c r="I23" s="155">
        <f t="shared" si="2"/>
        <v>11</v>
      </c>
      <c r="J23" s="72">
        <f t="shared" si="3"/>
        <v>36.5</v>
      </c>
      <c r="K23" s="256">
        <v>170082.05000000002</v>
      </c>
      <c r="L23" s="72">
        <f t="shared" si="4"/>
        <v>6207994.8250000002</v>
      </c>
    </row>
    <row r="24" spans="1:12">
      <c r="A24" s="36">
        <v>16</v>
      </c>
      <c r="B24" s="66" t="s">
        <v>662</v>
      </c>
      <c r="C24" s="253">
        <v>45108</v>
      </c>
      <c r="D24" s="253">
        <v>45138</v>
      </c>
      <c r="E24" s="160">
        <f t="shared" si="0"/>
        <v>15.5</v>
      </c>
      <c r="F24" s="254">
        <v>45148</v>
      </c>
      <c r="G24" s="160">
        <f t="shared" si="1"/>
        <v>10</v>
      </c>
      <c r="H24" s="71">
        <v>45159</v>
      </c>
      <c r="I24" s="155">
        <f t="shared" si="2"/>
        <v>11</v>
      </c>
      <c r="J24" s="72">
        <f t="shared" si="3"/>
        <v>36.5</v>
      </c>
      <c r="K24" s="256">
        <v>1253787.8700000001</v>
      </c>
      <c r="L24" s="72">
        <f t="shared" si="4"/>
        <v>45763257.255000003</v>
      </c>
    </row>
    <row r="25" spans="1:12">
      <c r="A25" s="36">
        <v>17</v>
      </c>
      <c r="B25" s="66" t="s">
        <v>663</v>
      </c>
      <c r="C25" s="253">
        <v>45108</v>
      </c>
      <c r="D25" s="253">
        <v>45138</v>
      </c>
      <c r="E25" s="160">
        <f t="shared" si="0"/>
        <v>15.5</v>
      </c>
      <c r="F25" s="254">
        <v>45148</v>
      </c>
      <c r="G25" s="160">
        <f t="shared" si="1"/>
        <v>10</v>
      </c>
      <c r="H25" s="71">
        <v>45159</v>
      </c>
      <c r="I25" s="155">
        <f t="shared" si="2"/>
        <v>11</v>
      </c>
      <c r="J25" s="72">
        <f t="shared" si="3"/>
        <v>36.5</v>
      </c>
      <c r="K25" s="256">
        <v>6873.35</v>
      </c>
      <c r="L25" s="72">
        <f t="shared" si="4"/>
        <v>250877.27500000002</v>
      </c>
    </row>
    <row r="26" spans="1:12">
      <c r="A26" s="36">
        <v>18</v>
      </c>
      <c r="B26" s="66" t="s">
        <v>664</v>
      </c>
      <c r="C26" s="253">
        <v>45108</v>
      </c>
      <c r="D26" s="253">
        <v>45138</v>
      </c>
      <c r="E26" s="160">
        <f t="shared" si="0"/>
        <v>15.5</v>
      </c>
      <c r="F26" s="254">
        <v>45154</v>
      </c>
      <c r="G26" s="160">
        <f t="shared" si="1"/>
        <v>16</v>
      </c>
      <c r="H26" s="71">
        <v>45163</v>
      </c>
      <c r="I26" s="155">
        <f t="shared" si="2"/>
        <v>9</v>
      </c>
      <c r="J26" s="72">
        <f t="shared" si="3"/>
        <v>40.5</v>
      </c>
      <c r="K26" s="256">
        <v>450341.07000000018</v>
      </c>
      <c r="L26" s="72">
        <f t="shared" si="4"/>
        <v>18238813.335000008</v>
      </c>
    </row>
    <row r="27" spans="1:12">
      <c r="A27" s="36">
        <v>19</v>
      </c>
      <c r="B27" s="66" t="s">
        <v>657</v>
      </c>
      <c r="C27" s="253">
        <v>45139</v>
      </c>
      <c r="D27" s="253">
        <v>45169</v>
      </c>
      <c r="E27" s="160">
        <f t="shared" si="0"/>
        <v>15.5</v>
      </c>
      <c r="F27" s="254">
        <v>45188</v>
      </c>
      <c r="G27" s="160">
        <f t="shared" si="1"/>
        <v>19</v>
      </c>
      <c r="H27" s="71">
        <v>45190</v>
      </c>
      <c r="I27" s="155">
        <f t="shared" si="2"/>
        <v>2</v>
      </c>
      <c r="J27" s="72">
        <f t="shared" si="3"/>
        <v>36.5</v>
      </c>
      <c r="K27" s="256">
        <v>2135.670000000001</v>
      </c>
      <c r="L27" s="72">
        <f t="shared" si="4"/>
        <v>77951.955000000031</v>
      </c>
    </row>
    <row r="28" spans="1:12">
      <c r="A28" s="36">
        <v>20</v>
      </c>
      <c r="B28" s="66" t="s">
        <v>665</v>
      </c>
      <c r="C28" s="253">
        <v>45139</v>
      </c>
      <c r="D28" s="253">
        <v>45169</v>
      </c>
      <c r="E28" s="160">
        <f t="shared" si="0"/>
        <v>15.5</v>
      </c>
      <c r="F28" s="254">
        <v>45188</v>
      </c>
      <c r="G28" s="160">
        <f t="shared" si="1"/>
        <v>19</v>
      </c>
      <c r="H28" s="71">
        <v>45194</v>
      </c>
      <c r="I28" s="155">
        <f t="shared" si="2"/>
        <v>6</v>
      </c>
      <c r="J28" s="72">
        <f t="shared" si="3"/>
        <v>40.5</v>
      </c>
      <c r="K28" s="256">
        <v>13968.159999999994</v>
      </c>
      <c r="L28" s="72">
        <f t="shared" si="4"/>
        <v>565710.47999999975</v>
      </c>
    </row>
    <row r="29" spans="1:12">
      <c r="A29" s="36">
        <v>21</v>
      </c>
      <c r="B29" s="66" t="s">
        <v>658</v>
      </c>
      <c r="C29" s="253">
        <v>45139</v>
      </c>
      <c r="D29" s="253">
        <v>45169</v>
      </c>
      <c r="E29" s="160">
        <f t="shared" si="0"/>
        <v>15.5</v>
      </c>
      <c r="F29" s="254">
        <v>45182</v>
      </c>
      <c r="G29" s="160">
        <f t="shared" si="1"/>
        <v>13</v>
      </c>
      <c r="H29" s="71">
        <v>45187</v>
      </c>
      <c r="I29" s="155">
        <f t="shared" si="2"/>
        <v>5</v>
      </c>
      <c r="J29" s="72">
        <f t="shared" si="3"/>
        <v>33.5</v>
      </c>
      <c r="K29" s="256">
        <v>2130.2599999999998</v>
      </c>
      <c r="L29" s="72">
        <f t="shared" si="4"/>
        <v>71363.709999999992</v>
      </c>
    </row>
    <row r="30" spans="1:12">
      <c r="A30" s="36">
        <v>22</v>
      </c>
      <c r="B30" s="66" t="s">
        <v>659</v>
      </c>
      <c r="C30" s="253">
        <v>45139</v>
      </c>
      <c r="D30" s="253">
        <v>45169</v>
      </c>
      <c r="E30" s="160">
        <f t="shared" si="0"/>
        <v>15.5</v>
      </c>
      <c r="F30" s="254">
        <v>45188</v>
      </c>
      <c r="G30" s="160">
        <f t="shared" si="1"/>
        <v>19</v>
      </c>
      <c r="H30" s="71">
        <v>45190</v>
      </c>
      <c r="I30" s="155">
        <f t="shared" si="2"/>
        <v>2</v>
      </c>
      <c r="J30" s="72">
        <f t="shared" si="3"/>
        <v>36.5</v>
      </c>
      <c r="K30" s="256">
        <v>12361.870000000006</v>
      </c>
      <c r="L30" s="72">
        <f t="shared" si="4"/>
        <v>451208.25500000024</v>
      </c>
    </row>
    <row r="31" spans="1:12">
      <c r="A31" s="36">
        <v>23</v>
      </c>
      <c r="B31" s="66" t="s">
        <v>660</v>
      </c>
      <c r="C31" s="253">
        <v>45139</v>
      </c>
      <c r="D31" s="253">
        <v>45169</v>
      </c>
      <c r="E31" s="160">
        <f t="shared" si="0"/>
        <v>15.5</v>
      </c>
      <c r="F31" s="254">
        <v>45190</v>
      </c>
      <c r="G31" s="160">
        <f t="shared" si="1"/>
        <v>21</v>
      </c>
      <c r="H31" s="71">
        <v>45194</v>
      </c>
      <c r="I31" s="155">
        <f t="shared" si="2"/>
        <v>4</v>
      </c>
      <c r="J31" s="72">
        <f t="shared" si="3"/>
        <v>40.5</v>
      </c>
      <c r="K31" s="256">
        <v>71043.08</v>
      </c>
      <c r="L31" s="72">
        <f t="shared" si="4"/>
        <v>2877244.74</v>
      </c>
    </row>
    <row r="32" spans="1:12">
      <c r="A32" s="36">
        <v>24</v>
      </c>
      <c r="B32" s="66" t="s">
        <v>660</v>
      </c>
      <c r="C32" s="253">
        <v>45139</v>
      </c>
      <c r="D32" s="253">
        <v>45169</v>
      </c>
      <c r="E32" s="160">
        <f t="shared" si="0"/>
        <v>15.5</v>
      </c>
      <c r="F32" s="254">
        <v>45190</v>
      </c>
      <c r="G32" s="160">
        <f t="shared" si="1"/>
        <v>21</v>
      </c>
      <c r="H32" s="71">
        <v>45194</v>
      </c>
      <c r="I32" s="155">
        <f t="shared" si="2"/>
        <v>4</v>
      </c>
      <c r="J32" s="72">
        <f t="shared" si="3"/>
        <v>40.5</v>
      </c>
      <c r="K32" s="256">
        <v>2962431.870000002</v>
      </c>
      <c r="L32" s="72">
        <f t="shared" si="4"/>
        <v>119978490.73500007</v>
      </c>
    </row>
    <row r="33" spans="1:12">
      <c r="A33" s="36">
        <v>25</v>
      </c>
      <c r="B33" s="66" t="s">
        <v>661</v>
      </c>
      <c r="C33" s="253">
        <v>45139</v>
      </c>
      <c r="D33" s="253">
        <v>45169</v>
      </c>
      <c r="E33" s="160">
        <f t="shared" si="0"/>
        <v>15.5</v>
      </c>
      <c r="F33" s="254">
        <v>45182</v>
      </c>
      <c r="G33" s="160">
        <f t="shared" si="1"/>
        <v>13</v>
      </c>
      <c r="H33" s="71">
        <v>45194</v>
      </c>
      <c r="I33" s="155">
        <f t="shared" si="2"/>
        <v>12</v>
      </c>
      <c r="J33" s="72">
        <f t="shared" si="3"/>
        <v>40.5</v>
      </c>
      <c r="K33" s="256">
        <v>170082.05000000002</v>
      </c>
      <c r="L33" s="72">
        <f t="shared" si="4"/>
        <v>6888323.0250000004</v>
      </c>
    </row>
    <row r="34" spans="1:12">
      <c r="A34" s="36">
        <v>26</v>
      </c>
      <c r="B34" s="66" t="s">
        <v>662</v>
      </c>
      <c r="C34" s="253">
        <v>45139</v>
      </c>
      <c r="D34" s="253">
        <v>45169</v>
      </c>
      <c r="E34" s="160">
        <f t="shared" si="0"/>
        <v>15.5</v>
      </c>
      <c r="F34" s="254">
        <v>45182</v>
      </c>
      <c r="G34" s="160">
        <f t="shared" si="1"/>
        <v>13</v>
      </c>
      <c r="H34" s="71">
        <v>45191</v>
      </c>
      <c r="I34" s="155">
        <f t="shared" si="2"/>
        <v>9</v>
      </c>
      <c r="J34" s="72">
        <f t="shared" si="3"/>
        <v>37.5</v>
      </c>
      <c r="K34" s="256">
        <v>1253787.8700000001</v>
      </c>
      <c r="L34" s="72">
        <f t="shared" si="4"/>
        <v>47017045.125000007</v>
      </c>
    </row>
    <row r="35" spans="1:12">
      <c r="A35" s="36">
        <v>27</v>
      </c>
      <c r="B35" s="66" t="s">
        <v>663</v>
      </c>
      <c r="C35" s="253">
        <v>45139</v>
      </c>
      <c r="D35" s="253">
        <v>45169</v>
      </c>
      <c r="E35" s="160">
        <f t="shared" si="0"/>
        <v>15.5</v>
      </c>
      <c r="F35" s="254">
        <v>45184</v>
      </c>
      <c r="G35" s="160">
        <f t="shared" si="1"/>
        <v>15</v>
      </c>
      <c r="H35" s="71">
        <v>45189</v>
      </c>
      <c r="I35" s="155">
        <f t="shared" si="2"/>
        <v>5</v>
      </c>
      <c r="J35" s="72">
        <f t="shared" si="3"/>
        <v>35.5</v>
      </c>
      <c r="K35" s="256">
        <v>6876.5</v>
      </c>
      <c r="L35" s="72">
        <f t="shared" si="4"/>
        <v>244115.75</v>
      </c>
    </row>
    <row r="36" spans="1:12">
      <c r="A36" s="36">
        <v>28</v>
      </c>
      <c r="B36" s="66" t="s">
        <v>664</v>
      </c>
      <c r="C36" s="253">
        <v>45139</v>
      </c>
      <c r="D36" s="253">
        <v>45169</v>
      </c>
      <c r="E36" s="160">
        <f t="shared" si="0"/>
        <v>15.5</v>
      </c>
      <c r="F36" s="254">
        <v>45189</v>
      </c>
      <c r="G36" s="160">
        <f t="shared" si="1"/>
        <v>20</v>
      </c>
      <c r="H36" s="71">
        <v>45194</v>
      </c>
      <c r="I36" s="155">
        <f t="shared" si="2"/>
        <v>5</v>
      </c>
      <c r="J36" s="72">
        <f t="shared" si="3"/>
        <v>40.5</v>
      </c>
      <c r="K36" s="256">
        <v>400719.12000000005</v>
      </c>
      <c r="L36" s="72">
        <f t="shared" si="4"/>
        <v>16229124.360000001</v>
      </c>
    </row>
    <row r="37" spans="1:12">
      <c r="A37" s="36">
        <v>29</v>
      </c>
      <c r="B37" s="66" t="s">
        <v>657</v>
      </c>
      <c r="C37" s="253">
        <v>45170</v>
      </c>
      <c r="D37" s="253">
        <v>45199</v>
      </c>
      <c r="E37" s="160">
        <f t="shared" si="0"/>
        <v>15</v>
      </c>
      <c r="F37" s="254">
        <v>45208</v>
      </c>
      <c r="G37" s="160">
        <f t="shared" si="1"/>
        <v>9</v>
      </c>
      <c r="H37" s="71">
        <v>45217</v>
      </c>
      <c r="I37" s="155">
        <f t="shared" si="2"/>
        <v>9</v>
      </c>
      <c r="J37" s="72">
        <f t="shared" si="3"/>
        <v>33</v>
      </c>
      <c r="K37" s="256">
        <v>2142.3000000000002</v>
      </c>
      <c r="L37" s="72">
        <f t="shared" si="4"/>
        <v>70695.900000000009</v>
      </c>
    </row>
    <row r="38" spans="1:12">
      <c r="A38" s="36">
        <v>30</v>
      </c>
      <c r="B38" s="66" t="s">
        <v>665</v>
      </c>
      <c r="C38" s="253">
        <v>45170</v>
      </c>
      <c r="D38" s="253">
        <v>45199</v>
      </c>
      <c r="E38" s="160">
        <f t="shared" si="0"/>
        <v>15</v>
      </c>
      <c r="F38" s="254">
        <v>45222</v>
      </c>
      <c r="G38" s="160">
        <f t="shared" si="1"/>
        <v>23</v>
      </c>
      <c r="H38" s="71">
        <v>45224</v>
      </c>
      <c r="I38" s="155">
        <f t="shared" si="2"/>
        <v>2</v>
      </c>
      <c r="J38" s="72">
        <f t="shared" si="3"/>
        <v>40</v>
      </c>
      <c r="K38" s="256">
        <v>24624</v>
      </c>
      <c r="L38" s="72">
        <f t="shared" si="4"/>
        <v>984960</v>
      </c>
    </row>
    <row r="39" spans="1:12">
      <c r="A39" s="36">
        <v>31</v>
      </c>
      <c r="B39" s="66" t="s">
        <v>659</v>
      </c>
      <c r="C39" s="253">
        <v>45170</v>
      </c>
      <c r="D39" s="253">
        <v>45199</v>
      </c>
      <c r="E39" s="160">
        <f t="shared" si="0"/>
        <v>15</v>
      </c>
      <c r="F39" s="254">
        <v>45208</v>
      </c>
      <c r="G39" s="160">
        <f t="shared" si="1"/>
        <v>9</v>
      </c>
      <c r="H39" s="71">
        <v>45211</v>
      </c>
      <c r="I39" s="155">
        <f t="shared" si="2"/>
        <v>3</v>
      </c>
      <c r="J39" s="72">
        <f t="shared" si="3"/>
        <v>27</v>
      </c>
      <c r="K39" s="256">
        <v>8828.02</v>
      </c>
      <c r="L39" s="72">
        <f t="shared" si="4"/>
        <v>238356.54</v>
      </c>
    </row>
    <row r="40" spans="1:12">
      <c r="A40" s="36">
        <v>32</v>
      </c>
      <c r="B40" s="66" t="s">
        <v>660</v>
      </c>
      <c r="C40" s="253">
        <v>45170</v>
      </c>
      <c r="D40" s="253">
        <v>45199</v>
      </c>
      <c r="E40" s="160">
        <f t="shared" si="0"/>
        <v>15</v>
      </c>
      <c r="F40" s="254">
        <v>45224</v>
      </c>
      <c r="G40" s="160">
        <f t="shared" si="1"/>
        <v>25</v>
      </c>
      <c r="H40" s="71">
        <v>45229</v>
      </c>
      <c r="I40" s="155">
        <f t="shared" si="2"/>
        <v>5</v>
      </c>
      <c r="J40" s="72">
        <f t="shared" si="3"/>
        <v>45</v>
      </c>
      <c r="K40" s="256">
        <v>3087181.0999999917</v>
      </c>
      <c r="L40" s="72">
        <f t="shared" si="4"/>
        <v>138923149.49999961</v>
      </c>
    </row>
    <row r="41" spans="1:12">
      <c r="A41" s="36">
        <v>33</v>
      </c>
      <c r="B41" s="66" t="s">
        <v>660</v>
      </c>
      <c r="C41" s="253">
        <v>45170</v>
      </c>
      <c r="D41" s="253">
        <v>45199</v>
      </c>
      <c r="E41" s="160">
        <f t="shared" si="0"/>
        <v>15</v>
      </c>
      <c r="F41" s="254">
        <v>45222</v>
      </c>
      <c r="G41" s="160">
        <f t="shared" si="1"/>
        <v>23</v>
      </c>
      <c r="H41" s="71">
        <v>45224</v>
      </c>
      <c r="I41" s="155">
        <f t="shared" si="2"/>
        <v>2</v>
      </c>
      <c r="J41" s="72">
        <f t="shared" si="3"/>
        <v>40</v>
      </c>
      <c r="K41" s="256">
        <v>71384.850000000006</v>
      </c>
      <c r="L41" s="72">
        <f t="shared" si="4"/>
        <v>2855394</v>
      </c>
    </row>
    <row r="42" spans="1:12">
      <c r="A42" s="36">
        <v>34</v>
      </c>
      <c r="B42" s="66" t="s">
        <v>661</v>
      </c>
      <c r="C42" s="253">
        <v>45170</v>
      </c>
      <c r="D42" s="253">
        <v>45199</v>
      </c>
      <c r="E42" s="160">
        <f t="shared" si="0"/>
        <v>15</v>
      </c>
      <c r="F42" s="254">
        <v>45210</v>
      </c>
      <c r="G42" s="160">
        <f t="shared" si="1"/>
        <v>11</v>
      </c>
      <c r="H42" s="71">
        <v>45222</v>
      </c>
      <c r="I42" s="155">
        <f t="shared" si="2"/>
        <v>12</v>
      </c>
      <c r="J42" s="72">
        <f t="shared" si="3"/>
        <v>38</v>
      </c>
      <c r="K42" s="256">
        <v>170082.05000000002</v>
      </c>
      <c r="L42" s="72">
        <f t="shared" si="4"/>
        <v>6463117.9000000004</v>
      </c>
    </row>
    <row r="43" spans="1:12">
      <c r="A43" s="36">
        <v>35</v>
      </c>
      <c r="B43" s="66" t="s">
        <v>662</v>
      </c>
      <c r="C43" s="253">
        <v>45170</v>
      </c>
      <c r="D43" s="253">
        <v>45199</v>
      </c>
      <c r="E43" s="160">
        <f t="shared" si="0"/>
        <v>15</v>
      </c>
      <c r="F43" s="254">
        <v>45210</v>
      </c>
      <c r="G43" s="160">
        <f t="shared" si="1"/>
        <v>11</v>
      </c>
      <c r="H43" s="71">
        <v>45222</v>
      </c>
      <c r="I43" s="155">
        <f t="shared" si="2"/>
        <v>12</v>
      </c>
      <c r="J43" s="72">
        <f t="shared" si="3"/>
        <v>38</v>
      </c>
      <c r="K43" s="256">
        <v>1213343.1000000001</v>
      </c>
      <c r="L43" s="72">
        <f t="shared" si="4"/>
        <v>46107037.800000004</v>
      </c>
    </row>
    <row r="44" spans="1:12">
      <c r="A44" s="36">
        <v>36</v>
      </c>
      <c r="B44" s="66" t="s">
        <v>663</v>
      </c>
      <c r="C44" s="253">
        <v>45170</v>
      </c>
      <c r="D44" s="253">
        <v>45199</v>
      </c>
      <c r="E44" s="160">
        <f t="shared" si="0"/>
        <v>15</v>
      </c>
      <c r="F44" s="254">
        <v>45209</v>
      </c>
      <c r="G44" s="160">
        <f t="shared" si="1"/>
        <v>10</v>
      </c>
      <c r="H44" s="71">
        <v>45219</v>
      </c>
      <c r="I44" s="155">
        <f t="shared" si="2"/>
        <v>10</v>
      </c>
      <c r="J44" s="72">
        <f t="shared" si="3"/>
        <v>35</v>
      </c>
      <c r="K44" s="256">
        <v>6650.69</v>
      </c>
      <c r="L44" s="72">
        <f t="shared" si="4"/>
        <v>232774.15</v>
      </c>
    </row>
    <row r="45" spans="1:12">
      <c r="A45" s="36">
        <v>37</v>
      </c>
      <c r="B45" s="66" t="s">
        <v>664</v>
      </c>
      <c r="C45" s="253">
        <v>45170</v>
      </c>
      <c r="D45" s="253">
        <v>45199</v>
      </c>
      <c r="E45" s="160">
        <f t="shared" si="0"/>
        <v>15</v>
      </c>
      <c r="F45" s="254">
        <v>45217</v>
      </c>
      <c r="G45" s="160">
        <f t="shared" si="1"/>
        <v>18</v>
      </c>
      <c r="H45" s="71">
        <v>45224</v>
      </c>
      <c r="I45" s="155">
        <f t="shared" si="2"/>
        <v>7</v>
      </c>
      <c r="J45" s="72">
        <f t="shared" si="3"/>
        <v>40</v>
      </c>
      <c r="K45" s="256">
        <v>442029.94000000018</v>
      </c>
      <c r="L45" s="72">
        <f t="shared" si="4"/>
        <v>17681197.600000009</v>
      </c>
    </row>
    <row r="46" spans="1:12">
      <c r="A46" s="36">
        <v>38</v>
      </c>
      <c r="B46" s="66" t="s">
        <v>657</v>
      </c>
      <c r="C46" s="253">
        <v>45200</v>
      </c>
      <c r="D46" s="253">
        <v>45230</v>
      </c>
      <c r="E46" s="160">
        <f t="shared" si="0"/>
        <v>15.5</v>
      </c>
      <c r="F46" s="254">
        <v>45240</v>
      </c>
      <c r="G46" s="160">
        <f t="shared" si="1"/>
        <v>10</v>
      </c>
      <c r="H46" s="71">
        <v>45250</v>
      </c>
      <c r="I46" s="155">
        <f t="shared" si="2"/>
        <v>10</v>
      </c>
      <c r="J46" s="72">
        <f t="shared" si="3"/>
        <v>35.5</v>
      </c>
      <c r="K46" s="256">
        <v>2087.1900000000014</v>
      </c>
      <c r="L46" s="72">
        <f t="shared" si="4"/>
        <v>74095.245000000054</v>
      </c>
    </row>
    <row r="47" spans="1:12">
      <c r="A47" s="36">
        <v>39</v>
      </c>
      <c r="B47" s="66" t="s">
        <v>665</v>
      </c>
      <c r="C47" s="253">
        <v>45200</v>
      </c>
      <c r="D47" s="253">
        <v>45230</v>
      </c>
      <c r="E47" s="160">
        <f t="shared" si="0"/>
        <v>15.5</v>
      </c>
      <c r="F47" s="254">
        <v>45244</v>
      </c>
      <c r="G47" s="160">
        <f t="shared" si="1"/>
        <v>14</v>
      </c>
      <c r="H47" s="71">
        <v>45257</v>
      </c>
      <c r="I47" s="155">
        <f t="shared" si="2"/>
        <v>13</v>
      </c>
      <c r="J47" s="72">
        <f t="shared" si="3"/>
        <v>42.5</v>
      </c>
      <c r="K47" s="256">
        <v>27994.439999999984</v>
      </c>
      <c r="L47" s="72">
        <f t="shared" si="4"/>
        <v>1189763.6999999993</v>
      </c>
    </row>
    <row r="48" spans="1:12">
      <c r="A48" s="36">
        <v>40</v>
      </c>
      <c r="B48" s="66" t="s">
        <v>658</v>
      </c>
      <c r="C48" s="253">
        <v>45200</v>
      </c>
      <c r="D48" s="253">
        <v>45230</v>
      </c>
      <c r="E48" s="160">
        <f t="shared" si="0"/>
        <v>15.5</v>
      </c>
      <c r="F48" s="254">
        <v>45240</v>
      </c>
      <c r="G48" s="160">
        <f t="shared" si="1"/>
        <v>10</v>
      </c>
      <c r="H48" s="71">
        <v>45247</v>
      </c>
      <c r="I48" s="155">
        <f t="shared" si="2"/>
        <v>7</v>
      </c>
      <c r="J48" s="72">
        <f t="shared" si="3"/>
        <v>32.5</v>
      </c>
      <c r="K48" s="256">
        <v>1836.27</v>
      </c>
      <c r="L48" s="72">
        <f t="shared" si="4"/>
        <v>59678.775000000001</v>
      </c>
    </row>
    <row r="49" spans="1:12">
      <c r="A49" s="36">
        <v>41</v>
      </c>
      <c r="B49" s="66" t="s">
        <v>659</v>
      </c>
      <c r="C49" s="253">
        <v>45200</v>
      </c>
      <c r="D49" s="253">
        <v>45230</v>
      </c>
      <c r="E49" s="160">
        <f t="shared" si="0"/>
        <v>15.5</v>
      </c>
      <c r="F49" s="254">
        <v>45240</v>
      </c>
      <c r="G49" s="160">
        <f t="shared" si="1"/>
        <v>10</v>
      </c>
      <c r="H49" s="71">
        <v>45246</v>
      </c>
      <c r="I49" s="155">
        <f t="shared" si="2"/>
        <v>6</v>
      </c>
      <c r="J49" s="72">
        <f t="shared" si="3"/>
        <v>31.5</v>
      </c>
      <c r="K49" s="256">
        <v>9095.2399999999943</v>
      </c>
      <c r="L49" s="72">
        <f t="shared" si="4"/>
        <v>286500.05999999982</v>
      </c>
    </row>
    <row r="50" spans="1:12">
      <c r="A50" s="36">
        <v>42</v>
      </c>
      <c r="B50" s="66" t="s">
        <v>660</v>
      </c>
      <c r="C50" s="253">
        <v>45200</v>
      </c>
      <c r="D50" s="253">
        <v>45230</v>
      </c>
      <c r="E50" s="160">
        <f t="shared" si="0"/>
        <v>15.5</v>
      </c>
      <c r="F50" s="254">
        <v>45250</v>
      </c>
      <c r="G50" s="160">
        <f t="shared" si="1"/>
        <v>20</v>
      </c>
      <c r="H50" s="71">
        <v>45257</v>
      </c>
      <c r="I50" s="155">
        <f t="shared" si="2"/>
        <v>7</v>
      </c>
      <c r="J50" s="72">
        <f t="shared" si="3"/>
        <v>42.5</v>
      </c>
      <c r="K50" s="256">
        <v>78891.000000000015</v>
      </c>
      <c r="L50" s="72">
        <f t="shared" si="4"/>
        <v>3352867.5000000005</v>
      </c>
    </row>
    <row r="51" spans="1:12">
      <c r="A51" s="36">
        <v>43</v>
      </c>
      <c r="B51" s="66" t="s">
        <v>660</v>
      </c>
      <c r="C51" s="253">
        <v>45200</v>
      </c>
      <c r="D51" s="253">
        <v>45230</v>
      </c>
      <c r="E51" s="160">
        <f t="shared" si="0"/>
        <v>15.5</v>
      </c>
      <c r="F51" s="254">
        <v>45251</v>
      </c>
      <c r="G51" s="160">
        <f t="shared" si="1"/>
        <v>21</v>
      </c>
      <c r="H51" s="71">
        <v>45257</v>
      </c>
      <c r="I51" s="155">
        <f t="shared" si="2"/>
        <v>6</v>
      </c>
      <c r="J51" s="72">
        <f t="shared" si="3"/>
        <v>42.5</v>
      </c>
      <c r="K51" s="256">
        <v>3713431.9400000004</v>
      </c>
      <c r="L51" s="72">
        <f t="shared" si="4"/>
        <v>157820857.45000002</v>
      </c>
    </row>
    <row r="52" spans="1:12">
      <c r="A52" s="36">
        <v>44</v>
      </c>
      <c r="B52" s="66" t="s">
        <v>661</v>
      </c>
      <c r="C52" s="253">
        <v>45200</v>
      </c>
      <c r="D52" s="253">
        <v>45230</v>
      </c>
      <c r="E52" s="160">
        <f t="shared" si="0"/>
        <v>15.5</v>
      </c>
      <c r="F52" s="254">
        <v>45243</v>
      </c>
      <c r="G52" s="160">
        <f t="shared" si="1"/>
        <v>13</v>
      </c>
      <c r="H52" s="71">
        <v>45250</v>
      </c>
      <c r="I52" s="155">
        <f t="shared" si="2"/>
        <v>7</v>
      </c>
      <c r="J52" s="72">
        <f t="shared" si="3"/>
        <v>35.5</v>
      </c>
      <c r="K52" s="256">
        <v>205396.65000000002</v>
      </c>
      <c r="L52" s="72">
        <f t="shared" si="4"/>
        <v>7291581.0750000011</v>
      </c>
    </row>
    <row r="53" spans="1:12">
      <c r="A53" s="36">
        <v>45</v>
      </c>
      <c r="B53" s="66" t="s">
        <v>662</v>
      </c>
      <c r="C53" s="253">
        <v>45200</v>
      </c>
      <c r="D53" s="253">
        <v>45230</v>
      </c>
      <c r="E53" s="160">
        <f t="shared" si="0"/>
        <v>15.5</v>
      </c>
      <c r="F53" s="254">
        <v>45243</v>
      </c>
      <c r="G53" s="160">
        <f t="shared" si="1"/>
        <v>13</v>
      </c>
      <c r="H53" s="71">
        <v>45250</v>
      </c>
      <c r="I53" s="155">
        <f t="shared" si="2"/>
        <v>7</v>
      </c>
      <c r="J53" s="72">
        <f t="shared" si="3"/>
        <v>35.5</v>
      </c>
      <c r="K53" s="256">
        <v>1642385.27</v>
      </c>
      <c r="L53" s="72">
        <f t="shared" si="4"/>
        <v>58304677.085000001</v>
      </c>
    </row>
    <row r="54" spans="1:12">
      <c r="A54" s="36">
        <v>46</v>
      </c>
      <c r="B54" s="66" t="s">
        <v>663</v>
      </c>
      <c r="C54" s="253">
        <v>45200</v>
      </c>
      <c r="D54" s="253">
        <v>45230</v>
      </c>
      <c r="E54" s="160">
        <f t="shared" si="0"/>
        <v>15.5</v>
      </c>
      <c r="F54" s="254">
        <v>45245</v>
      </c>
      <c r="G54" s="160">
        <f t="shared" si="1"/>
        <v>15</v>
      </c>
      <c r="H54" s="71">
        <v>45250</v>
      </c>
      <c r="I54" s="155">
        <f t="shared" si="2"/>
        <v>5</v>
      </c>
      <c r="J54" s="72">
        <f t="shared" si="3"/>
        <v>35.5</v>
      </c>
      <c r="K54" s="256">
        <v>6861.59</v>
      </c>
      <c r="L54" s="72">
        <f t="shared" si="4"/>
        <v>243586.44500000001</v>
      </c>
    </row>
    <row r="55" spans="1:12">
      <c r="A55" s="36">
        <v>47</v>
      </c>
      <c r="B55" s="66" t="s">
        <v>664</v>
      </c>
      <c r="C55" s="253">
        <v>45200</v>
      </c>
      <c r="D55" s="253">
        <v>45230</v>
      </c>
      <c r="E55" s="160">
        <f t="shared" si="0"/>
        <v>15.5</v>
      </c>
      <c r="F55" s="254">
        <v>45250</v>
      </c>
      <c r="G55" s="160">
        <f t="shared" si="1"/>
        <v>20</v>
      </c>
      <c r="H55" s="71">
        <v>45257</v>
      </c>
      <c r="I55" s="155">
        <f t="shared" si="2"/>
        <v>7</v>
      </c>
      <c r="J55" s="72">
        <f t="shared" si="3"/>
        <v>42.5</v>
      </c>
      <c r="K55" s="256">
        <v>644411.60000000009</v>
      </c>
      <c r="L55" s="72">
        <f t="shared" si="4"/>
        <v>27387493.000000004</v>
      </c>
    </row>
    <row r="56" spans="1:12">
      <c r="A56" s="36">
        <v>48</v>
      </c>
      <c r="B56" s="66" t="s">
        <v>657</v>
      </c>
      <c r="C56" s="253">
        <v>45231</v>
      </c>
      <c r="D56" s="253">
        <v>45260</v>
      </c>
      <c r="E56" s="160">
        <f t="shared" si="0"/>
        <v>15</v>
      </c>
      <c r="F56" s="254">
        <v>45273</v>
      </c>
      <c r="G56" s="160">
        <f t="shared" si="1"/>
        <v>13</v>
      </c>
      <c r="H56" s="71">
        <v>45278</v>
      </c>
      <c r="I56" s="155">
        <f t="shared" si="2"/>
        <v>5</v>
      </c>
      <c r="J56" s="72">
        <f t="shared" si="3"/>
        <v>33</v>
      </c>
      <c r="K56" s="256">
        <v>1415.3500000000001</v>
      </c>
      <c r="L56" s="72">
        <f t="shared" si="4"/>
        <v>46706.55</v>
      </c>
    </row>
    <row r="57" spans="1:12">
      <c r="A57" s="36">
        <v>49</v>
      </c>
      <c r="B57" s="66" t="s">
        <v>665</v>
      </c>
      <c r="C57" s="253">
        <v>45231</v>
      </c>
      <c r="D57" s="253">
        <v>45260</v>
      </c>
      <c r="E57" s="160">
        <f t="shared" si="0"/>
        <v>15</v>
      </c>
      <c r="F57" s="254">
        <v>45273</v>
      </c>
      <c r="G57" s="160">
        <f t="shared" si="1"/>
        <v>13</v>
      </c>
      <c r="H57" s="71">
        <v>45286</v>
      </c>
      <c r="I57" s="155">
        <f t="shared" si="2"/>
        <v>13</v>
      </c>
      <c r="J57" s="72">
        <f t="shared" si="3"/>
        <v>41</v>
      </c>
      <c r="K57" s="256">
        <v>32559.1</v>
      </c>
      <c r="L57" s="72">
        <f t="shared" si="4"/>
        <v>1334923.0999999999</v>
      </c>
    </row>
    <row r="58" spans="1:12">
      <c r="A58" s="36">
        <v>50</v>
      </c>
      <c r="B58" s="66" t="s">
        <v>659</v>
      </c>
      <c r="C58" s="253">
        <v>45231</v>
      </c>
      <c r="D58" s="253">
        <v>45260</v>
      </c>
      <c r="E58" s="160">
        <f t="shared" si="0"/>
        <v>15</v>
      </c>
      <c r="F58" s="254">
        <v>45273</v>
      </c>
      <c r="G58" s="160">
        <f t="shared" si="1"/>
        <v>13</v>
      </c>
      <c r="H58" s="71">
        <v>45274</v>
      </c>
      <c r="I58" s="155">
        <f t="shared" si="2"/>
        <v>1</v>
      </c>
      <c r="J58" s="72">
        <f t="shared" si="3"/>
        <v>29</v>
      </c>
      <c r="K58" s="256">
        <v>3044.2000000000007</v>
      </c>
      <c r="L58" s="72">
        <f t="shared" si="4"/>
        <v>88281.800000000017</v>
      </c>
    </row>
    <row r="59" spans="1:12">
      <c r="A59" s="36">
        <v>51</v>
      </c>
      <c r="B59" s="66" t="s">
        <v>660</v>
      </c>
      <c r="C59" s="253">
        <v>45231</v>
      </c>
      <c r="D59" s="253">
        <v>45260</v>
      </c>
      <c r="E59" s="160">
        <f t="shared" si="0"/>
        <v>15</v>
      </c>
      <c r="F59" s="254">
        <v>45282</v>
      </c>
      <c r="G59" s="160">
        <f t="shared" si="1"/>
        <v>22</v>
      </c>
      <c r="H59" s="71">
        <v>45286</v>
      </c>
      <c r="I59" s="155">
        <f t="shared" si="2"/>
        <v>4</v>
      </c>
      <c r="J59" s="72">
        <f t="shared" si="3"/>
        <v>41</v>
      </c>
      <c r="K59" s="256">
        <v>1996092.4199999988</v>
      </c>
      <c r="L59" s="72">
        <f t="shared" si="4"/>
        <v>81839789.219999954</v>
      </c>
    </row>
    <row r="60" spans="1:12">
      <c r="A60" s="36">
        <v>52</v>
      </c>
      <c r="B60" s="66" t="s">
        <v>660</v>
      </c>
      <c r="C60" s="253">
        <v>45231</v>
      </c>
      <c r="D60" s="253">
        <v>45260</v>
      </c>
      <c r="E60" s="160">
        <f t="shared" si="0"/>
        <v>15</v>
      </c>
      <c r="F60" s="254">
        <v>45282</v>
      </c>
      <c r="G60" s="160">
        <f t="shared" si="1"/>
        <v>22</v>
      </c>
      <c r="H60" s="71">
        <v>45286</v>
      </c>
      <c r="I60" s="155">
        <f t="shared" si="2"/>
        <v>4</v>
      </c>
      <c r="J60" s="72">
        <f t="shared" si="3"/>
        <v>41</v>
      </c>
      <c r="K60" s="256">
        <v>227563.2</v>
      </c>
      <c r="L60" s="72">
        <f t="shared" si="4"/>
        <v>9330091.2000000011</v>
      </c>
    </row>
    <row r="61" spans="1:12">
      <c r="A61" s="36">
        <v>53</v>
      </c>
      <c r="B61" s="66" t="s">
        <v>661</v>
      </c>
      <c r="C61" s="253">
        <v>45231</v>
      </c>
      <c r="D61" s="253">
        <v>45260</v>
      </c>
      <c r="E61" s="160">
        <f t="shared" si="0"/>
        <v>15</v>
      </c>
      <c r="F61" s="254">
        <v>45272</v>
      </c>
      <c r="G61" s="160">
        <f t="shared" si="1"/>
        <v>12</v>
      </c>
      <c r="H61" s="71">
        <v>45282</v>
      </c>
      <c r="I61" s="155">
        <f t="shared" si="2"/>
        <v>10</v>
      </c>
      <c r="J61" s="72">
        <f t="shared" si="3"/>
        <v>37</v>
      </c>
      <c r="K61" s="256">
        <v>377567.30000000005</v>
      </c>
      <c r="L61" s="72">
        <f t="shared" si="4"/>
        <v>13969990.100000001</v>
      </c>
    </row>
    <row r="62" spans="1:12">
      <c r="A62" s="36">
        <v>54</v>
      </c>
      <c r="B62" s="66" t="s">
        <v>662</v>
      </c>
      <c r="C62" s="253">
        <v>45231</v>
      </c>
      <c r="D62" s="253">
        <v>45260</v>
      </c>
      <c r="E62" s="160">
        <f t="shared" si="0"/>
        <v>15</v>
      </c>
      <c r="F62" s="254">
        <v>45273</v>
      </c>
      <c r="G62" s="160">
        <f t="shared" si="1"/>
        <v>13</v>
      </c>
      <c r="H62" s="71">
        <v>45281</v>
      </c>
      <c r="I62" s="155">
        <f t="shared" si="2"/>
        <v>8</v>
      </c>
      <c r="J62" s="72">
        <f t="shared" si="3"/>
        <v>36</v>
      </c>
      <c r="K62" s="256">
        <v>1749116.7</v>
      </c>
      <c r="L62" s="72">
        <f t="shared" si="4"/>
        <v>62968201.199999996</v>
      </c>
    </row>
    <row r="63" spans="1:12">
      <c r="A63" s="36">
        <v>55</v>
      </c>
      <c r="B63" s="66" t="s">
        <v>663</v>
      </c>
      <c r="C63" s="253">
        <v>45231</v>
      </c>
      <c r="D63" s="253">
        <v>45260</v>
      </c>
      <c r="E63" s="160">
        <f t="shared" si="0"/>
        <v>15</v>
      </c>
      <c r="F63" s="254">
        <v>45271</v>
      </c>
      <c r="G63" s="160">
        <f t="shared" si="1"/>
        <v>11</v>
      </c>
      <c r="H63" s="71">
        <v>45280</v>
      </c>
      <c r="I63" s="155">
        <f t="shared" si="2"/>
        <v>9</v>
      </c>
      <c r="J63" s="72">
        <f t="shared" si="3"/>
        <v>35</v>
      </c>
      <c r="K63" s="256">
        <v>31952.71</v>
      </c>
      <c r="L63" s="72">
        <f t="shared" si="4"/>
        <v>1118344.8499999999</v>
      </c>
    </row>
    <row r="64" spans="1:12">
      <c r="A64" s="36">
        <v>56</v>
      </c>
      <c r="B64" s="66" t="s">
        <v>663</v>
      </c>
      <c r="C64" s="253">
        <v>45231</v>
      </c>
      <c r="D64" s="253">
        <v>45260</v>
      </c>
      <c r="E64" s="160">
        <f t="shared" si="0"/>
        <v>15</v>
      </c>
      <c r="F64" s="254">
        <v>45271</v>
      </c>
      <c r="G64" s="160">
        <f t="shared" si="1"/>
        <v>11</v>
      </c>
      <c r="H64" s="71">
        <v>45280</v>
      </c>
      <c r="I64" s="155">
        <f t="shared" si="2"/>
        <v>9</v>
      </c>
      <c r="J64" s="72">
        <f t="shared" si="3"/>
        <v>35</v>
      </c>
      <c r="K64" s="256">
        <v>9577.7999999999993</v>
      </c>
      <c r="L64" s="72">
        <f t="shared" si="4"/>
        <v>335223</v>
      </c>
    </row>
    <row r="65" spans="1:12">
      <c r="A65" s="36">
        <v>57</v>
      </c>
      <c r="B65" s="66" t="s">
        <v>664</v>
      </c>
      <c r="C65" s="253">
        <v>45231</v>
      </c>
      <c r="D65" s="253">
        <v>45260</v>
      </c>
      <c r="E65" s="160">
        <f t="shared" si="0"/>
        <v>15</v>
      </c>
      <c r="F65" s="254">
        <v>45280</v>
      </c>
      <c r="G65" s="160">
        <f t="shared" si="1"/>
        <v>20</v>
      </c>
      <c r="H65" s="71">
        <v>45287</v>
      </c>
      <c r="I65" s="155">
        <f t="shared" si="2"/>
        <v>7</v>
      </c>
      <c r="J65" s="72">
        <f t="shared" si="3"/>
        <v>42</v>
      </c>
      <c r="K65" s="256">
        <v>188596.19999999995</v>
      </c>
      <c r="L65" s="72">
        <f t="shared" si="4"/>
        <v>7921040.3999999985</v>
      </c>
    </row>
    <row r="66" spans="1:12">
      <c r="A66" s="36">
        <v>58</v>
      </c>
      <c r="B66" s="66" t="s">
        <v>665</v>
      </c>
      <c r="C66" s="253">
        <v>45261</v>
      </c>
      <c r="D66" s="253">
        <v>45291</v>
      </c>
      <c r="E66" s="160">
        <f t="shared" si="0"/>
        <v>15.5</v>
      </c>
      <c r="F66" s="254">
        <v>45309</v>
      </c>
      <c r="G66" s="160">
        <f t="shared" si="1"/>
        <v>18</v>
      </c>
      <c r="H66" s="71">
        <v>45316</v>
      </c>
      <c r="I66" s="155">
        <f t="shared" si="2"/>
        <v>7</v>
      </c>
      <c r="J66" s="72">
        <f t="shared" si="3"/>
        <v>40.5</v>
      </c>
      <c r="K66" s="256">
        <v>33601.75</v>
      </c>
      <c r="L66" s="72">
        <f t="shared" si="4"/>
        <v>1360870.875</v>
      </c>
    </row>
    <row r="67" spans="1:12">
      <c r="A67" s="36">
        <v>59</v>
      </c>
      <c r="B67" s="66" t="s">
        <v>658</v>
      </c>
      <c r="C67" s="253">
        <v>45261</v>
      </c>
      <c r="D67" s="253">
        <v>45291</v>
      </c>
      <c r="E67" s="160">
        <f t="shared" si="0"/>
        <v>15.5</v>
      </c>
      <c r="F67" s="254">
        <v>45307</v>
      </c>
      <c r="G67" s="160">
        <f t="shared" si="1"/>
        <v>16</v>
      </c>
      <c r="H67" s="71">
        <v>45309</v>
      </c>
      <c r="I67" s="155">
        <f t="shared" si="2"/>
        <v>2</v>
      </c>
      <c r="J67" s="72">
        <f t="shared" si="3"/>
        <v>33.5</v>
      </c>
      <c r="K67" s="256">
        <v>3261.63</v>
      </c>
      <c r="L67" s="72">
        <f t="shared" si="4"/>
        <v>109264.60500000001</v>
      </c>
    </row>
    <row r="68" spans="1:12">
      <c r="A68" s="36">
        <v>60</v>
      </c>
      <c r="B68" s="66" t="s">
        <v>659</v>
      </c>
      <c r="C68" s="253">
        <v>45261</v>
      </c>
      <c r="D68" s="253">
        <v>45291</v>
      </c>
      <c r="E68" s="160">
        <f t="shared" si="0"/>
        <v>15.5</v>
      </c>
      <c r="F68" s="254">
        <v>45309</v>
      </c>
      <c r="G68" s="160">
        <f t="shared" si="1"/>
        <v>18</v>
      </c>
      <c r="H68" s="71">
        <v>45314</v>
      </c>
      <c r="I68" s="155">
        <f t="shared" si="2"/>
        <v>5</v>
      </c>
      <c r="J68" s="72">
        <f t="shared" si="3"/>
        <v>38.5</v>
      </c>
      <c r="K68" s="256">
        <v>2335.5400000000004</v>
      </c>
      <c r="L68" s="72">
        <f t="shared" si="4"/>
        <v>89918.290000000023</v>
      </c>
    </row>
    <row r="69" spans="1:12">
      <c r="A69" s="36">
        <v>61</v>
      </c>
      <c r="B69" s="66" t="s">
        <v>660</v>
      </c>
      <c r="C69" s="253">
        <v>45261</v>
      </c>
      <c r="D69" s="253">
        <v>45291</v>
      </c>
      <c r="E69" s="160">
        <f t="shared" si="0"/>
        <v>15.5</v>
      </c>
      <c r="F69" s="254">
        <v>45314</v>
      </c>
      <c r="G69" s="160">
        <f t="shared" si="1"/>
        <v>23</v>
      </c>
      <c r="H69" s="71">
        <v>45316</v>
      </c>
      <c r="I69" s="155">
        <f t="shared" si="2"/>
        <v>2</v>
      </c>
      <c r="J69" s="72">
        <f t="shared" si="3"/>
        <v>40.5</v>
      </c>
      <c r="K69" s="256">
        <v>169772.2</v>
      </c>
      <c r="L69" s="72">
        <f t="shared" si="4"/>
        <v>6875774.1000000006</v>
      </c>
    </row>
    <row r="70" spans="1:12">
      <c r="A70" s="36">
        <v>62</v>
      </c>
      <c r="B70" s="66" t="s">
        <v>660</v>
      </c>
      <c r="C70" s="253">
        <v>45261</v>
      </c>
      <c r="D70" s="253">
        <v>45291</v>
      </c>
      <c r="E70" s="160">
        <f t="shared" si="0"/>
        <v>15.5</v>
      </c>
      <c r="F70" s="254">
        <v>45314</v>
      </c>
      <c r="G70" s="160">
        <f t="shared" si="1"/>
        <v>23</v>
      </c>
      <c r="H70" s="71">
        <v>45316</v>
      </c>
      <c r="I70" s="155">
        <f t="shared" si="2"/>
        <v>2</v>
      </c>
      <c r="J70" s="72">
        <f t="shared" si="3"/>
        <v>40.5</v>
      </c>
      <c r="K70" s="256">
        <v>2578947.8100000015</v>
      </c>
      <c r="L70" s="72">
        <f t="shared" si="4"/>
        <v>104447386.30500005</v>
      </c>
    </row>
    <row r="71" spans="1:12">
      <c r="A71" s="36">
        <v>63</v>
      </c>
      <c r="B71" s="66" t="s">
        <v>661</v>
      </c>
      <c r="C71" s="253">
        <v>45261</v>
      </c>
      <c r="D71" s="253">
        <v>45291</v>
      </c>
      <c r="E71" s="160">
        <f t="shared" si="0"/>
        <v>15.5</v>
      </c>
      <c r="F71" s="254">
        <v>45303</v>
      </c>
      <c r="G71" s="160">
        <f t="shared" si="1"/>
        <v>12</v>
      </c>
      <c r="H71" s="71">
        <v>45313</v>
      </c>
      <c r="I71" s="155">
        <f t="shared" si="2"/>
        <v>10</v>
      </c>
      <c r="J71" s="72">
        <f t="shared" si="3"/>
        <v>37.5</v>
      </c>
      <c r="K71" s="256">
        <v>386628.4</v>
      </c>
      <c r="L71" s="72">
        <f t="shared" si="4"/>
        <v>14498565</v>
      </c>
    </row>
    <row r="72" spans="1:12">
      <c r="A72" s="36">
        <v>64</v>
      </c>
      <c r="B72" s="66" t="s">
        <v>662</v>
      </c>
      <c r="C72" s="253">
        <v>45261</v>
      </c>
      <c r="D72" s="253">
        <v>45291</v>
      </c>
      <c r="E72" s="160">
        <f t="shared" si="0"/>
        <v>15.5</v>
      </c>
      <c r="F72" s="254">
        <v>45303</v>
      </c>
      <c r="G72" s="160">
        <f t="shared" si="1"/>
        <v>12</v>
      </c>
      <c r="H72" s="71">
        <v>45313</v>
      </c>
      <c r="I72" s="155">
        <f t="shared" si="2"/>
        <v>10</v>
      </c>
      <c r="J72" s="72">
        <f t="shared" si="3"/>
        <v>37.5</v>
      </c>
      <c r="K72" s="256">
        <v>1807420.59</v>
      </c>
      <c r="L72" s="72">
        <f t="shared" si="4"/>
        <v>67778272.125</v>
      </c>
    </row>
    <row r="73" spans="1:12">
      <c r="A73" s="36">
        <v>65</v>
      </c>
      <c r="B73" s="66" t="s">
        <v>663</v>
      </c>
      <c r="C73" s="253">
        <v>45261</v>
      </c>
      <c r="D73" s="253">
        <v>45291</v>
      </c>
      <c r="E73" s="160">
        <f t="shared" si="0"/>
        <v>15.5</v>
      </c>
      <c r="F73" s="254">
        <v>45309</v>
      </c>
      <c r="G73" s="160">
        <f t="shared" si="1"/>
        <v>18</v>
      </c>
      <c r="H73" s="71">
        <v>45313</v>
      </c>
      <c r="I73" s="155">
        <f t="shared" si="2"/>
        <v>4</v>
      </c>
      <c r="J73" s="72">
        <f t="shared" si="3"/>
        <v>37.5</v>
      </c>
      <c r="K73" s="256">
        <v>43750.8</v>
      </c>
      <c r="L73" s="72">
        <f t="shared" si="4"/>
        <v>1640655</v>
      </c>
    </row>
    <row r="74" spans="1:12">
      <c r="A74" s="36">
        <v>66</v>
      </c>
      <c r="B74" s="66" t="s">
        <v>664</v>
      </c>
      <c r="C74" s="253">
        <v>45261</v>
      </c>
      <c r="D74" s="253">
        <v>45291</v>
      </c>
      <c r="E74" s="160">
        <f t="shared" ref="E74:E118" si="5">(D74-C74+1)/2</f>
        <v>15.5</v>
      </c>
      <c r="F74" s="254">
        <v>45310</v>
      </c>
      <c r="G74" s="160">
        <f t="shared" ref="G74:G118" si="6">+F74-D74</f>
        <v>19</v>
      </c>
      <c r="H74" s="71">
        <v>45316</v>
      </c>
      <c r="I74" s="155">
        <f t="shared" ref="I74:I118" si="7">+H74-F74</f>
        <v>6</v>
      </c>
      <c r="J74" s="72">
        <f t="shared" ref="J74:J118" si="8">+I74+G74+E74</f>
        <v>40.5</v>
      </c>
      <c r="K74" s="256">
        <v>102647.41999999995</v>
      </c>
      <c r="L74" s="72">
        <f t="shared" si="4"/>
        <v>4157220.5099999984</v>
      </c>
    </row>
    <row r="75" spans="1:12">
      <c r="A75" s="36">
        <v>67</v>
      </c>
      <c r="B75" s="66" t="s">
        <v>665</v>
      </c>
      <c r="C75" s="253">
        <v>45292</v>
      </c>
      <c r="D75" s="253">
        <v>45322</v>
      </c>
      <c r="E75" s="160">
        <f t="shared" si="5"/>
        <v>15.5</v>
      </c>
      <c r="F75" s="254">
        <v>45338</v>
      </c>
      <c r="G75" s="160">
        <f t="shared" si="6"/>
        <v>16</v>
      </c>
      <c r="H75" s="71">
        <v>45348</v>
      </c>
      <c r="I75" s="155">
        <f t="shared" si="7"/>
        <v>10</v>
      </c>
      <c r="J75" s="72">
        <f t="shared" si="8"/>
        <v>41.5</v>
      </c>
      <c r="K75" s="256">
        <v>23502.83</v>
      </c>
      <c r="L75" s="72">
        <f t="shared" si="4"/>
        <v>975367.44500000007</v>
      </c>
    </row>
    <row r="76" spans="1:12">
      <c r="A76" s="36">
        <v>68</v>
      </c>
      <c r="B76" s="66" t="s">
        <v>658</v>
      </c>
      <c r="C76" s="253">
        <v>45292</v>
      </c>
      <c r="D76" s="253">
        <v>45322</v>
      </c>
      <c r="E76" s="160">
        <f t="shared" si="5"/>
        <v>15.5</v>
      </c>
      <c r="F76" s="254">
        <v>45336</v>
      </c>
      <c r="G76" s="160">
        <f t="shared" si="6"/>
        <v>14</v>
      </c>
      <c r="H76" s="71">
        <v>45342</v>
      </c>
      <c r="I76" s="155">
        <f t="shared" si="7"/>
        <v>6</v>
      </c>
      <c r="J76" s="72">
        <f t="shared" si="8"/>
        <v>35.5</v>
      </c>
      <c r="K76" s="256">
        <v>2176.1799999999998</v>
      </c>
      <c r="L76" s="72">
        <f t="shared" si="4"/>
        <v>77254.39</v>
      </c>
    </row>
    <row r="77" spans="1:12">
      <c r="A77" s="36">
        <v>69</v>
      </c>
      <c r="B77" s="66" t="s">
        <v>659</v>
      </c>
      <c r="C77" s="253">
        <v>45292</v>
      </c>
      <c r="D77" s="253">
        <v>45322</v>
      </c>
      <c r="E77" s="160">
        <f t="shared" si="5"/>
        <v>15.5</v>
      </c>
      <c r="F77" s="254">
        <v>45338</v>
      </c>
      <c r="G77" s="160">
        <f t="shared" si="6"/>
        <v>16</v>
      </c>
      <c r="H77" s="71">
        <v>45343</v>
      </c>
      <c r="I77" s="155">
        <f t="shared" si="7"/>
        <v>5</v>
      </c>
      <c r="J77" s="72">
        <f t="shared" si="8"/>
        <v>36.5</v>
      </c>
      <c r="K77" s="256">
        <v>422.9300000000004</v>
      </c>
      <c r="L77" s="72">
        <f t="shared" si="4"/>
        <v>15436.945000000014</v>
      </c>
    </row>
    <row r="78" spans="1:12">
      <c r="A78" s="36">
        <v>70</v>
      </c>
      <c r="B78" s="66" t="s">
        <v>660</v>
      </c>
      <c r="C78" s="253">
        <v>45292</v>
      </c>
      <c r="D78" s="253">
        <v>45322</v>
      </c>
      <c r="E78" s="160">
        <f t="shared" si="5"/>
        <v>15.5</v>
      </c>
      <c r="F78" s="254">
        <v>45344</v>
      </c>
      <c r="G78" s="160">
        <f t="shared" si="6"/>
        <v>22</v>
      </c>
      <c r="H78" s="71">
        <v>45348</v>
      </c>
      <c r="I78" s="155">
        <f t="shared" si="7"/>
        <v>4</v>
      </c>
      <c r="J78" s="72">
        <f t="shared" si="8"/>
        <v>41.5</v>
      </c>
      <c r="K78" s="256">
        <v>4600874.4699999969</v>
      </c>
      <c r="L78" s="72">
        <f t="shared" si="4"/>
        <v>190936290.50499988</v>
      </c>
    </row>
    <row r="79" spans="1:12">
      <c r="A79" s="36">
        <v>71</v>
      </c>
      <c r="B79" s="66" t="s">
        <v>660</v>
      </c>
      <c r="C79" s="253">
        <v>45292</v>
      </c>
      <c r="D79" s="253">
        <v>45322</v>
      </c>
      <c r="E79" s="160">
        <f t="shared" si="5"/>
        <v>15.5</v>
      </c>
      <c r="F79" s="254">
        <v>45344</v>
      </c>
      <c r="G79" s="160">
        <f t="shared" si="6"/>
        <v>22</v>
      </c>
      <c r="H79" s="71">
        <v>45348</v>
      </c>
      <c r="I79" s="155">
        <f t="shared" si="7"/>
        <v>4</v>
      </c>
      <c r="J79" s="72">
        <f t="shared" si="8"/>
        <v>41.5</v>
      </c>
      <c r="K79" s="256">
        <v>574272.83000000007</v>
      </c>
      <c r="L79" s="72">
        <f t="shared" si="4"/>
        <v>23832322.445000004</v>
      </c>
    </row>
    <row r="80" spans="1:12">
      <c r="A80" s="36">
        <v>72</v>
      </c>
      <c r="B80" s="66" t="s">
        <v>661</v>
      </c>
      <c r="C80" s="253">
        <v>45292</v>
      </c>
      <c r="D80" s="253">
        <v>45322</v>
      </c>
      <c r="E80" s="160">
        <f t="shared" si="5"/>
        <v>15.5</v>
      </c>
      <c r="F80" s="254">
        <v>45334</v>
      </c>
      <c r="G80" s="160">
        <f t="shared" si="6"/>
        <v>12</v>
      </c>
      <c r="H80" s="71">
        <v>45344</v>
      </c>
      <c r="I80" s="155">
        <f t="shared" si="7"/>
        <v>10</v>
      </c>
      <c r="J80" s="72">
        <f t="shared" si="8"/>
        <v>37.5</v>
      </c>
      <c r="K80" s="256">
        <v>386628.4</v>
      </c>
      <c r="L80" s="72">
        <f t="shared" si="4"/>
        <v>14498565</v>
      </c>
    </row>
    <row r="81" spans="1:12">
      <c r="A81" s="36">
        <v>73</v>
      </c>
      <c r="B81" s="66" t="s">
        <v>662</v>
      </c>
      <c r="C81" s="253">
        <v>45292</v>
      </c>
      <c r="D81" s="253">
        <v>45322</v>
      </c>
      <c r="E81" s="160">
        <f t="shared" si="5"/>
        <v>15.5</v>
      </c>
      <c r="F81" s="254">
        <v>45334</v>
      </c>
      <c r="G81" s="160">
        <f t="shared" si="6"/>
        <v>12</v>
      </c>
      <c r="H81" s="71">
        <v>45342</v>
      </c>
      <c r="I81" s="155">
        <f t="shared" si="7"/>
        <v>8</v>
      </c>
      <c r="J81" s="72">
        <f t="shared" si="8"/>
        <v>35.5</v>
      </c>
      <c r="K81" s="256">
        <v>1807420.5899999999</v>
      </c>
      <c r="L81" s="72">
        <f t="shared" si="4"/>
        <v>64163430.944999993</v>
      </c>
    </row>
    <row r="82" spans="1:12">
      <c r="A82" s="36">
        <v>74</v>
      </c>
      <c r="B82" s="66" t="s">
        <v>663</v>
      </c>
      <c r="C82" s="253">
        <v>45292</v>
      </c>
      <c r="D82" s="253">
        <v>45322</v>
      </c>
      <c r="E82" s="160">
        <f t="shared" si="5"/>
        <v>15.5</v>
      </c>
      <c r="F82" s="254">
        <v>45338</v>
      </c>
      <c r="G82" s="160">
        <f t="shared" si="6"/>
        <v>16</v>
      </c>
      <c r="H82" s="71">
        <v>45342</v>
      </c>
      <c r="I82" s="155">
        <f t="shared" si="7"/>
        <v>4</v>
      </c>
      <c r="J82" s="72">
        <f t="shared" si="8"/>
        <v>35.5</v>
      </c>
      <c r="K82" s="256">
        <v>43221.979999999996</v>
      </c>
      <c r="L82" s="72">
        <f t="shared" si="4"/>
        <v>1534380.2899999998</v>
      </c>
    </row>
    <row r="83" spans="1:12">
      <c r="A83" s="36">
        <v>75</v>
      </c>
      <c r="B83" s="66" t="s">
        <v>664</v>
      </c>
      <c r="C83" s="253">
        <v>45292</v>
      </c>
      <c r="D83" s="253">
        <v>45322</v>
      </c>
      <c r="E83" s="160">
        <f t="shared" si="5"/>
        <v>15.5</v>
      </c>
      <c r="F83" s="254">
        <v>45342</v>
      </c>
      <c r="G83" s="160">
        <f t="shared" si="6"/>
        <v>20</v>
      </c>
      <c r="H83" s="71">
        <v>45348</v>
      </c>
      <c r="I83" s="155">
        <f t="shared" si="7"/>
        <v>6</v>
      </c>
      <c r="J83" s="72">
        <f t="shared" si="8"/>
        <v>41.5</v>
      </c>
      <c r="K83" s="256">
        <v>476925.96000000014</v>
      </c>
      <c r="L83" s="72">
        <f t="shared" si="4"/>
        <v>19792427.340000007</v>
      </c>
    </row>
    <row r="84" spans="1:12">
      <c r="A84" s="36">
        <v>76</v>
      </c>
      <c r="B84" s="66" t="s">
        <v>665</v>
      </c>
      <c r="C84" s="253">
        <v>45323</v>
      </c>
      <c r="D84" s="253">
        <v>45351</v>
      </c>
      <c r="E84" s="160">
        <f t="shared" si="5"/>
        <v>14.5</v>
      </c>
      <c r="F84" s="254">
        <v>45363</v>
      </c>
      <c r="G84" s="160">
        <f t="shared" si="6"/>
        <v>12</v>
      </c>
      <c r="H84" s="71">
        <v>45376</v>
      </c>
      <c r="I84" s="155">
        <f t="shared" si="7"/>
        <v>13</v>
      </c>
      <c r="J84" s="72">
        <f t="shared" si="8"/>
        <v>39.5</v>
      </c>
      <c r="K84" s="256">
        <v>25571.699999999993</v>
      </c>
      <c r="L84" s="72">
        <f t="shared" si="4"/>
        <v>1010082.1499999998</v>
      </c>
    </row>
    <row r="85" spans="1:12">
      <c r="A85" s="36">
        <v>77</v>
      </c>
      <c r="B85" s="66" t="s">
        <v>659</v>
      </c>
      <c r="C85" s="253">
        <v>45323</v>
      </c>
      <c r="D85" s="253">
        <v>45351</v>
      </c>
      <c r="E85" s="160">
        <f t="shared" si="5"/>
        <v>14.5</v>
      </c>
      <c r="F85" s="254">
        <v>45365</v>
      </c>
      <c r="G85" s="160">
        <f t="shared" si="6"/>
        <v>14</v>
      </c>
      <c r="H85" s="71">
        <v>45369</v>
      </c>
      <c r="I85" s="155">
        <f t="shared" si="7"/>
        <v>4</v>
      </c>
      <c r="J85" s="72">
        <f t="shared" si="8"/>
        <v>32.5</v>
      </c>
      <c r="K85" s="256">
        <v>389.78000000000009</v>
      </c>
      <c r="L85" s="72">
        <f t="shared" si="4"/>
        <v>12667.850000000002</v>
      </c>
    </row>
    <row r="86" spans="1:12">
      <c r="A86" s="36">
        <v>78</v>
      </c>
      <c r="B86" s="66" t="s">
        <v>660</v>
      </c>
      <c r="C86" s="253">
        <v>45323</v>
      </c>
      <c r="D86" s="253">
        <v>45351</v>
      </c>
      <c r="E86" s="160">
        <f t="shared" si="5"/>
        <v>14.5</v>
      </c>
      <c r="F86" s="254">
        <v>45372</v>
      </c>
      <c r="G86" s="160">
        <f t="shared" si="6"/>
        <v>21</v>
      </c>
      <c r="H86" s="71">
        <v>45376</v>
      </c>
      <c r="I86" s="155">
        <f t="shared" si="7"/>
        <v>4</v>
      </c>
      <c r="J86" s="72">
        <f t="shared" si="8"/>
        <v>39.5</v>
      </c>
      <c r="K86" s="256">
        <v>505537.52000000019</v>
      </c>
      <c r="L86" s="72">
        <f t="shared" si="4"/>
        <v>19968732.040000007</v>
      </c>
    </row>
    <row r="87" spans="1:12">
      <c r="A87" s="36">
        <v>79</v>
      </c>
      <c r="B87" s="66" t="s">
        <v>660</v>
      </c>
      <c r="C87" s="253">
        <v>45323</v>
      </c>
      <c r="D87" s="253">
        <v>45351</v>
      </c>
      <c r="E87" s="160">
        <f t="shared" si="5"/>
        <v>14.5</v>
      </c>
      <c r="F87" s="254">
        <v>45371</v>
      </c>
      <c r="G87" s="160">
        <f t="shared" si="6"/>
        <v>20</v>
      </c>
      <c r="H87" s="71">
        <v>45376</v>
      </c>
      <c r="I87" s="155">
        <f t="shared" si="7"/>
        <v>5</v>
      </c>
      <c r="J87" s="72">
        <f t="shared" si="8"/>
        <v>39.5</v>
      </c>
      <c r="K87" s="256">
        <v>149779.66</v>
      </c>
      <c r="L87" s="72">
        <f t="shared" si="4"/>
        <v>5916296.5700000003</v>
      </c>
    </row>
    <row r="88" spans="1:12">
      <c r="A88" s="36">
        <v>80</v>
      </c>
      <c r="B88" s="66" t="s">
        <v>661</v>
      </c>
      <c r="C88" s="253">
        <v>45323</v>
      </c>
      <c r="D88" s="253">
        <v>45351</v>
      </c>
      <c r="E88" s="160">
        <f t="shared" si="5"/>
        <v>14.5</v>
      </c>
      <c r="F88" s="254">
        <v>45364</v>
      </c>
      <c r="G88" s="160">
        <f t="shared" si="6"/>
        <v>13</v>
      </c>
      <c r="H88" s="71">
        <v>45373</v>
      </c>
      <c r="I88" s="155">
        <f t="shared" si="7"/>
        <v>9</v>
      </c>
      <c r="J88" s="72">
        <f t="shared" si="8"/>
        <v>36.5</v>
      </c>
      <c r="K88" s="256">
        <v>375960.24999999983</v>
      </c>
      <c r="L88" s="72">
        <f t="shared" si="4"/>
        <v>13722549.124999994</v>
      </c>
    </row>
    <row r="89" spans="1:12">
      <c r="A89" s="36">
        <v>81</v>
      </c>
      <c r="B89" s="66" t="s">
        <v>662</v>
      </c>
      <c r="C89" s="253">
        <v>45323</v>
      </c>
      <c r="D89" s="253">
        <v>45351</v>
      </c>
      <c r="E89" s="160">
        <f t="shared" si="5"/>
        <v>14.5</v>
      </c>
      <c r="F89" s="254">
        <v>45364</v>
      </c>
      <c r="G89" s="160">
        <f t="shared" si="6"/>
        <v>13</v>
      </c>
      <c r="H89" s="71">
        <v>45372</v>
      </c>
      <c r="I89" s="155">
        <f t="shared" si="7"/>
        <v>8</v>
      </c>
      <c r="J89" s="72">
        <f t="shared" si="8"/>
        <v>35.5</v>
      </c>
      <c r="K89" s="256">
        <v>1690812.81</v>
      </c>
      <c r="L89" s="72">
        <f t="shared" si="4"/>
        <v>60023854.755000003</v>
      </c>
    </row>
    <row r="90" spans="1:12">
      <c r="A90" s="36">
        <v>82</v>
      </c>
      <c r="B90" s="66" t="s">
        <v>663</v>
      </c>
      <c r="C90" s="253">
        <v>45323</v>
      </c>
      <c r="D90" s="253">
        <v>45351</v>
      </c>
      <c r="E90" s="160">
        <f t="shared" si="5"/>
        <v>14.5</v>
      </c>
      <c r="F90" s="254">
        <v>45363</v>
      </c>
      <c r="G90" s="160">
        <f t="shared" si="6"/>
        <v>12</v>
      </c>
      <c r="H90" s="71">
        <v>45371</v>
      </c>
      <c r="I90" s="155">
        <f t="shared" si="7"/>
        <v>8</v>
      </c>
      <c r="J90" s="72">
        <f t="shared" si="8"/>
        <v>34.5</v>
      </c>
      <c r="K90" s="256">
        <v>40288.479999999996</v>
      </c>
      <c r="L90" s="72">
        <f t="shared" si="4"/>
        <v>1389952.5599999998</v>
      </c>
    </row>
    <row r="91" spans="1:12">
      <c r="A91" s="36">
        <v>83</v>
      </c>
      <c r="B91" s="66" t="s">
        <v>664</v>
      </c>
      <c r="C91" s="253">
        <v>45323</v>
      </c>
      <c r="D91" s="253">
        <v>45351</v>
      </c>
      <c r="E91" s="160">
        <f t="shared" si="5"/>
        <v>14.5</v>
      </c>
      <c r="F91" s="254">
        <v>45370</v>
      </c>
      <c r="G91" s="160">
        <f t="shared" si="6"/>
        <v>19</v>
      </c>
      <c r="H91" s="71">
        <v>45376</v>
      </c>
      <c r="I91" s="155">
        <f t="shared" si="7"/>
        <v>6</v>
      </c>
      <c r="J91" s="72">
        <f t="shared" si="8"/>
        <v>39.5</v>
      </c>
      <c r="K91" s="256">
        <v>88142.989999999962</v>
      </c>
      <c r="L91" s="72">
        <f t="shared" si="4"/>
        <v>3481648.1049999986</v>
      </c>
    </row>
    <row r="92" spans="1:12">
      <c r="A92" s="36">
        <v>84</v>
      </c>
      <c r="B92" s="66" t="s">
        <v>657</v>
      </c>
      <c r="C92" s="253">
        <v>45352</v>
      </c>
      <c r="D92" s="253">
        <v>45382</v>
      </c>
      <c r="E92" s="160">
        <f t="shared" si="5"/>
        <v>15.5</v>
      </c>
      <c r="F92" s="254">
        <v>45393</v>
      </c>
      <c r="G92" s="160">
        <f t="shared" si="6"/>
        <v>11</v>
      </c>
      <c r="H92" s="71">
        <v>45399</v>
      </c>
      <c r="I92" s="155">
        <f t="shared" si="7"/>
        <v>6</v>
      </c>
      <c r="J92" s="72">
        <f t="shared" si="8"/>
        <v>32.5</v>
      </c>
      <c r="K92" s="256">
        <v>335.22000000000014</v>
      </c>
      <c r="L92" s="72">
        <f t="shared" si="4"/>
        <v>10894.650000000005</v>
      </c>
    </row>
    <row r="93" spans="1:12">
      <c r="A93" s="36">
        <v>85</v>
      </c>
      <c r="B93" s="66" t="s">
        <v>665</v>
      </c>
      <c r="C93" s="253">
        <v>45352</v>
      </c>
      <c r="D93" s="253">
        <v>45382</v>
      </c>
      <c r="E93" s="160">
        <f t="shared" si="5"/>
        <v>15.5</v>
      </c>
      <c r="F93" s="254">
        <v>45393</v>
      </c>
      <c r="G93" s="160">
        <f t="shared" si="6"/>
        <v>11</v>
      </c>
      <c r="H93" s="71">
        <v>45407</v>
      </c>
      <c r="I93" s="155">
        <f t="shared" si="7"/>
        <v>14</v>
      </c>
      <c r="J93" s="72">
        <f t="shared" si="8"/>
        <v>40.5</v>
      </c>
      <c r="K93" s="256">
        <v>12639.420000000007</v>
      </c>
      <c r="L93" s="72">
        <f t="shared" si="4"/>
        <v>511896.5100000003</v>
      </c>
    </row>
    <row r="94" spans="1:12">
      <c r="A94" s="36">
        <v>86</v>
      </c>
      <c r="B94" s="66" t="s">
        <v>659</v>
      </c>
      <c r="C94" s="253">
        <v>45352</v>
      </c>
      <c r="D94" s="253">
        <v>45382</v>
      </c>
      <c r="E94" s="160">
        <f t="shared" si="5"/>
        <v>15.5</v>
      </c>
      <c r="F94" s="254">
        <v>45397</v>
      </c>
      <c r="G94" s="160">
        <f t="shared" si="6"/>
        <v>15</v>
      </c>
      <c r="H94" s="71">
        <v>45401</v>
      </c>
      <c r="I94" s="155">
        <f t="shared" si="7"/>
        <v>4</v>
      </c>
      <c r="J94" s="72">
        <f t="shared" si="8"/>
        <v>34.5</v>
      </c>
      <c r="K94" s="256">
        <v>530.48999999999978</v>
      </c>
      <c r="L94" s="72">
        <f t="shared" si="4"/>
        <v>18301.904999999992</v>
      </c>
    </row>
    <row r="95" spans="1:12">
      <c r="A95" s="36">
        <v>87</v>
      </c>
      <c r="B95" s="66" t="s">
        <v>660</v>
      </c>
      <c r="C95" s="253">
        <v>45352</v>
      </c>
      <c r="D95" s="253">
        <v>45382</v>
      </c>
      <c r="E95" s="160">
        <f t="shared" si="5"/>
        <v>15.5</v>
      </c>
      <c r="F95" s="254">
        <v>45406</v>
      </c>
      <c r="G95" s="160">
        <f t="shared" si="6"/>
        <v>24</v>
      </c>
      <c r="H95" s="71">
        <v>45407</v>
      </c>
      <c r="I95" s="155">
        <f t="shared" si="7"/>
        <v>1</v>
      </c>
      <c r="J95" s="72">
        <f t="shared" si="8"/>
        <v>40.5</v>
      </c>
      <c r="K95" s="256">
        <v>86953.599999999977</v>
      </c>
      <c r="L95" s="72">
        <f t="shared" si="4"/>
        <v>3521620.7999999989</v>
      </c>
    </row>
    <row r="96" spans="1:12">
      <c r="A96" s="36">
        <v>88</v>
      </c>
      <c r="B96" s="66" t="s">
        <v>661</v>
      </c>
      <c r="C96" s="253">
        <v>45352</v>
      </c>
      <c r="D96" s="253">
        <v>45382</v>
      </c>
      <c r="E96" s="160">
        <f t="shared" si="5"/>
        <v>15.5</v>
      </c>
      <c r="F96" s="254">
        <v>45392</v>
      </c>
      <c r="G96" s="160">
        <f t="shared" si="6"/>
        <v>10</v>
      </c>
      <c r="H96" s="71">
        <v>45404</v>
      </c>
      <c r="I96" s="155">
        <f t="shared" si="7"/>
        <v>12</v>
      </c>
      <c r="J96" s="72">
        <f t="shared" si="8"/>
        <v>37.5</v>
      </c>
      <c r="K96" s="256">
        <v>372425.26999999996</v>
      </c>
      <c r="L96" s="72">
        <f t="shared" si="4"/>
        <v>13965947.624999998</v>
      </c>
    </row>
    <row r="97" spans="1:13">
      <c r="A97" s="36">
        <v>89</v>
      </c>
      <c r="B97" s="66" t="s">
        <v>662</v>
      </c>
      <c r="C97" s="253">
        <v>45352</v>
      </c>
      <c r="D97" s="253">
        <v>45382</v>
      </c>
      <c r="E97" s="160">
        <f t="shared" si="5"/>
        <v>15.5</v>
      </c>
      <c r="F97" s="254">
        <v>45399</v>
      </c>
      <c r="G97" s="160">
        <f t="shared" si="6"/>
        <v>17</v>
      </c>
      <c r="H97" s="71">
        <v>45401</v>
      </c>
      <c r="I97" s="155">
        <f t="shared" si="7"/>
        <v>2</v>
      </c>
      <c r="J97" s="72">
        <f t="shared" si="8"/>
        <v>34.5</v>
      </c>
      <c r="K97" s="256">
        <v>1796056.7</v>
      </c>
      <c r="L97" s="72">
        <f t="shared" si="4"/>
        <v>61963956.149999999</v>
      </c>
    </row>
    <row r="98" spans="1:13">
      <c r="A98" s="36">
        <v>90</v>
      </c>
      <c r="B98" s="66" t="s">
        <v>663</v>
      </c>
      <c r="C98" s="253">
        <v>45352</v>
      </c>
      <c r="D98" s="253">
        <v>45382</v>
      </c>
      <c r="E98" s="160">
        <f t="shared" si="5"/>
        <v>15.5</v>
      </c>
      <c r="F98" s="254">
        <v>45394</v>
      </c>
      <c r="G98" s="160">
        <f t="shared" si="6"/>
        <v>12</v>
      </c>
      <c r="H98" s="71">
        <v>45404</v>
      </c>
      <c r="I98" s="155">
        <f t="shared" si="7"/>
        <v>10</v>
      </c>
      <c r="J98" s="72">
        <f t="shared" si="8"/>
        <v>37.5</v>
      </c>
      <c r="K98" s="256">
        <v>42663.09</v>
      </c>
      <c r="L98" s="72">
        <f t="shared" si="4"/>
        <v>1599865.8749999998</v>
      </c>
    </row>
    <row r="99" spans="1:13">
      <c r="A99" s="36">
        <v>91</v>
      </c>
      <c r="B99" s="66" t="s">
        <v>657</v>
      </c>
      <c r="C99" s="253">
        <v>45383</v>
      </c>
      <c r="D99" s="253">
        <v>45412</v>
      </c>
      <c r="E99" s="160">
        <f t="shared" si="5"/>
        <v>15</v>
      </c>
      <c r="F99" s="254">
        <v>45427</v>
      </c>
      <c r="G99" s="160">
        <f t="shared" si="6"/>
        <v>15</v>
      </c>
      <c r="H99" s="71">
        <v>45432</v>
      </c>
      <c r="I99" s="155">
        <f t="shared" si="7"/>
        <v>5</v>
      </c>
      <c r="J99" s="72">
        <f t="shared" si="8"/>
        <v>35</v>
      </c>
      <c r="K99" s="256">
        <v>762.02999999999986</v>
      </c>
      <c r="L99" s="72">
        <f t="shared" si="4"/>
        <v>26671.049999999996</v>
      </c>
    </row>
    <row r="100" spans="1:13">
      <c r="A100" s="36">
        <v>92</v>
      </c>
      <c r="B100" s="66" t="s">
        <v>665</v>
      </c>
      <c r="C100" s="253">
        <v>45383</v>
      </c>
      <c r="D100" s="253">
        <v>45412</v>
      </c>
      <c r="E100" s="160">
        <f t="shared" si="5"/>
        <v>15</v>
      </c>
      <c r="F100" s="254">
        <v>45425</v>
      </c>
      <c r="G100" s="160">
        <f t="shared" si="6"/>
        <v>13</v>
      </c>
      <c r="H100" s="71">
        <v>45440</v>
      </c>
      <c r="I100" s="155">
        <f t="shared" si="7"/>
        <v>15</v>
      </c>
      <c r="J100" s="72">
        <f t="shared" si="8"/>
        <v>43</v>
      </c>
      <c r="K100" s="256">
        <v>10913.319999999998</v>
      </c>
      <c r="L100" s="72">
        <f t="shared" si="4"/>
        <v>469272.75999999989</v>
      </c>
    </row>
    <row r="101" spans="1:13">
      <c r="A101" s="36">
        <v>93</v>
      </c>
      <c r="B101" s="66" t="s">
        <v>658</v>
      </c>
      <c r="C101" s="253">
        <v>45383</v>
      </c>
      <c r="D101" s="253">
        <v>45412</v>
      </c>
      <c r="E101" s="160">
        <f t="shared" si="5"/>
        <v>15</v>
      </c>
      <c r="F101" s="254">
        <v>45426</v>
      </c>
      <c r="G101" s="160">
        <f t="shared" si="6"/>
        <v>14</v>
      </c>
      <c r="H101" s="71">
        <v>45428</v>
      </c>
      <c r="I101" s="155">
        <f t="shared" si="7"/>
        <v>2</v>
      </c>
      <c r="J101" s="72">
        <f t="shared" si="8"/>
        <v>31</v>
      </c>
      <c r="K101" s="256">
        <v>25350.61</v>
      </c>
      <c r="L101" s="72">
        <f t="shared" si="4"/>
        <v>785868.91</v>
      </c>
    </row>
    <row r="102" spans="1:13">
      <c r="A102" s="36">
        <v>94</v>
      </c>
      <c r="B102" s="66" t="s">
        <v>659</v>
      </c>
      <c r="C102" s="253">
        <v>45383</v>
      </c>
      <c r="D102" s="253">
        <v>45412</v>
      </c>
      <c r="E102" s="160">
        <f t="shared" si="5"/>
        <v>15</v>
      </c>
      <c r="F102" s="254">
        <v>45427</v>
      </c>
      <c r="G102" s="160">
        <f t="shared" si="6"/>
        <v>15</v>
      </c>
      <c r="H102" s="71">
        <v>45428</v>
      </c>
      <c r="I102" s="155">
        <f t="shared" si="7"/>
        <v>1</v>
      </c>
      <c r="J102" s="72">
        <f t="shared" si="8"/>
        <v>31</v>
      </c>
      <c r="K102" s="256">
        <v>3067.1499999999992</v>
      </c>
      <c r="L102" s="72">
        <f t="shared" si="4"/>
        <v>95081.64999999998</v>
      </c>
    </row>
    <row r="103" spans="1:13">
      <c r="A103" s="36">
        <v>95</v>
      </c>
      <c r="B103" s="66" t="s">
        <v>660</v>
      </c>
      <c r="C103" s="253">
        <v>45383</v>
      </c>
      <c r="D103" s="253">
        <v>45412</v>
      </c>
      <c r="E103" s="160">
        <f t="shared" si="5"/>
        <v>15</v>
      </c>
      <c r="F103" s="254">
        <v>45434</v>
      </c>
      <c r="G103" s="160">
        <f t="shared" si="6"/>
        <v>22</v>
      </c>
      <c r="H103" s="71">
        <v>45440</v>
      </c>
      <c r="I103" s="155">
        <f t="shared" si="7"/>
        <v>6</v>
      </c>
      <c r="J103" s="72">
        <f t="shared" si="8"/>
        <v>43</v>
      </c>
      <c r="K103" s="256">
        <v>1531757.080000001</v>
      </c>
      <c r="L103" s="72">
        <f t="shared" si="4"/>
        <v>65865554.440000042</v>
      </c>
    </row>
    <row r="104" spans="1:13">
      <c r="A104" s="36">
        <v>96</v>
      </c>
      <c r="B104" s="66" t="s">
        <v>660</v>
      </c>
      <c r="C104" s="253">
        <v>45383</v>
      </c>
      <c r="D104" s="253">
        <v>45412</v>
      </c>
      <c r="E104" s="160">
        <f t="shared" si="5"/>
        <v>15</v>
      </c>
      <c r="F104" s="254">
        <v>45434</v>
      </c>
      <c r="G104" s="160">
        <f t="shared" si="6"/>
        <v>22</v>
      </c>
      <c r="H104" s="71">
        <v>45440</v>
      </c>
      <c r="I104" s="155">
        <f t="shared" si="7"/>
        <v>6</v>
      </c>
      <c r="J104" s="72">
        <f t="shared" si="8"/>
        <v>43</v>
      </c>
      <c r="K104" s="256">
        <v>32387.09</v>
      </c>
      <c r="L104" s="72">
        <f t="shared" si="4"/>
        <v>1392644.87</v>
      </c>
    </row>
    <row r="105" spans="1:13">
      <c r="A105" s="36">
        <v>97</v>
      </c>
      <c r="B105" s="66" t="s">
        <v>661</v>
      </c>
      <c r="C105" s="253">
        <v>45383</v>
      </c>
      <c r="D105" s="253">
        <v>45412</v>
      </c>
      <c r="E105" s="160">
        <f t="shared" si="5"/>
        <v>15</v>
      </c>
      <c r="F105" s="254">
        <v>45422</v>
      </c>
      <c r="G105" s="160">
        <f t="shared" si="6"/>
        <v>10</v>
      </c>
      <c r="H105" s="71">
        <v>45432</v>
      </c>
      <c r="I105" s="155">
        <f t="shared" si="7"/>
        <v>10</v>
      </c>
      <c r="J105" s="72">
        <f t="shared" si="8"/>
        <v>35</v>
      </c>
      <c r="K105" s="256">
        <v>274736.47000000003</v>
      </c>
      <c r="L105" s="72">
        <f t="shared" si="4"/>
        <v>9615776.4500000011</v>
      </c>
    </row>
    <row r="106" spans="1:13">
      <c r="A106" s="36">
        <v>98</v>
      </c>
      <c r="B106" s="66" t="s">
        <v>662</v>
      </c>
      <c r="C106" s="253">
        <v>45383</v>
      </c>
      <c r="D106" s="253">
        <v>45412</v>
      </c>
      <c r="E106" s="160">
        <f t="shared" si="5"/>
        <v>15</v>
      </c>
      <c r="F106" s="254">
        <v>45421</v>
      </c>
      <c r="G106" s="160">
        <f t="shared" si="6"/>
        <v>9</v>
      </c>
      <c r="H106" s="71">
        <v>45432</v>
      </c>
      <c r="I106" s="155">
        <f t="shared" si="7"/>
        <v>11</v>
      </c>
      <c r="J106" s="72">
        <f t="shared" si="8"/>
        <v>35</v>
      </c>
      <c r="K106" s="256">
        <v>1596153.9</v>
      </c>
      <c r="L106" s="72">
        <f t="shared" si="4"/>
        <v>55865386.5</v>
      </c>
    </row>
    <row r="107" spans="1:13">
      <c r="A107" s="36">
        <v>99</v>
      </c>
      <c r="B107" s="66" t="s">
        <v>663</v>
      </c>
      <c r="C107" s="253">
        <v>45383</v>
      </c>
      <c r="D107" s="253">
        <v>45412</v>
      </c>
      <c r="E107" s="160">
        <f t="shared" si="5"/>
        <v>15</v>
      </c>
      <c r="F107" s="254">
        <v>45426</v>
      </c>
      <c r="G107" s="160">
        <f t="shared" si="6"/>
        <v>14</v>
      </c>
      <c r="H107" s="71">
        <v>45432</v>
      </c>
      <c r="I107" s="155">
        <f t="shared" si="7"/>
        <v>6</v>
      </c>
      <c r="J107" s="72">
        <f t="shared" si="8"/>
        <v>35</v>
      </c>
      <c r="K107" s="256">
        <v>6635.43</v>
      </c>
      <c r="L107" s="72">
        <f t="shared" si="4"/>
        <v>232240.05000000002</v>
      </c>
      <c r="M107" s="18" t="s">
        <v>2</v>
      </c>
    </row>
    <row r="108" spans="1:13">
      <c r="A108" s="36">
        <v>100</v>
      </c>
      <c r="B108" s="66" t="s">
        <v>664</v>
      </c>
      <c r="C108" s="253">
        <v>45383</v>
      </c>
      <c r="D108" s="253">
        <v>45412</v>
      </c>
      <c r="E108" s="160">
        <f t="shared" si="5"/>
        <v>15</v>
      </c>
      <c r="F108" s="254">
        <v>45432</v>
      </c>
      <c r="G108" s="160">
        <f t="shared" si="6"/>
        <v>20</v>
      </c>
      <c r="H108" s="71">
        <v>45440</v>
      </c>
      <c r="I108" s="155">
        <f t="shared" si="7"/>
        <v>8</v>
      </c>
      <c r="J108" s="72">
        <f t="shared" si="8"/>
        <v>43</v>
      </c>
      <c r="K108" s="256">
        <v>353183.65999999986</v>
      </c>
      <c r="L108" s="72">
        <f t="shared" si="4"/>
        <v>15186897.379999993</v>
      </c>
    </row>
    <row r="109" spans="1:13">
      <c r="A109" s="36">
        <v>101</v>
      </c>
      <c r="B109" s="66" t="s">
        <v>657</v>
      </c>
      <c r="C109" s="253">
        <v>45413</v>
      </c>
      <c r="D109" s="253">
        <v>45443</v>
      </c>
      <c r="E109" s="160">
        <f t="shared" si="5"/>
        <v>15.5</v>
      </c>
      <c r="F109" s="254">
        <v>45456</v>
      </c>
      <c r="G109" s="160">
        <f t="shared" si="6"/>
        <v>13</v>
      </c>
      <c r="H109" s="71">
        <v>45460</v>
      </c>
      <c r="I109" s="155">
        <f t="shared" si="7"/>
        <v>4</v>
      </c>
      <c r="J109" s="72">
        <f t="shared" si="8"/>
        <v>32.5</v>
      </c>
      <c r="K109" s="256">
        <v>694.31999999999971</v>
      </c>
      <c r="L109" s="72">
        <f t="shared" si="4"/>
        <v>22565.399999999991</v>
      </c>
    </row>
    <row r="110" spans="1:13">
      <c r="A110" s="36">
        <v>102</v>
      </c>
      <c r="B110" s="66" t="s">
        <v>665</v>
      </c>
      <c r="C110" s="253">
        <v>45413</v>
      </c>
      <c r="D110" s="253">
        <v>45443</v>
      </c>
      <c r="E110" s="160">
        <f t="shared" si="5"/>
        <v>15.5</v>
      </c>
      <c r="F110" s="254">
        <v>45456</v>
      </c>
      <c r="G110" s="160">
        <f t="shared" si="6"/>
        <v>13</v>
      </c>
      <c r="H110" s="71">
        <v>45468</v>
      </c>
      <c r="I110" s="155">
        <f t="shared" si="7"/>
        <v>12</v>
      </c>
      <c r="J110" s="72">
        <f t="shared" si="8"/>
        <v>40.5</v>
      </c>
      <c r="K110" s="256">
        <v>13455.609999999997</v>
      </c>
      <c r="L110" s="72">
        <f t="shared" si="4"/>
        <v>544952.20499999984</v>
      </c>
    </row>
    <row r="111" spans="1:13">
      <c r="A111" s="36">
        <v>103</v>
      </c>
      <c r="B111" s="66" t="s">
        <v>658</v>
      </c>
      <c r="C111" s="253">
        <v>45413</v>
      </c>
      <c r="D111" s="253">
        <v>45443</v>
      </c>
      <c r="E111" s="160">
        <f t="shared" si="5"/>
        <v>15.5</v>
      </c>
      <c r="F111" s="254">
        <v>45455</v>
      </c>
      <c r="G111" s="160">
        <f t="shared" si="6"/>
        <v>12</v>
      </c>
      <c r="H111" s="71">
        <v>45460</v>
      </c>
      <c r="I111" s="155">
        <f t="shared" si="7"/>
        <v>5</v>
      </c>
      <c r="J111" s="72">
        <f t="shared" si="8"/>
        <v>32.5</v>
      </c>
      <c r="K111" s="256">
        <v>165.02999999999997</v>
      </c>
      <c r="L111" s="72">
        <f t="shared" si="4"/>
        <v>5363.4749999999995</v>
      </c>
    </row>
    <row r="112" spans="1:13">
      <c r="A112" s="36">
        <v>104</v>
      </c>
      <c r="B112" s="66" t="s">
        <v>659</v>
      </c>
      <c r="C112" s="253">
        <v>45413</v>
      </c>
      <c r="D112" s="253">
        <v>45443</v>
      </c>
      <c r="E112" s="160">
        <f t="shared" si="5"/>
        <v>15.5</v>
      </c>
      <c r="F112" s="254">
        <v>45456</v>
      </c>
      <c r="G112" s="160">
        <f t="shared" si="6"/>
        <v>13</v>
      </c>
      <c r="H112" s="71">
        <v>45460</v>
      </c>
      <c r="I112" s="155">
        <f t="shared" si="7"/>
        <v>4</v>
      </c>
      <c r="J112" s="72">
        <f t="shared" si="8"/>
        <v>32.5</v>
      </c>
      <c r="K112" s="256">
        <v>2694.139999999999</v>
      </c>
      <c r="L112" s="72">
        <f t="shared" si="4"/>
        <v>87559.549999999959</v>
      </c>
    </row>
    <row r="113" spans="1:12">
      <c r="A113" s="36">
        <v>105</v>
      </c>
      <c r="B113" s="66" t="s">
        <v>660</v>
      </c>
      <c r="C113" s="253">
        <v>45413</v>
      </c>
      <c r="D113" s="253">
        <v>45443</v>
      </c>
      <c r="E113" s="160">
        <f t="shared" si="5"/>
        <v>15.5</v>
      </c>
      <c r="F113" s="254">
        <v>45467</v>
      </c>
      <c r="G113" s="160">
        <f t="shared" si="6"/>
        <v>24</v>
      </c>
      <c r="H113" s="71">
        <v>45468</v>
      </c>
      <c r="I113" s="155">
        <f t="shared" si="7"/>
        <v>1</v>
      </c>
      <c r="J113" s="72">
        <f t="shared" si="8"/>
        <v>40.5</v>
      </c>
      <c r="K113" s="256">
        <v>2192596.0500000003</v>
      </c>
      <c r="L113" s="72">
        <f t="shared" si="4"/>
        <v>88800140.025000006</v>
      </c>
    </row>
    <row r="114" spans="1:12">
      <c r="A114" s="36">
        <v>106</v>
      </c>
      <c r="B114" s="66" t="s">
        <v>660</v>
      </c>
      <c r="C114" s="253">
        <v>45413</v>
      </c>
      <c r="D114" s="253">
        <v>45443</v>
      </c>
      <c r="E114" s="160">
        <f t="shared" si="5"/>
        <v>15.5</v>
      </c>
      <c r="F114" s="254">
        <v>45464</v>
      </c>
      <c r="G114" s="160">
        <f t="shared" si="6"/>
        <v>21</v>
      </c>
      <c r="H114" s="71">
        <v>45468</v>
      </c>
      <c r="I114" s="155">
        <f t="shared" si="7"/>
        <v>4</v>
      </c>
      <c r="J114" s="72">
        <f t="shared" si="8"/>
        <v>40.5</v>
      </c>
      <c r="K114" s="256">
        <v>33450.950000000004</v>
      </c>
      <c r="L114" s="72">
        <f t="shared" si="4"/>
        <v>1354763.4750000001</v>
      </c>
    </row>
    <row r="115" spans="1:12">
      <c r="A115" s="36">
        <v>107</v>
      </c>
      <c r="B115" s="66" t="s">
        <v>661</v>
      </c>
      <c r="C115" s="253">
        <v>45413</v>
      </c>
      <c r="D115" s="253">
        <v>45443</v>
      </c>
      <c r="E115" s="160">
        <f t="shared" si="5"/>
        <v>15.5</v>
      </c>
      <c r="F115" s="254">
        <v>45455</v>
      </c>
      <c r="G115" s="160">
        <f t="shared" si="6"/>
        <v>12</v>
      </c>
      <c r="H115" s="71">
        <v>45467</v>
      </c>
      <c r="I115" s="155">
        <f t="shared" si="7"/>
        <v>12</v>
      </c>
      <c r="J115" s="72">
        <f t="shared" si="8"/>
        <v>39.5</v>
      </c>
      <c r="K115" s="256">
        <v>194809.27000000002</v>
      </c>
      <c r="L115" s="72">
        <f t="shared" si="4"/>
        <v>7694966.165000001</v>
      </c>
    </row>
    <row r="116" spans="1:12">
      <c r="A116" s="36">
        <v>108</v>
      </c>
      <c r="B116" s="66" t="s">
        <v>662</v>
      </c>
      <c r="C116" s="253">
        <v>45413</v>
      </c>
      <c r="D116" s="253">
        <v>45443</v>
      </c>
      <c r="E116" s="160">
        <f t="shared" si="5"/>
        <v>15.5</v>
      </c>
      <c r="F116" s="254">
        <v>45454</v>
      </c>
      <c r="G116" s="160">
        <f t="shared" si="6"/>
        <v>11</v>
      </c>
      <c r="H116" s="71">
        <v>45464</v>
      </c>
      <c r="I116" s="155">
        <f t="shared" si="7"/>
        <v>10</v>
      </c>
      <c r="J116" s="72">
        <f t="shared" si="8"/>
        <v>36.5</v>
      </c>
      <c r="K116" s="256">
        <v>1311816.77</v>
      </c>
      <c r="L116" s="72">
        <f t="shared" si="4"/>
        <v>47881312.105000004</v>
      </c>
    </row>
    <row r="117" spans="1:12">
      <c r="A117" s="36">
        <v>109</v>
      </c>
      <c r="B117" s="66" t="s">
        <v>663</v>
      </c>
      <c r="C117" s="253">
        <v>45413</v>
      </c>
      <c r="D117" s="253">
        <v>45443</v>
      </c>
      <c r="E117" s="160">
        <f t="shared" si="5"/>
        <v>15.5</v>
      </c>
      <c r="F117" s="254">
        <v>45455</v>
      </c>
      <c r="G117" s="160">
        <f t="shared" si="6"/>
        <v>12</v>
      </c>
      <c r="H117" s="71">
        <v>45463</v>
      </c>
      <c r="I117" s="155">
        <f t="shared" si="7"/>
        <v>8</v>
      </c>
      <c r="J117" s="72">
        <f t="shared" si="8"/>
        <v>35.5</v>
      </c>
      <c r="K117" s="256">
        <v>7181.18</v>
      </c>
      <c r="L117" s="72">
        <f t="shared" si="4"/>
        <v>254931.89</v>
      </c>
    </row>
    <row r="118" spans="1:12">
      <c r="A118" s="36">
        <v>110</v>
      </c>
      <c r="B118" s="66" t="s">
        <v>664</v>
      </c>
      <c r="C118" s="253">
        <v>45413</v>
      </c>
      <c r="D118" s="253">
        <v>45443</v>
      </c>
      <c r="E118" s="160">
        <f t="shared" si="5"/>
        <v>15.5</v>
      </c>
      <c r="F118" s="254">
        <v>45463</v>
      </c>
      <c r="G118" s="160">
        <f t="shared" si="6"/>
        <v>20</v>
      </c>
      <c r="H118" s="71">
        <v>45471</v>
      </c>
      <c r="I118" s="155">
        <f t="shared" si="7"/>
        <v>8</v>
      </c>
      <c r="J118" s="72">
        <f t="shared" si="8"/>
        <v>43.5</v>
      </c>
      <c r="K118" s="256">
        <v>230611.62000000005</v>
      </c>
      <c r="L118" s="72">
        <f t="shared" si="4"/>
        <v>10031605.470000003</v>
      </c>
    </row>
    <row r="119" spans="1:12">
      <c r="A119" s="36">
        <v>111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 ht="13.5" thickBot="1">
      <c r="A120" s="36">
        <v>112</v>
      </c>
      <c r="B120" s="35"/>
      <c r="C120" s="36"/>
      <c r="D120" s="36"/>
      <c r="E120" s="38"/>
      <c r="F120" s="35"/>
      <c r="G120" s="38"/>
      <c r="H120" s="35"/>
      <c r="I120" s="38"/>
      <c r="J120" s="38"/>
      <c r="K120" s="257">
        <f>ROUND(SUM(K8:K119),0)</f>
        <v>56193233</v>
      </c>
      <c r="L120" s="257">
        <f>ROUND(SUM(L8:L119),0)</f>
        <v>2218805304</v>
      </c>
    </row>
    <row r="121" spans="1:12" ht="13.5" thickTop="1">
      <c r="A121" s="36">
        <v>113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ht="13.5" thickBot="1">
      <c r="A122" s="36">
        <v>114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64">
        <f>ROUND(+L120/K120,2)</f>
        <v>39.49</v>
      </c>
    </row>
    <row r="123" spans="1:12" ht="15.75" thickTop="1">
      <c r="A123" s="5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37" t="s">
        <v>285</v>
      </c>
    </row>
    <row r="124" spans="1:12" ht="15">
      <c r="A124" s="99"/>
      <c r="B124" s="22"/>
      <c r="C124" s="22"/>
      <c r="D124" s="22"/>
      <c r="E124" s="46"/>
      <c r="F124" s="46"/>
      <c r="G124" s="46"/>
      <c r="H124" s="46"/>
      <c r="I124" s="46"/>
      <c r="J124" s="46"/>
      <c r="K124" s="46"/>
      <c r="L124" s="46"/>
    </row>
    <row r="125" spans="1:12" ht="15.7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5.7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5.7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5.75">
      <c r="A128"/>
      <c r="B128"/>
      <c r="C128"/>
      <c r="D128"/>
      <c r="E128"/>
      <c r="F128"/>
      <c r="G128"/>
      <c r="H128"/>
      <c r="I128"/>
      <c r="J128"/>
      <c r="K128"/>
      <c r="L128"/>
    </row>
  </sheetData>
  <mergeCells count="3">
    <mergeCell ref="A1:K1"/>
    <mergeCell ref="A3:K3"/>
    <mergeCell ref="A2:K2"/>
  </mergeCells>
  <phoneticPr fontId="9" type="noConversion"/>
  <printOptions horizontalCentered="1"/>
  <pageMargins left="0.95" right="0.5" top="1" bottom="0.5" header="0.5" footer="0.25"/>
  <pageSetup scale="70"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tabColor theme="6" tint="0.39997558519241921"/>
    <pageSetUpPr fitToPage="1"/>
  </sheetPr>
  <dimension ref="A1:Q68"/>
  <sheetViews>
    <sheetView showGridLines="0" zoomScaleNormal="100" zoomScaleSheetLayoutView="80" workbookViewId="0">
      <selection sqref="A1:I1"/>
    </sheetView>
  </sheetViews>
  <sheetFormatPr defaultColWidth="9.625" defaultRowHeight="15.75"/>
  <cols>
    <col min="1" max="1" width="4" style="7" bestFit="1" customWidth="1"/>
    <col min="2" max="2" width="12.125" style="7" customWidth="1"/>
    <col min="3" max="3" width="15.375" style="7" customWidth="1"/>
    <col min="4" max="4" width="10.625" style="7" customWidth="1"/>
    <col min="5" max="5" width="6.25" style="7" bestFit="1" customWidth="1"/>
    <col min="6" max="6" width="6.375" style="7" bestFit="1" customWidth="1"/>
    <col min="7" max="7" width="11.75" style="7" customWidth="1"/>
    <col min="8" max="8" width="7.25" style="7" bestFit="1" customWidth="1"/>
    <col min="9" max="9" width="10.5" style="7" bestFit="1" customWidth="1"/>
    <col min="10" max="10" width="11.75" style="7" customWidth="1"/>
    <col min="11" max="11" width="9.75" style="7" bestFit="1" customWidth="1"/>
    <col min="12" max="13" width="11.75" style="7" bestFit="1" customWidth="1"/>
    <col min="14" max="14" width="9" customWidth="1"/>
    <col min="15" max="16384" width="9.625" style="7"/>
  </cols>
  <sheetData>
    <row r="1" spans="1:12">
      <c r="A1" s="280" t="str">
        <f>CONCATENATE(COMPANY,"-",JURISDICTION)</f>
        <v>Atmos Energy Corporation-Kentucky</v>
      </c>
      <c r="B1" s="280"/>
      <c r="C1" s="280"/>
      <c r="D1" s="280"/>
      <c r="E1" s="280"/>
      <c r="F1" s="280"/>
      <c r="G1" s="280"/>
      <c r="H1" s="280"/>
      <c r="I1" s="280"/>
      <c r="J1" s="119" t="s">
        <v>175</v>
      </c>
      <c r="K1" s="196"/>
    </row>
    <row r="2" spans="1:12">
      <c r="A2" s="281" t="s">
        <v>4</v>
      </c>
      <c r="B2" s="281"/>
      <c r="C2" s="281"/>
      <c r="D2" s="281"/>
      <c r="E2" s="281"/>
      <c r="F2" s="281"/>
      <c r="G2" s="281"/>
      <c r="H2" s="281"/>
      <c r="I2" s="281"/>
      <c r="J2" s="175"/>
      <c r="K2" s="197"/>
    </row>
    <row r="3" spans="1:12">
      <c r="A3" s="281" t="str">
        <f>'ATO-CWC2'!A4</f>
        <v>For Base Period Ended  June 30, 2024</v>
      </c>
      <c r="B3" s="281"/>
      <c r="C3" s="281"/>
      <c r="D3" s="281"/>
      <c r="E3" s="281"/>
      <c r="F3" s="281"/>
      <c r="G3" s="281"/>
      <c r="H3" s="281"/>
      <c r="I3" s="281"/>
      <c r="J3" s="175"/>
      <c r="K3" s="197"/>
    </row>
    <row r="4" spans="1:12">
      <c r="A4" s="30"/>
      <c r="B4" s="30"/>
      <c r="C4" s="192"/>
      <c r="D4" s="192"/>
      <c r="E4" s="192"/>
      <c r="F4" s="192"/>
      <c r="G4" s="192"/>
      <c r="H4" s="192"/>
      <c r="I4" s="192"/>
      <c r="J4" s="192"/>
    </row>
    <row r="5" spans="1:1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2">
      <c r="A6" s="35"/>
      <c r="B6" s="35"/>
      <c r="C6" s="36" t="s">
        <v>127</v>
      </c>
      <c r="D6" s="36" t="s">
        <v>128</v>
      </c>
      <c r="E6" s="36"/>
      <c r="F6" s="35"/>
      <c r="G6" s="35"/>
      <c r="H6" s="35"/>
      <c r="I6" s="35"/>
      <c r="J6" s="35"/>
    </row>
    <row r="7" spans="1:12">
      <c r="A7" s="35"/>
      <c r="B7" s="35"/>
      <c r="C7" s="36" t="s">
        <v>129</v>
      </c>
      <c r="D7" s="36" t="s">
        <v>130</v>
      </c>
      <c r="E7" s="36"/>
      <c r="F7" s="35"/>
      <c r="G7" s="35"/>
      <c r="H7" s="35"/>
      <c r="I7" s="36" t="s">
        <v>131</v>
      </c>
      <c r="J7" s="35"/>
      <c r="K7" s="198"/>
    </row>
    <row r="8" spans="1:12">
      <c r="A8" s="36" t="s">
        <v>111</v>
      </c>
      <c r="B8" s="36"/>
      <c r="C8" s="36" t="s">
        <v>132</v>
      </c>
      <c r="D8" s="36" t="s">
        <v>133</v>
      </c>
      <c r="E8" s="36" t="s">
        <v>134</v>
      </c>
      <c r="F8" s="36" t="s">
        <v>135</v>
      </c>
      <c r="G8" s="36" t="s">
        <v>136</v>
      </c>
      <c r="H8" s="36" t="s">
        <v>110</v>
      </c>
      <c r="I8" s="36" t="s">
        <v>67</v>
      </c>
      <c r="J8" s="35"/>
      <c r="K8" s="158"/>
      <c r="L8" s="158"/>
    </row>
    <row r="9" spans="1:12">
      <c r="A9" s="193" t="s">
        <v>113</v>
      </c>
      <c r="B9" s="193"/>
      <c r="C9" s="193" t="s">
        <v>137</v>
      </c>
      <c r="D9" s="193" t="s">
        <v>137</v>
      </c>
      <c r="E9" s="193" t="s">
        <v>116</v>
      </c>
      <c r="F9" s="193" t="s">
        <v>126</v>
      </c>
      <c r="G9" s="193" t="s">
        <v>138</v>
      </c>
      <c r="H9" s="193" t="s">
        <v>126</v>
      </c>
      <c r="I9" s="193" t="s">
        <v>126</v>
      </c>
      <c r="J9" s="35"/>
      <c r="K9" s="158"/>
      <c r="L9" s="158"/>
    </row>
    <row r="10" spans="1:12">
      <c r="A10" s="35"/>
      <c r="B10" s="35"/>
      <c r="C10" s="36" t="s">
        <v>118</v>
      </c>
      <c r="D10" s="36" t="s">
        <v>119</v>
      </c>
      <c r="E10" s="36" t="s">
        <v>120</v>
      </c>
      <c r="F10" s="36" t="s">
        <v>121</v>
      </c>
      <c r="G10" s="36" t="s">
        <v>122</v>
      </c>
      <c r="H10" s="36" t="s">
        <v>123</v>
      </c>
      <c r="I10" s="36" t="s">
        <v>124</v>
      </c>
      <c r="J10" s="36"/>
      <c r="K10" s="158"/>
      <c r="L10" s="198"/>
    </row>
    <row r="11" spans="1:12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2">
      <c r="A12" s="36">
        <v>1</v>
      </c>
      <c r="B12" s="35"/>
      <c r="C12" s="68">
        <v>45101</v>
      </c>
      <c r="D12" s="235">
        <f>C12+13</f>
        <v>45114</v>
      </c>
      <c r="E12" s="38">
        <f>D12-C12+1</f>
        <v>14</v>
      </c>
      <c r="F12" s="38">
        <f t="shared" ref="F12" si="0">E12/2</f>
        <v>7</v>
      </c>
      <c r="G12" s="235">
        <f>D12+7</f>
        <v>45121</v>
      </c>
      <c r="H12" s="38">
        <f t="shared" ref="H12:H36" si="1">G12-D12</f>
        <v>7</v>
      </c>
      <c r="I12" s="38">
        <f t="shared" ref="I12:I36" si="2">F12+H12</f>
        <v>14</v>
      </c>
      <c r="J12" s="35"/>
      <c r="K12" s="27"/>
      <c r="L12" s="28"/>
    </row>
    <row r="13" spans="1:12">
      <c r="A13" s="36">
        <v>2</v>
      </c>
      <c r="B13" s="35"/>
      <c r="C13" s="236">
        <f>D12+1</f>
        <v>45115</v>
      </c>
      <c r="D13" s="235">
        <f t="shared" ref="D13:D37" si="3">C13+13</f>
        <v>45128</v>
      </c>
      <c r="E13" s="38">
        <f t="shared" ref="E13:E25" si="4">D13-C13+1</f>
        <v>14</v>
      </c>
      <c r="F13" s="38">
        <f t="shared" ref="F13:F26" si="5">E13/2</f>
        <v>7</v>
      </c>
      <c r="G13" s="235">
        <f t="shared" ref="G13:G37" si="6">D13+7</f>
        <v>45135</v>
      </c>
      <c r="H13" s="38">
        <f t="shared" si="1"/>
        <v>7</v>
      </c>
      <c r="I13" s="38">
        <f t="shared" si="2"/>
        <v>14</v>
      </c>
      <c r="J13" s="35"/>
      <c r="K13" s="27"/>
      <c r="L13" s="28"/>
    </row>
    <row r="14" spans="1:12">
      <c r="A14" s="36">
        <f>A13+1</f>
        <v>3</v>
      </c>
      <c r="B14" s="35"/>
      <c r="C14" s="236">
        <f t="shared" ref="C14:C37" si="7">D13+1</f>
        <v>45129</v>
      </c>
      <c r="D14" s="235">
        <f t="shared" si="3"/>
        <v>45142</v>
      </c>
      <c r="E14" s="38">
        <f t="shared" si="4"/>
        <v>14</v>
      </c>
      <c r="F14" s="38">
        <f t="shared" si="5"/>
        <v>7</v>
      </c>
      <c r="G14" s="235">
        <f t="shared" si="6"/>
        <v>45149</v>
      </c>
      <c r="H14" s="38">
        <f t="shared" si="1"/>
        <v>7</v>
      </c>
      <c r="I14" s="38">
        <f t="shared" si="2"/>
        <v>14</v>
      </c>
      <c r="J14" s="35"/>
      <c r="K14" s="27"/>
      <c r="L14" s="28"/>
    </row>
    <row r="15" spans="1:12">
      <c r="A15" s="36">
        <f t="shared" ref="A15:A36" si="8">A14+1</f>
        <v>4</v>
      </c>
      <c r="B15" s="35"/>
      <c r="C15" s="236">
        <f t="shared" si="7"/>
        <v>45143</v>
      </c>
      <c r="D15" s="235">
        <f t="shared" si="3"/>
        <v>45156</v>
      </c>
      <c r="E15" s="38">
        <f t="shared" si="4"/>
        <v>14</v>
      </c>
      <c r="F15" s="38">
        <f t="shared" si="5"/>
        <v>7</v>
      </c>
      <c r="G15" s="235">
        <f t="shared" si="6"/>
        <v>45163</v>
      </c>
      <c r="H15" s="38">
        <f t="shared" si="1"/>
        <v>7</v>
      </c>
      <c r="I15" s="38">
        <f t="shared" si="2"/>
        <v>14</v>
      </c>
      <c r="J15" s="35"/>
      <c r="K15" s="27"/>
      <c r="L15" s="28"/>
    </row>
    <row r="16" spans="1:12">
      <c r="A16" s="36">
        <f t="shared" si="8"/>
        <v>5</v>
      </c>
      <c r="B16" s="35"/>
      <c r="C16" s="236">
        <f t="shared" si="7"/>
        <v>45157</v>
      </c>
      <c r="D16" s="235">
        <f t="shared" si="3"/>
        <v>45170</v>
      </c>
      <c r="E16" s="38">
        <f t="shared" si="4"/>
        <v>14</v>
      </c>
      <c r="F16" s="38">
        <f t="shared" si="5"/>
        <v>7</v>
      </c>
      <c r="G16" s="235">
        <f t="shared" si="6"/>
        <v>45177</v>
      </c>
      <c r="H16" s="38">
        <f t="shared" si="1"/>
        <v>7</v>
      </c>
      <c r="I16" s="38">
        <f t="shared" si="2"/>
        <v>14</v>
      </c>
      <c r="J16" s="35"/>
      <c r="K16" s="27"/>
      <c r="L16" s="28"/>
    </row>
    <row r="17" spans="1:15">
      <c r="A17" s="36">
        <f t="shared" si="8"/>
        <v>6</v>
      </c>
      <c r="B17" s="35"/>
      <c r="C17" s="236">
        <f t="shared" si="7"/>
        <v>45171</v>
      </c>
      <c r="D17" s="235">
        <f t="shared" si="3"/>
        <v>45184</v>
      </c>
      <c r="E17" s="38">
        <f t="shared" si="4"/>
        <v>14</v>
      </c>
      <c r="F17" s="38">
        <f t="shared" si="5"/>
        <v>7</v>
      </c>
      <c r="G17" s="235">
        <f t="shared" si="6"/>
        <v>45191</v>
      </c>
      <c r="H17" s="38">
        <f t="shared" si="1"/>
        <v>7</v>
      </c>
      <c r="I17" s="38">
        <f t="shared" si="2"/>
        <v>14</v>
      </c>
      <c r="J17" s="35"/>
      <c r="K17" s="27"/>
      <c r="L17" s="28"/>
    </row>
    <row r="18" spans="1:15" ht="14.25">
      <c r="A18" s="36">
        <f t="shared" si="8"/>
        <v>7</v>
      </c>
      <c r="B18" s="35"/>
      <c r="C18" s="236">
        <f t="shared" si="7"/>
        <v>45185</v>
      </c>
      <c r="D18" s="235">
        <f t="shared" si="3"/>
        <v>45198</v>
      </c>
      <c r="E18" s="38">
        <f t="shared" si="4"/>
        <v>14</v>
      </c>
      <c r="F18" s="38">
        <f t="shared" si="5"/>
        <v>7</v>
      </c>
      <c r="G18" s="235">
        <f t="shared" si="6"/>
        <v>45205</v>
      </c>
      <c r="H18" s="38">
        <f t="shared" si="1"/>
        <v>7</v>
      </c>
      <c r="I18" s="38">
        <f t="shared" si="2"/>
        <v>14</v>
      </c>
      <c r="J18" s="35"/>
      <c r="K18" s="26"/>
      <c r="L18" s="26"/>
      <c r="M18" s="22"/>
      <c r="N18" s="29"/>
      <c r="O18" s="26"/>
    </row>
    <row r="19" spans="1:15">
      <c r="A19" s="36">
        <f t="shared" si="8"/>
        <v>8</v>
      </c>
      <c r="B19" s="35"/>
      <c r="C19" s="236">
        <f t="shared" si="7"/>
        <v>45199</v>
      </c>
      <c r="D19" s="235">
        <f t="shared" si="3"/>
        <v>45212</v>
      </c>
      <c r="E19" s="38">
        <f t="shared" si="4"/>
        <v>14</v>
      </c>
      <c r="F19" s="38">
        <f t="shared" si="5"/>
        <v>7</v>
      </c>
      <c r="G19" s="235">
        <f t="shared" si="6"/>
        <v>45219</v>
      </c>
      <c r="H19" s="38">
        <f t="shared" si="1"/>
        <v>7</v>
      </c>
      <c r="I19" s="38">
        <f t="shared" si="2"/>
        <v>14</v>
      </c>
      <c r="J19" s="35"/>
      <c r="K19" s="27"/>
      <c r="L19" s="28"/>
    </row>
    <row r="20" spans="1:15">
      <c r="A20" s="36">
        <f t="shared" si="8"/>
        <v>9</v>
      </c>
      <c r="B20" s="35"/>
      <c r="C20" s="236">
        <f t="shared" si="7"/>
        <v>45213</v>
      </c>
      <c r="D20" s="235">
        <f t="shared" si="3"/>
        <v>45226</v>
      </c>
      <c r="E20" s="38">
        <f t="shared" si="4"/>
        <v>14</v>
      </c>
      <c r="F20" s="38">
        <f t="shared" si="5"/>
        <v>7</v>
      </c>
      <c r="G20" s="235">
        <f t="shared" si="6"/>
        <v>45233</v>
      </c>
      <c r="H20" s="38">
        <f t="shared" si="1"/>
        <v>7</v>
      </c>
      <c r="I20" s="38">
        <f t="shared" si="2"/>
        <v>14</v>
      </c>
      <c r="J20" s="35"/>
      <c r="K20" s="27"/>
      <c r="L20" s="28"/>
    </row>
    <row r="21" spans="1:15">
      <c r="A21" s="36">
        <f t="shared" si="8"/>
        <v>10</v>
      </c>
      <c r="B21" s="35"/>
      <c r="C21" s="236">
        <f t="shared" si="7"/>
        <v>45227</v>
      </c>
      <c r="D21" s="235">
        <f t="shared" si="3"/>
        <v>45240</v>
      </c>
      <c r="E21" s="38">
        <f t="shared" si="4"/>
        <v>14</v>
      </c>
      <c r="F21" s="38">
        <f t="shared" si="5"/>
        <v>7</v>
      </c>
      <c r="G21" s="235">
        <f t="shared" si="6"/>
        <v>45247</v>
      </c>
      <c r="H21" s="38">
        <f t="shared" si="1"/>
        <v>7</v>
      </c>
      <c r="I21" s="38">
        <f t="shared" si="2"/>
        <v>14</v>
      </c>
      <c r="J21" s="35"/>
      <c r="K21" s="27"/>
      <c r="L21" s="28"/>
    </row>
    <row r="22" spans="1:15">
      <c r="A22" s="36">
        <f t="shared" si="8"/>
        <v>11</v>
      </c>
      <c r="B22" s="35"/>
      <c r="C22" s="236">
        <f t="shared" si="7"/>
        <v>45241</v>
      </c>
      <c r="D22" s="235">
        <f t="shared" si="3"/>
        <v>45254</v>
      </c>
      <c r="E22" s="38">
        <f t="shared" si="4"/>
        <v>14</v>
      </c>
      <c r="F22" s="38">
        <f t="shared" si="5"/>
        <v>7</v>
      </c>
      <c r="G22" s="235">
        <f t="shared" si="6"/>
        <v>45261</v>
      </c>
      <c r="H22" s="38">
        <f t="shared" si="1"/>
        <v>7</v>
      </c>
      <c r="I22" s="38">
        <f t="shared" si="2"/>
        <v>14</v>
      </c>
      <c r="J22" s="35"/>
      <c r="K22" s="27"/>
      <c r="L22" s="28"/>
      <c r="N22" s="199"/>
    </row>
    <row r="23" spans="1:15">
      <c r="A23" s="36">
        <f t="shared" si="8"/>
        <v>12</v>
      </c>
      <c r="B23" s="35"/>
      <c r="C23" s="236">
        <f t="shared" si="7"/>
        <v>45255</v>
      </c>
      <c r="D23" s="235">
        <f t="shared" si="3"/>
        <v>45268</v>
      </c>
      <c r="E23" s="38">
        <f t="shared" si="4"/>
        <v>14</v>
      </c>
      <c r="F23" s="38">
        <f t="shared" si="5"/>
        <v>7</v>
      </c>
      <c r="G23" s="235">
        <f t="shared" si="6"/>
        <v>45275</v>
      </c>
      <c r="H23" s="38">
        <f t="shared" si="1"/>
        <v>7</v>
      </c>
      <c r="I23" s="38">
        <f t="shared" si="2"/>
        <v>14</v>
      </c>
      <c r="J23" s="35"/>
      <c r="K23" s="27"/>
      <c r="L23" s="28"/>
    </row>
    <row r="24" spans="1:15">
      <c r="A24" s="36">
        <f t="shared" si="8"/>
        <v>13</v>
      </c>
      <c r="B24" s="35"/>
      <c r="C24" s="236">
        <f t="shared" si="7"/>
        <v>45269</v>
      </c>
      <c r="D24" s="235">
        <f t="shared" si="3"/>
        <v>45282</v>
      </c>
      <c r="E24" s="38">
        <f t="shared" si="4"/>
        <v>14</v>
      </c>
      <c r="F24" s="38">
        <f t="shared" si="5"/>
        <v>7</v>
      </c>
      <c r="G24" s="235">
        <f t="shared" si="6"/>
        <v>45289</v>
      </c>
      <c r="H24" s="38">
        <f t="shared" si="1"/>
        <v>7</v>
      </c>
      <c r="I24" s="38">
        <f t="shared" si="2"/>
        <v>14</v>
      </c>
      <c r="J24" s="35"/>
      <c r="K24" s="27"/>
      <c r="L24" s="28"/>
    </row>
    <row r="25" spans="1:15">
      <c r="A25" s="36">
        <f t="shared" si="8"/>
        <v>14</v>
      </c>
      <c r="B25" s="35"/>
      <c r="C25" s="236">
        <f t="shared" si="7"/>
        <v>45283</v>
      </c>
      <c r="D25" s="235">
        <f t="shared" si="3"/>
        <v>45296</v>
      </c>
      <c r="E25" s="38">
        <f t="shared" si="4"/>
        <v>14</v>
      </c>
      <c r="F25" s="38">
        <f t="shared" si="5"/>
        <v>7</v>
      </c>
      <c r="G25" s="235">
        <f t="shared" si="6"/>
        <v>45303</v>
      </c>
      <c r="H25" s="38">
        <f t="shared" si="1"/>
        <v>7</v>
      </c>
      <c r="I25" s="38">
        <f t="shared" si="2"/>
        <v>14</v>
      </c>
      <c r="J25" s="35"/>
      <c r="K25" s="27"/>
      <c r="L25" s="28"/>
    </row>
    <row r="26" spans="1:15">
      <c r="A26" s="36">
        <f t="shared" si="8"/>
        <v>15</v>
      </c>
      <c r="B26" s="35"/>
      <c r="C26" s="236">
        <f t="shared" si="7"/>
        <v>45297</v>
      </c>
      <c r="D26" s="235">
        <f t="shared" si="3"/>
        <v>45310</v>
      </c>
      <c r="E26" s="38">
        <f t="shared" ref="E26" si="9">D26-C26+1</f>
        <v>14</v>
      </c>
      <c r="F26" s="38">
        <f t="shared" si="5"/>
        <v>7</v>
      </c>
      <c r="G26" s="235">
        <f t="shared" si="6"/>
        <v>45317</v>
      </c>
      <c r="H26" s="38">
        <f t="shared" si="1"/>
        <v>7</v>
      </c>
      <c r="I26" s="38">
        <f t="shared" si="2"/>
        <v>14</v>
      </c>
      <c r="J26" s="35"/>
      <c r="K26" s="27"/>
      <c r="L26" s="28"/>
    </row>
    <row r="27" spans="1:15">
      <c r="A27" s="36">
        <f t="shared" si="8"/>
        <v>16</v>
      </c>
      <c r="B27" s="35"/>
      <c r="C27" s="236">
        <f t="shared" si="7"/>
        <v>45311</v>
      </c>
      <c r="D27" s="235">
        <f t="shared" si="3"/>
        <v>45324</v>
      </c>
      <c r="E27" s="38">
        <f t="shared" ref="E27:E37" si="10">D27-C27+1</f>
        <v>14</v>
      </c>
      <c r="F27" s="38">
        <f t="shared" ref="F27:F37" si="11">E27/2</f>
        <v>7</v>
      </c>
      <c r="G27" s="235">
        <f t="shared" si="6"/>
        <v>45331</v>
      </c>
      <c r="H27" s="38">
        <f t="shared" si="1"/>
        <v>7</v>
      </c>
      <c r="I27" s="38">
        <f t="shared" si="2"/>
        <v>14</v>
      </c>
      <c r="J27" s="35"/>
      <c r="K27" s="27"/>
      <c r="L27" s="28"/>
    </row>
    <row r="28" spans="1:15">
      <c r="A28" s="36">
        <f t="shared" si="8"/>
        <v>17</v>
      </c>
      <c r="B28" s="35"/>
      <c r="C28" s="236">
        <f t="shared" si="7"/>
        <v>45325</v>
      </c>
      <c r="D28" s="235">
        <f t="shared" si="3"/>
        <v>45338</v>
      </c>
      <c r="E28" s="38">
        <f t="shared" si="10"/>
        <v>14</v>
      </c>
      <c r="F28" s="38">
        <f t="shared" si="11"/>
        <v>7</v>
      </c>
      <c r="G28" s="235">
        <f t="shared" si="6"/>
        <v>45345</v>
      </c>
      <c r="H28" s="38">
        <f t="shared" si="1"/>
        <v>7</v>
      </c>
      <c r="I28" s="38">
        <f t="shared" si="2"/>
        <v>14</v>
      </c>
      <c r="J28" s="35"/>
      <c r="K28" s="27"/>
      <c r="L28" s="28"/>
    </row>
    <row r="29" spans="1:15">
      <c r="A29" s="36">
        <f t="shared" si="8"/>
        <v>18</v>
      </c>
      <c r="B29" s="35"/>
      <c r="C29" s="236">
        <f t="shared" si="7"/>
        <v>45339</v>
      </c>
      <c r="D29" s="235">
        <f t="shared" si="3"/>
        <v>45352</v>
      </c>
      <c r="E29" s="38">
        <f t="shared" si="10"/>
        <v>14</v>
      </c>
      <c r="F29" s="38">
        <f t="shared" si="11"/>
        <v>7</v>
      </c>
      <c r="G29" s="235">
        <f t="shared" si="6"/>
        <v>45359</v>
      </c>
      <c r="H29" s="38">
        <f t="shared" si="1"/>
        <v>7</v>
      </c>
      <c r="I29" s="38">
        <f t="shared" si="2"/>
        <v>14</v>
      </c>
      <c r="J29" s="35"/>
      <c r="K29" s="27"/>
      <c r="L29" s="28"/>
    </row>
    <row r="30" spans="1:15">
      <c r="A30" s="36">
        <f t="shared" si="8"/>
        <v>19</v>
      </c>
      <c r="B30" s="35"/>
      <c r="C30" s="236">
        <f t="shared" si="7"/>
        <v>45353</v>
      </c>
      <c r="D30" s="235">
        <f t="shared" si="3"/>
        <v>45366</v>
      </c>
      <c r="E30" s="38">
        <f t="shared" si="10"/>
        <v>14</v>
      </c>
      <c r="F30" s="38">
        <f t="shared" si="11"/>
        <v>7</v>
      </c>
      <c r="G30" s="235">
        <f t="shared" si="6"/>
        <v>45373</v>
      </c>
      <c r="H30" s="38">
        <f t="shared" si="1"/>
        <v>7</v>
      </c>
      <c r="I30" s="38">
        <f t="shared" si="2"/>
        <v>14</v>
      </c>
      <c r="J30" s="35"/>
      <c r="K30" s="27"/>
      <c r="L30" s="28"/>
    </row>
    <row r="31" spans="1:15">
      <c r="A31" s="36">
        <f t="shared" si="8"/>
        <v>20</v>
      </c>
      <c r="B31" s="35"/>
      <c r="C31" s="236">
        <f t="shared" si="7"/>
        <v>45367</v>
      </c>
      <c r="D31" s="235">
        <f t="shared" si="3"/>
        <v>45380</v>
      </c>
      <c r="E31" s="38">
        <f t="shared" si="10"/>
        <v>14</v>
      </c>
      <c r="F31" s="38">
        <f t="shared" si="11"/>
        <v>7</v>
      </c>
      <c r="G31" s="235">
        <f t="shared" si="6"/>
        <v>45387</v>
      </c>
      <c r="H31" s="38">
        <f t="shared" si="1"/>
        <v>7</v>
      </c>
      <c r="I31" s="38">
        <f t="shared" si="2"/>
        <v>14</v>
      </c>
      <c r="J31" s="35"/>
      <c r="K31" s="27"/>
      <c r="L31" s="28"/>
    </row>
    <row r="32" spans="1:15">
      <c r="A32" s="36">
        <f t="shared" si="8"/>
        <v>21</v>
      </c>
      <c r="B32" s="35"/>
      <c r="C32" s="236">
        <f t="shared" si="7"/>
        <v>45381</v>
      </c>
      <c r="D32" s="235">
        <f t="shared" si="3"/>
        <v>45394</v>
      </c>
      <c r="E32" s="38">
        <f t="shared" si="10"/>
        <v>14</v>
      </c>
      <c r="F32" s="38">
        <f t="shared" si="11"/>
        <v>7</v>
      </c>
      <c r="G32" s="235">
        <f t="shared" si="6"/>
        <v>45401</v>
      </c>
      <c r="H32" s="38">
        <f t="shared" si="1"/>
        <v>7</v>
      </c>
      <c r="I32" s="38">
        <f t="shared" si="2"/>
        <v>14</v>
      </c>
      <c r="J32" s="35"/>
      <c r="K32" s="27"/>
      <c r="L32" s="28"/>
    </row>
    <row r="33" spans="1:15">
      <c r="A33" s="36">
        <f t="shared" si="8"/>
        <v>22</v>
      </c>
      <c r="B33" s="35"/>
      <c r="C33" s="236">
        <f t="shared" si="7"/>
        <v>45395</v>
      </c>
      <c r="D33" s="235">
        <f t="shared" si="3"/>
        <v>45408</v>
      </c>
      <c r="E33" s="38">
        <f t="shared" si="10"/>
        <v>14</v>
      </c>
      <c r="F33" s="38">
        <f t="shared" si="11"/>
        <v>7</v>
      </c>
      <c r="G33" s="235">
        <f t="shared" si="6"/>
        <v>45415</v>
      </c>
      <c r="H33" s="38">
        <f t="shared" si="1"/>
        <v>7</v>
      </c>
      <c r="I33" s="38">
        <f t="shared" si="2"/>
        <v>14</v>
      </c>
      <c r="J33" s="35"/>
      <c r="K33" s="27"/>
      <c r="L33" s="28"/>
    </row>
    <row r="34" spans="1:15">
      <c r="A34" s="36">
        <f t="shared" si="8"/>
        <v>23</v>
      </c>
      <c r="B34" s="35"/>
      <c r="C34" s="236">
        <f t="shared" si="7"/>
        <v>45409</v>
      </c>
      <c r="D34" s="235">
        <f t="shared" si="3"/>
        <v>45422</v>
      </c>
      <c r="E34" s="38">
        <f t="shared" si="10"/>
        <v>14</v>
      </c>
      <c r="F34" s="38">
        <f t="shared" si="11"/>
        <v>7</v>
      </c>
      <c r="G34" s="235">
        <f t="shared" si="6"/>
        <v>45429</v>
      </c>
      <c r="H34" s="38">
        <f t="shared" si="1"/>
        <v>7</v>
      </c>
      <c r="I34" s="38">
        <f t="shared" si="2"/>
        <v>14</v>
      </c>
      <c r="J34" s="35"/>
      <c r="K34" s="27"/>
      <c r="L34" s="28"/>
    </row>
    <row r="35" spans="1:15">
      <c r="A35" s="36">
        <f t="shared" si="8"/>
        <v>24</v>
      </c>
      <c r="B35" s="35"/>
      <c r="C35" s="236">
        <f t="shared" si="7"/>
        <v>45423</v>
      </c>
      <c r="D35" s="235">
        <f t="shared" si="3"/>
        <v>45436</v>
      </c>
      <c r="E35" s="38">
        <f t="shared" si="10"/>
        <v>14</v>
      </c>
      <c r="F35" s="38">
        <f t="shared" si="11"/>
        <v>7</v>
      </c>
      <c r="G35" s="235">
        <f t="shared" si="6"/>
        <v>45443</v>
      </c>
      <c r="H35" s="38">
        <f t="shared" si="1"/>
        <v>7</v>
      </c>
      <c r="I35" s="38">
        <f t="shared" si="2"/>
        <v>14</v>
      </c>
      <c r="J35" s="35"/>
      <c r="K35" s="27"/>
      <c r="L35" s="28"/>
    </row>
    <row r="36" spans="1:15">
      <c r="A36" s="36">
        <f t="shared" si="8"/>
        <v>25</v>
      </c>
      <c r="B36" s="35"/>
      <c r="C36" s="236">
        <f t="shared" si="7"/>
        <v>45437</v>
      </c>
      <c r="D36" s="235">
        <f t="shared" si="3"/>
        <v>45450</v>
      </c>
      <c r="E36" s="38">
        <f t="shared" si="10"/>
        <v>14</v>
      </c>
      <c r="F36" s="38">
        <f t="shared" si="11"/>
        <v>7</v>
      </c>
      <c r="G36" s="235">
        <f t="shared" si="6"/>
        <v>45457</v>
      </c>
      <c r="H36" s="38">
        <f t="shared" si="1"/>
        <v>7</v>
      </c>
      <c r="I36" s="38">
        <f t="shared" si="2"/>
        <v>14</v>
      </c>
      <c r="J36" s="35"/>
      <c r="K36" s="27"/>
      <c r="L36" s="28"/>
    </row>
    <row r="37" spans="1:15">
      <c r="A37" s="36">
        <v>26</v>
      </c>
      <c r="B37" s="35"/>
      <c r="C37" s="236">
        <f t="shared" si="7"/>
        <v>45451</v>
      </c>
      <c r="D37" s="235">
        <f t="shared" si="3"/>
        <v>45464</v>
      </c>
      <c r="E37" s="38">
        <f t="shared" si="10"/>
        <v>14</v>
      </c>
      <c r="F37" s="38">
        <f t="shared" si="11"/>
        <v>7</v>
      </c>
      <c r="G37" s="235">
        <f t="shared" si="6"/>
        <v>45471</v>
      </c>
      <c r="H37" s="38">
        <f t="shared" ref="H37" si="12">G37-D37</f>
        <v>7</v>
      </c>
      <c r="I37" s="38">
        <f t="shared" ref="I37" si="13">F37+H37</f>
        <v>14</v>
      </c>
      <c r="J37" s="35"/>
      <c r="K37" s="27"/>
      <c r="L37" s="28"/>
    </row>
    <row r="38" spans="1:15">
      <c r="A38" s="36">
        <v>27</v>
      </c>
      <c r="B38" s="35"/>
      <c r="C38" s="236"/>
      <c r="D38" s="235"/>
      <c r="E38" s="38"/>
      <c r="F38" s="38"/>
      <c r="G38" s="235"/>
      <c r="H38" s="121"/>
      <c r="I38" s="121"/>
      <c r="J38" s="35"/>
      <c r="K38" s="27"/>
      <c r="L38" s="28"/>
    </row>
    <row r="39" spans="1:15">
      <c r="A39" s="36">
        <v>28</v>
      </c>
      <c r="B39" s="35"/>
      <c r="C39" s="122"/>
      <c r="D39" s="122"/>
      <c r="E39" s="35"/>
      <c r="F39" s="96"/>
      <c r="G39" s="122"/>
      <c r="H39" s="35"/>
      <c r="I39" s="35"/>
      <c r="J39" s="35"/>
      <c r="K39" s="27"/>
    </row>
    <row r="40" spans="1:15">
      <c r="A40" s="36">
        <v>29</v>
      </c>
      <c r="B40" s="35"/>
      <c r="C40" s="35"/>
      <c r="D40" s="35"/>
      <c r="E40" s="35"/>
      <c r="F40" s="35"/>
      <c r="G40" s="37" t="s">
        <v>79</v>
      </c>
      <c r="H40" s="35"/>
      <c r="I40" s="38">
        <f>ROUND(AVERAGEA(I12:I36),1)</f>
        <v>14</v>
      </c>
      <c r="J40" s="35"/>
      <c r="K40" s="200"/>
      <c r="L40" s="201"/>
    </row>
    <row r="41" spans="1:15">
      <c r="A41" s="36">
        <v>30</v>
      </c>
      <c r="B41" s="35"/>
      <c r="C41" s="35"/>
      <c r="D41" s="35"/>
      <c r="E41" s="35"/>
      <c r="F41" s="35"/>
      <c r="G41" s="37"/>
      <c r="H41" s="35"/>
      <c r="I41" s="96"/>
      <c r="J41" s="35"/>
      <c r="K41" s="200"/>
      <c r="L41" s="201"/>
    </row>
    <row r="42" spans="1:15">
      <c r="A42" s="36">
        <v>31</v>
      </c>
      <c r="B42" s="202" t="s">
        <v>103</v>
      </c>
      <c r="C42" s="35"/>
      <c r="D42" s="35"/>
      <c r="E42" s="35"/>
      <c r="F42" s="35"/>
      <c r="G42" s="37"/>
      <c r="H42" s="35"/>
      <c r="I42" s="96"/>
      <c r="J42" s="35"/>
      <c r="K42" s="200"/>
      <c r="L42" s="201"/>
    </row>
    <row r="43" spans="1:15">
      <c r="A43" s="36">
        <v>32</v>
      </c>
      <c r="B43" s="35"/>
      <c r="C43" s="36" t="s">
        <v>136</v>
      </c>
      <c r="D43" s="35"/>
      <c r="E43" s="35"/>
      <c r="F43" s="35"/>
      <c r="G43" s="36" t="s">
        <v>65</v>
      </c>
      <c r="H43" s="35"/>
      <c r="I43" s="36" t="s">
        <v>64</v>
      </c>
      <c r="J43" s="35"/>
      <c r="K43" s="200"/>
      <c r="L43" s="201"/>
    </row>
    <row r="44" spans="1:15">
      <c r="A44" s="36">
        <v>33</v>
      </c>
      <c r="B44" s="35"/>
      <c r="C44" s="193" t="s">
        <v>138</v>
      </c>
      <c r="D44" s="35"/>
      <c r="E44" s="203" t="s">
        <v>144</v>
      </c>
      <c r="F44" s="35"/>
      <c r="G44" s="126" t="s">
        <v>66</v>
      </c>
      <c r="H44" s="35"/>
      <c r="I44" s="126" t="s">
        <v>80</v>
      </c>
      <c r="J44" s="35"/>
      <c r="K44" s="200"/>
      <c r="L44" s="8"/>
    </row>
    <row r="45" spans="1:15">
      <c r="A45" s="36">
        <v>34</v>
      </c>
      <c r="B45" s="35"/>
      <c r="C45" s="36" t="s">
        <v>122</v>
      </c>
      <c r="D45" s="35"/>
      <c r="E45" s="36" t="s">
        <v>46</v>
      </c>
      <c r="F45" s="35"/>
      <c r="G45" s="36" t="s">
        <v>68</v>
      </c>
      <c r="H45" s="35"/>
      <c r="I45" s="35"/>
      <c r="J45" s="35"/>
      <c r="K45" s="200"/>
    </row>
    <row r="46" spans="1:15">
      <c r="A46" s="36">
        <v>35</v>
      </c>
      <c r="B46" s="119" t="s">
        <v>58</v>
      </c>
      <c r="C46" s="272" t="s">
        <v>278</v>
      </c>
      <c r="D46" s="35"/>
      <c r="E46" s="37">
        <v>0</v>
      </c>
      <c r="F46" s="35"/>
      <c r="G46" s="273">
        <v>0</v>
      </c>
      <c r="H46" s="35"/>
      <c r="I46" s="38">
        <f>ROUND(G46*E46,2)</f>
        <v>0</v>
      </c>
      <c r="J46" s="37"/>
      <c r="K46"/>
      <c r="L46"/>
      <c r="M46"/>
    </row>
    <row r="47" spans="1:15" ht="12.75">
      <c r="A47" s="36">
        <v>36</v>
      </c>
      <c r="B47" s="119" t="s">
        <v>59</v>
      </c>
      <c r="C47" s="272" t="s">
        <v>279</v>
      </c>
      <c r="D47" s="35"/>
      <c r="E47" s="37">
        <v>3</v>
      </c>
      <c r="F47" s="35"/>
      <c r="G47" s="273">
        <v>0</v>
      </c>
      <c r="H47" s="35"/>
      <c r="I47" s="38">
        <f t="shared" ref="I47:I51" si="14">ROUND(G47*E47,2)</f>
        <v>0</v>
      </c>
      <c r="J47" s="206"/>
      <c r="K47" s="204"/>
      <c r="M47" s="158"/>
      <c r="N47" s="207"/>
      <c r="O47" s="8"/>
    </row>
    <row r="48" spans="1:15" ht="12.75">
      <c r="A48" s="36">
        <v>37</v>
      </c>
      <c r="B48" s="119" t="s">
        <v>60</v>
      </c>
      <c r="C48" s="272" t="s">
        <v>280</v>
      </c>
      <c r="D48" s="35"/>
      <c r="E48" s="37">
        <v>4</v>
      </c>
      <c r="F48" s="35"/>
      <c r="G48" s="273">
        <v>0.28570000000000001</v>
      </c>
      <c r="H48" s="35"/>
      <c r="I48" s="38">
        <f t="shared" si="14"/>
        <v>1.1399999999999999</v>
      </c>
      <c r="J48" s="37"/>
      <c r="K48" s="204"/>
      <c r="N48" s="207"/>
      <c r="O48" s="8"/>
    </row>
    <row r="49" spans="1:17" ht="12.75">
      <c r="A49" s="36">
        <v>38</v>
      </c>
      <c r="B49" s="119" t="s">
        <v>61</v>
      </c>
      <c r="C49" s="272" t="s">
        <v>281</v>
      </c>
      <c r="D49" s="35"/>
      <c r="E49" s="37">
        <v>7</v>
      </c>
      <c r="F49" s="35"/>
      <c r="G49" s="273">
        <v>0.28570000000000001</v>
      </c>
      <c r="H49" s="35"/>
      <c r="I49" s="38">
        <f t="shared" si="14"/>
        <v>2</v>
      </c>
      <c r="J49" s="37"/>
      <c r="K49" s="204"/>
      <c r="N49" s="207"/>
      <c r="O49" s="8"/>
    </row>
    <row r="50" spans="1:17" ht="12.75">
      <c r="A50" s="36">
        <v>39</v>
      </c>
      <c r="B50" s="119" t="s">
        <v>62</v>
      </c>
      <c r="C50" s="272" t="s">
        <v>282</v>
      </c>
      <c r="D50" s="35"/>
      <c r="E50" s="37">
        <v>14</v>
      </c>
      <c r="F50" s="35"/>
      <c r="G50" s="273">
        <v>0.28570000000000001</v>
      </c>
      <c r="H50" s="35"/>
      <c r="I50" s="38">
        <f t="shared" si="14"/>
        <v>4</v>
      </c>
      <c r="J50" s="37"/>
      <c r="K50" s="204"/>
      <c r="L50" s="8"/>
      <c r="M50" s="8"/>
      <c r="N50" s="207"/>
      <c r="O50" s="8"/>
    </row>
    <row r="51" spans="1:17" ht="12.75">
      <c r="A51" s="36">
        <v>40</v>
      </c>
      <c r="B51" s="119" t="s">
        <v>63</v>
      </c>
      <c r="C51" s="272" t="s">
        <v>283</v>
      </c>
      <c r="D51" s="35"/>
      <c r="E51" s="37">
        <v>21</v>
      </c>
      <c r="F51" s="35"/>
      <c r="G51" s="273">
        <v>0.1429</v>
      </c>
      <c r="H51" s="35"/>
      <c r="I51" s="121">
        <f t="shared" si="14"/>
        <v>3</v>
      </c>
      <c r="J51" s="37"/>
      <c r="K51" s="204"/>
      <c r="L51" s="8"/>
      <c r="M51" s="8"/>
      <c r="N51" s="207"/>
      <c r="O51" s="8"/>
    </row>
    <row r="52" spans="1:17" ht="12.75">
      <c r="A52" s="36">
        <v>41</v>
      </c>
      <c r="B52" s="35"/>
      <c r="C52" s="35"/>
      <c r="D52" s="35"/>
      <c r="E52" s="96"/>
      <c r="F52" s="35"/>
      <c r="G52" s="35"/>
      <c r="H52" s="35"/>
      <c r="I52" s="35"/>
      <c r="J52" s="37"/>
      <c r="K52" s="200"/>
      <c r="L52" s="8"/>
      <c r="M52" s="8"/>
      <c r="N52" s="8"/>
    </row>
    <row r="53" spans="1:17" ht="12.75">
      <c r="A53" s="36">
        <v>42</v>
      </c>
      <c r="B53" s="35" t="s">
        <v>106</v>
      </c>
      <c r="C53" s="35"/>
      <c r="D53" s="35"/>
      <c r="E53" s="35"/>
      <c r="F53" s="35"/>
      <c r="G53" s="37"/>
      <c r="H53" s="35"/>
      <c r="I53" s="38">
        <f>ROUND(SUM(I46:I52),2)</f>
        <v>10.14</v>
      </c>
      <c r="J53" s="37"/>
      <c r="K53" s="200"/>
      <c r="L53" s="8"/>
      <c r="M53" s="8"/>
      <c r="N53" s="8"/>
    </row>
    <row r="54" spans="1:17" ht="12.75">
      <c r="A54" s="36">
        <v>43</v>
      </c>
      <c r="B54" s="35"/>
      <c r="C54" s="35"/>
      <c r="D54" s="35"/>
      <c r="E54" s="35"/>
      <c r="F54" s="35"/>
      <c r="G54" s="35"/>
      <c r="H54" s="35"/>
      <c r="I54" s="120"/>
      <c r="J54" s="37"/>
      <c r="K54" s="200"/>
      <c r="L54" s="8"/>
      <c r="M54" s="8"/>
      <c r="N54" s="8"/>
    </row>
    <row r="55" spans="1:17">
      <c r="A55" s="36">
        <v>44</v>
      </c>
      <c r="B55" s="35" t="s">
        <v>287</v>
      </c>
      <c r="C55" s="35"/>
      <c r="D55" s="35"/>
      <c r="E55" s="35"/>
      <c r="F55" s="35"/>
      <c r="G55" s="37"/>
      <c r="H55" s="35"/>
      <c r="I55" s="200">
        <v>3.2099999999999997E-2</v>
      </c>
      <c r="J55"/>
      <c r="K55"/>
      <c r="L55"/>
      <c r="M55"/>
      <c r="O55"/>
      <c r="P55"/>
      <c r="Q55"/>
    </row>
    <row r="56" spans="1:17" ht="12.75">
      <c r="A56" s="36">
        <v>45</v>
      </c>
      <c r="B56" s="35"/>
      <c r="C56" s="35"/>
      <c r="D56" s="35"/>
      <c r="E56" s="35"/>
      <c r="F56" s="35"/>
      <c r="G56" s="37"/>
      <c r="H56" s="35"/>
      <c r="I56" s="96"/>
      <c r="J56" s="35"/>
      <c r="N56" s="7"/>
    </row>
    <row r="57" spans="1:17">
      <c r="A57" s="36">
        <v>46</v>
      </c>
      <c r="B57" s="35" t="s">
        <v>104</v>
      </c>
      <c r="C57" s="35"/>
      <c r="D57" s="35"/>
      <c r="E57" s="35"/>
      <c r="F57" s="35"/>
      <c r="G57" s="35"/>
      <c r="H57" s="35"/>
      <c r="I57" s="121">
        <f>ROUND(I53*I55,2)</f>
        <v>0.33</v>
      </c>
    </row>
    <row r="58" spans="1:17" ht="12.75">
      <c r="A58" s="36">
        <v>47</v>
      </c>
      <c r="B58" s="35"/>
      <c r="C58" s="35"/>
      <c r="D58" s="35"/>
      <c r="E58" s="35"/>
      <c r="F58" s="35"/>
      <c r="G58" s="35"/>
      <c r="H58" s="35"/>
      <c r="I58" s="120"/>
      <c r="J58" s="35"/>
      <c r="N58" s="200"/>
    </row>
    <row r="59" spans="1:17" ht="13.5" thickBot="1">
      <c r="A59" s="36">
        <v>48</v>
      </c>
      <c r="B59" s="35" t="s">
        <v>105</v>
      </c>
      <c r="C59" s="35"/>
      <c r="D59" s="35"/>
      <c r="E59" s="35"/>
      <c r="F59" s="35"/>
      <c r="G59" s="37"/>
      <c r="H59" s="35"/>
      <c r="I59" s="64">
        <f>I57+I40</f>
        <v>14.33</v>
      </c>
      <c r="J59" s="35"/>
      <c r="K59" s="200"/>
      <c r="N59" s="8"/>
    </row>
    <row r="60" spans="1:17" ht="16.5" thickTop="1">
      <c r="A60" s="36">
        <v>49</v>
      </c>
      <c r="B60" s="35"/>
      <c r="C60" s="35"/>
      <c r="D60" s="35"/>
      <c r="E60" s="35"/>
      <c r="F60" s="35"/>
      <c r="G60" s="37"/>
      <c r="H60" s="35"/>
      <c r="I60" s="96"/>
      <c r="J60" s="35"/>
      <c r="K60" s="200"/>
      <c r="L60" s="201"/>
    </row>
    <row r="61" spans="1:17">
      <c r="A61" s="36">
        <v>50</v>
      </c>
      <c r="B61" s="35" t="s">
        <v>666</v>
      </c>
      <c r="C61" s="35"/>
      <c r="D61" s="35"/>
      <c r="E61" s="35"/>
      <c r="F61" s="35"/>
      <c r="G61" s="35"/>
      <c r="H61" s="35"/>
      <c r="I61" s="96"/>
      <c r="J61" s="35"/>
      <c r="K61" s="200"/>
      <c r="L61" s="200"/>
    </row>
    <row r="62" spans="1:17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8"/>
      <c r="L62" s="201"/>
    </row>
    <row r="63" spans="1:17">
      <c r="A63" s="35"/>
      <c r="B63" s="35"/>
      <c r="C63" s="35"/>
      <c r="D63" s="35"/>
      <c r="E63" s="36"/>
      <c r="F63" s="35"/>
      <c r="G63" s="35"/>
      <c r="H63" s="35"/>
      <c r="I63" s="35"/>
      <c r="J63" s="35"/>
      <c r="K63" s="158"/>
    </row>
    <row r="64" spans="1:17">
      <c r="A64" s="35"/>
      <c r="B64" s="35"/>
      <c r="C64" s="35"/>
      <c r="D64" s="35"/>
      <c r="E64" s="36"/>
      <c r="F64" s="35"/>
      <c r="G64" s="35"/>
      <c r="H64" s="35"/>
      <c r="I64" s="35"/>
      <c r="J64" s="35"/>
    </row>
    <row r="65" spans="1:1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158"/>
    </row>
    <row r="66" spans="1:14" ht="15">
      <c r="A66" s="35"/>
      <c r="B66" s="35"/>
      <c r="C66" s="35"/>
      <c r="D66" s="35"/>
      <c r="E66" s="35"/>
      <c r="F66" s="35"/>
      <c r="G66" s="205"/>
      <c r="H66" s="35"/>
      <c r="I66" s="35"/>
      <c r="J66" s="46"/>
      <c r="N66" s="7"/>
    </row>
    <row r="67" spans="1:14" ht="12.75">
      <c r="F67" s="158" t="s">
        <v>2</v>
      </c>
      <c r="G67" s="200"/>
      <c r="J67" s="158"/>
      <c r="N67" s="7"/>
    </row>
    <row r="68" spans="1:14" ht="12.75">
      <c r="J68" s="158"/>
      <c r="N68" s="7"/>
    </row>
  </sheetData>
  <mergeCells count="3">
    <mergeCell ref="A1:I1"/>
    <mergeCell ref="A2:I2"/>
    <mergeCell ref="A3:I3"/>
  </mergeCells>
  <phoneticPr fontId="9" type="noConversion"/>
  <printOptions horizontalCentered="1"/>
  <pageMargins left="0.95" right="0.5" top="1" bottom="0.5" header="0.5" footer="0.5"/>
  <pageSetup scale="52" orientation="landscape" horizontalDpi="300" verticalDpi="300" r:id="rId1"/>
  <headerFooter alignWithMargins="0">
    <oddHeader>&amp;R&amp;"+,Regular"ATO-1 Lead Lag Study</oddHeader>
    <oddFooter>&amp;R&amp;"Arial,Regular"&amp;10Page &amp;P of &amp;N</oddFooter>
  </headerFooter>
  <rowBreaks count="1" manualBreakCount="1">
    <brk id="4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I5595"/>
  <sheetViews>
    <sheetView zoomScaleNormal="100" zoomScaleSheetLayoutView="100" workbookViewId="0"/>
  </sheetViews>
  <sheetFormatPr defaultColWidth="9" defaultRowHeight="12.75"/>
  <cols>
    <col min="1" max="1" width="4.875" style="7" bestFit="1" customWidth="1"/>
    <col min="2" max="2" width="2.75" style="7" customWidth="1"/>
    <col min="3" max="3" width="40" style="7" customWidth="1"/>
    <col min="4" max="4" width="8.5" style="19" customWidth="1"/>
    <col min="5" max="5" width="11.625" style="8" customWidth="1"/>
    <col min="6" max="6" width="6" style="7" customWidth="1"/>
    <col min="7" max="16384" width="9" style="7"/>
  </cols>
  <sheetData>
    <row r="1" spans="1:9" ht="14.25">
      <c r="A1" s="22"/>
      <c r="B1" s="22"/>
      <c r="C1" s="22"/>
      <c r="D1" s="26"/>
      <c r="E1" s="24"/>
      <c r="F1" s="97" t="s">
        <v>176</v>
      </c>
    </row>
    <row r="2" spans="1:9" ht="15">
      <c r="A2" s="81" t="str">
        <f>CONCATENATE(COMPANY,"-",JURISDICTION)</f>
        <v>Atmos Energy Corporation-Kentucky</v>
      </c>
      <c r="B2" s="81"/>
      <c r="C2" s="82"/>
      <c r="D2" s="83"/>
      <c r="E2" s="84"/>
      <c r="F2" s="22"/>
    </row>
    <row r="3" spans="1:9" ht="15">
      <c r="A3" s="82" t="s">
        <v>5</v>
      </c>
      <c r="B3" s="82"/>
      <c r="C3" s="82"/>
      <c r="D3" s="83"/>
      <c r="E3" s="84"/>
      <c r="F3" s="82" t="s">
        <v>2</v>
      </c>
    </row>
    <row r="4" spans="1:9" ht="15">
      <c r="A4" s="282" t="str">
        <f>+'ATO-CWC2'!A4</f>
        <v>For Base Period Ended  June 30, 2024</v>
      </c>
      <c r="B4" s="282"/>
      <c r="C4" s="282"/>
      <c r="D4" s="282"/>
      <c r="E4" s="282"/>
      <c r="F4" s="82" t="s">
        <v>2</v>
      </c>
    </row>
    <row r="5" spans="1:9" ht="15">
      <c r="A5" s="82"/>
      <c r="B5" s="82"/>
      <c r="C5" s="82"/>
      <c r="D5" s="83"/>
      <c r="E5" s="84"/>
      <c r="F5" s="82" t="s">
        <v>2</v>
      </c>
    </row>
    <row r="6" spans="1:9" ht="14.25">
      <c r="A6" s="22"/>
      <c r="B6" s="22"/>
      <c r="C6" s="22"/>
      <c r="D6" s="26"/>
      <c r="E6" s="24"/>
      <c r="F6" s="22" t="s">
        <v>2</v>
      </c>
    </row>
    <row r="7" spans="1:9" ht="14.25">
      <c r="A7" s="22" t="s">
        <v>111</v>
      </c>
      <c r="B7" s="22"/>
      <c r="C7" s="22"/>
      <c r="D7" s="85"/>
      <c r="E7" s="86" t="s">
        <v>140</v>
      </c>
      <c r="F7" s="22"/>
    </row>
    <row r="8" spans="1:9" ht="14.25">
      <c r="A8" s="80" t="s">
        <v>113</v>
      </c>
      <c r="B8" s="80"/>
      <c r="C8" s="80" t="s">
        <v>114</v>
      </c>
      <c r="D8" s="87"/>
      <c r="E8" s="88" t="s">
        <v>146</v>
      </c>
      <c r="F8" s="22"/>
    </row>
    <row r="9" spans="1:9" ht="14.25">
      <c r="A9" s="22"/>
      <c r="B9" s="22"/>
      <c r="C9" s="89" t="s">
        <v>9</v>
      </c>
      <c r="D9" s="22"/>
      <c r="E9" s="90" t="s">
        <v>6</v>
      </c>
      <c r="F9" s="22"/>
    </row>
    <row r="10" spans="1:9" ht="14.25">
      <c r="A10" s="22"/>
      <c r="B10" s="22"/>
      <c r="C10" s="89"/>
      <c r="D10" s="90"/>
      <c r="E10" s="90"/>
      <c r="F10" s="22"/>
    </row>
    <row r="11" spans="1:9" ht="15.75">
      <c r="A11" s="86">
        <v>1</v>
      </c>
      <c r="B11" s="22"/>
      <c r="C11" s="79" t="s">
        <v>11</v>
      </c>
      <c r="D11" s="26"/>
      <c r="E11" s="24">
        <f>'WP 5-1'!R422</f>
        <v>23.738277166036223</v>
      </c>
      <c r="F11" s="22"/>
      <c r="G11"/>
      <c r="H11"/>
      <c r="I11"/>
    </row>
    <row r="12" spans="1:9" ht="14.25">
      <c r="A12" s="86">
        <f>+A11+1</f>
        <v>2</v>
      </c>
      <c r="B12" s="22"/>
      <c r="C12" s="91"/>
      <c r="D12" s="26"/>
      <c r="E12" s="22"/>
      <c r="F12" s="22"/>
    </row>
    <row r="13" spans="1:9" ht="14.25">
      <c r="A13" s="86">
        <f>+A12+1</f>
        <v>3</v>
      </c>
      <c r="B13" s="22"/>
      <c r="C13" s="91"/>
      <c r="D13" s="26"/>
      <c r="E13" s="25"/>
      <c r="F13" s="22"/>
    </row>
    <row r="14" spans="1:9" ht="14.25">
      <c r="A14" s="86">
        <v>4</v>
      </c>
      <c r="B14" s="22"/>
      <c r="C14" s="91"/>
      <c r="D14" s="26"/>
      <c r="E14" s="22"/>
      <c r="F14" s="22"/>
    </row>
    <row r="15" spans="1:9" ht="15" thickBot="1">
      <c r="A15" s="86">
        <v>5</v>
      </c>
      <c r="B15" s="22"/>
      <c r="C15" s="79" t="s">
        <v>31</v>
      </c>
      <c r="D15" s="26"/>
      <c r="E15" s="92">
        <f>+E11+E13</f>
        <v>23.738277166036223</v>
      </c>
      <c r="F15" s="22"/>
    </row>
    <row r="16" spans="1:9" ht="15" thickTop="1">
      <c r="A16" s="22"/>
      <c r="B16" s="22"/>
      <c r="C16" s="22"/>
      <c r="D16" s="26"/>
      <c r="E16" s="24"/>
      <c r="F16" s="22"/>
    </row>
    <row r="17" spans="1:6" ht="14.25">
      <c r="A17" s="22"/>
      <c r="B17" s="22"/>
      <c r="C17" s="22"/>
      <c r="D17" s="26"/>
      <c r="E17" s="24"/>
      <c r="F17" s="22"/>
    </row>
    <row r="18" spans="1:6" ht="14.25">
      <c r="A18" s="22"/>
      <c r="B18" s="22"/>
      <c r="C18" s="22"/>
      <c r="D18" s="26"/>
      <c r="E18" s="24"/>
      <c r="F18" s="22"/>
    </row>
    <row r="420" ht="16.5" customHeight="1"/>
    <row r="5591" spans="6:6">
      <c r="F5591" s="8"/>
    </row>
    <row r="5593" spans="6:6">
      <c r="F5593" s="8"/>
    </row>
    <row r="5595" spans="6:6">
      <c r="F5595" s="8"/>
    </row>
  </sheetData>
  <mergeCells count="1">
    <mergeCell ref="A4:E4"/>
  </mergeCells>
  <phoneticPr fontId="9" type="noConversion"/>
  <printOptions horizontalCentered="1"/>
  <pageMargins left="0.95" right="0.5" top="1" bottom="0.5" header="0.5" footer="0.5"/>
  <pageSetup orientation="landscape" horizontalDpi="300" r:id="rId1"/>
  <headerFooter alignWithMargins="0">
    <oddHeader>&amp;R&amp;"+,Regular"ATO-1 Lead Lag Study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DATA INPUT</vt:lpstr>
      <vt:lpstr>ATO-CWC1A</vt:lpstr>
      <vt:lpstr>ATO-CWC1B</vt:lpstr>
      <vt:lpstr>ATO-CWC2</vt:lpstr>
      <vt:lpstr>WP 2-1</vt:lpstr>
      <vt:lpstr>WP 2-2</vt:lpstr>
      <vt:lpstr>ATO-CWC3</vt:lpstr>
      <vt:lpstr>ATO-CWC4</vt:lpstr>
      <vt:lpstr>ATO-CWC5</vt:lpstr>
      <vt:lpstr>WP 5-1</vt:lpstr>
      <vt:lpstr>ATO-CWC6</vt:lpstr>
      <vt:lpstr>ATO-CWC7</vt:lpstr>
      <vt:lpstr>ATO-CWC8</vt:lpstr>
      <vt:lpstr>ATO-CWC9</vt:lpstr>
      <vt:lpstr>ATTR_YEAR</vt:lpstr>
      <vt:lpstr>COMPANY</vt:lpstr>
      <vt:lpstr>COMPOSITE</vt:lpstr>
      <vt:lpstr>FEDERAL</vt:lpstr>
      <vt:lpstr>HISTORIC_YEAR</vt:lpstr>
      <vt:lpstr>JURISDICTION</vt:lpstr>
      <vt:lpstr>'ATO-CWC1A'!Print_Area</vt:lpstr>
      <vt:lpstr>'ATO-CWC3'!Print_Area</vt:lpstr>
      <vt:lpstr>'ATO-CWC4'!Print_Area</vt:lpstr>
      <vt:lpstr>'ATO-CWC5'!Print_Area</vt:lpstr>
      <vt:lpstr>'ATO-CWC6'!Print_Area</vt:lpstr>
      <vt:lpstr>'ATO-CWC8'!Print_Area</vt:lpstr>
      <vt:lpstr>'ATO-CWC9'!Print_Area</vt:lpstr>
      <vt:lpstr>'DATA INPUT'!Print_Area</vt:lpstr>
      <vt:lpstr>'WP 2-1'!Print_Area</vt:lpstr>
      <vt:lpstr>'WP 5-1'!Print_Area</vt:lpstr>
      <vt:lpstr>Print_Area</vt:lpstr>
      <vt:lpstr>'ATO-CWC3'!Print_Titles</vt:lpstr>
      <vt:lpstr>'ATO-CWC4'!Print_Titles</vt:lpstr>
      <vt:lpstr>'ATO-CWC5'!Print_Titles</vt:lpstr>
      <vt:lpstr>'WP 2-1'!Print_Titles</vt:lpstr>
      <vt:lpstr>'WP 5-1'!Print_Titles</vt:lpstr>
      <vt:lpstr>testyear</vt:lpstr>
      <vt:lpstr>WP_2_1</vt:lpstr>
      <vt:lpstr>'ATO-CWC9'!WP_9_1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Atmos Energy Corporation</dc:creator>
  <cp:lastModifiedBy>Wilen, Eric</cp:lastModifiedBy>
  <cp:lastPrinted>2024-09-24T01:00:03Z</cp:lastPrinted>
  <dcterms:created xsi:type="dcterms:W3CDTF">1999-11-29T17:12:41Z</dcterms:created>
  <dcterms:modified xsi:type="dcterms:W3CDTF">2024-09-24T01:01:35Z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1581413802</vt:i4>
  </property>
  <property fmtid="{D5CDD505-2E9C-101B-9397-08002B2CF9AE}" pid="3" name="_EmailSubject">
    <vt:lpwstr>Tennessee Lead Lag Study.xls</vt:lpwstr>
  </property>
  <property fmtid="{D5CDD505-2E9C-101B-9397-08002B2CF9AE}" pid="4" name="_AuthorEmail">
    <vt:lpwstr>Linda.Cotten@atmosenergy.com</vt:lpwstr>
  </property>
  <property fmtid="{D5CDD505-2E9C-101B-9397-08002B2CF9AE}" pid="5" name="_AuthorEmailDisplayName">
    <vt:lpwstr>Cotten, Linda</vt:lpwstr>
  </property>
  <property fmtid="{D5CDD505-2E9C-101B-9397-08002B2CF9AE}" pid="6" name="_ReviewingToolsShownOnce">
    <vt:lpwstr/>
  </property>
</Properties>
</file>