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Staff Attachments\"/>
    </mc:Choice>
  </mc:AlternateContent>
  <xr:revisionPtr revIDLastSave="0" documentId="13_ncr:1_{27995C15-69D7-493B-B797-EF8BF15D98BC}" xr6:coauthVersionLast="47" xr6:coauthVersionMax="47" xr10:uidLastSave="{00000000-0000-0000-0000-000000000000}"/>
  <bookViews>
    <workbookView xWindow="-120" yWindow="-120" windowWidth="29040" windowHeight="15720" xr2:uid="{0C97F81F-4D99-4B40-A09E-0FF407BE0FE9}"/>
  </bookViews>
  <sheets>
    <sheet name="Test Year Monthly - (Current)" sheetId="2" r:id="rId1"/>
    <sheet name="Test Year Monthly - (Prop)" sheetId="1" r:id="rId2"/>
    <sheet name="Test Year Monthly - (Delta)" sheetId="3" r:id="rId3"/>
  </sheets>
  <definedNames>
    <definedName name="__123Graph_A" hidden="1">#REF!</definedName>
    <definedName name="__123Graph_B" hidden="1">#REF!</definedName>
    <definedName name="__123Graph_X" hidden="1">#REF!</definedName>
    <definedName name="_Dist_Bin" hidden="1">#REF!</definedName>
    <definedName name="_Dist_Values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Regression_Out" localSheetId="1" hidden="1">#REF!</definedName>
    <definedName name="_Regression_Out" hidden="1">#REF!</definedName>
    <definedName name="_Regression_Y" localSheetId="1" hidden="1">#REF!</definedName>
    <definedName name="_Regression_Y" hidden="1">#REF!</definedName>
    <definedName name="_xlnm.Print_Area" localSheetId="1">'Test Year Monthly - (Prop)'!$A$1:$P$104</definedName>
    <definedName name="_xlnm.Print_Titles" localSheetId="0">'Test Year Monthly - (Current)'!$1:$11</definedName>
    <definedName name="_xlnm.Print_Titles" localSheetId="2">'Test Year Monthly - (Delta)'!$1:$11</definedName>
    <definedName name="_xlnm.Print_Titles" localSheetId="1">'Test Year Monthly - (Prop)'!$1:$11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7" i="3" l="1"/>
  <c r="O97" i="3"/>
  <c r="N97" i="3"/>
  <c r="M97" i="3"/>
  <c r="L97" i="3"/>
  <c r="K97" i="3"/>
  <c r="J97" i="3"/>
  <c r="I97" i="3"/>
  <c r="H97" i="3"/>
  <c r="G97" i="3"/>
  <c r="F97" i="3"/>
  <c r="E97" i="3"/>
  <c r="D97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P61" i="3"/>
  <c r="O61" i="3"/>
  <c r="N61" i="3"/>
  <c r="M61" i="3"/>
  <c r="L61" i="3"/>
  <c r="L62" i="3" s="1"/>
  <c r="K61" i="3"/>
  <c r="K62" i="3" s="1"/>
  <c r="J61" i="3"/>
  <c r="I61" i="3"/>
  <c r="H61" i="3"/>
  <c r="H62" i="3" s="1"/>
  <c r="G61" i="3"/>
  <c r="G62" i="3" s="1"/>
  <c r="F61" i="3"/>
  <c r="F62" i="3" s="1"/>
  <c r="E61" i="3"/>
  <c r="E62" i="3" s="1"/>
  <c r="D61" i="3"/>
  <c r="D62" i="3" s="1"/>
  <c r="P53" i="3"/>
  <c r="O53" i="3"/>
  <c r="N53" i="3"/>
  <c r="M53" i="3"/>
  <c r="M54" i="3" s="1"/>
  <c r="L53" i="3"/>
  <c r="L54" i="3" s="1"/>
  <c r="K53" i="3"/>
  <c r="K54" i="3" s="1"/>
  <c r="J53" i="3"/>
  <c r="I53" i="3"/>
  <c r="I54" i="3" s="1"/>
  <c r="H53" i="3"/>
  <c r="H54" i="3" s="1"/>
  <c r="G53" i="3"/>
  <c r="F53" i="3"/>
  <c r="F54" i="3" s="1"/>
  <c r="E53" i="3"/>
  <c r="E54" i="3" s="1"/>
  <c r="D54" i="3"/>
  <c r="D53" i="3"/>
  <c r="P62" i="3"/>
  <c r="O62" i="3"/>
  <c r="N62" i="3"/>
  <c r="M62" i="3"/>
  <c r="J62" i="3"/>
  <c r="I62" i="3"/>
  <c r="O54" i="3"/>
  <c r="N54" i="3"/>
  <c r="G54" i="3"/>
  <c r="P54" i="3"/>
  <c r="J54" i="3"/>
  <c r="P46" i="3"/>
  <c r="O46" i="3"/>
  <c r="N46" i="3"/>
  <c r="M46" i="3"/>
  <c r="L46" i="3"/>
  <c r="H46" i="3"/>
  <c r="G46" i="3"/>
  <c r="F46" i="3"/>
  <c r="E46" i="3"/>
  <c r="D46" i="3"/>
  <c r="P45" i="3"/>
  <c r="O45" i="3"/>
  <c r="N45" i="3"/>
  <c r="M45" i="3"/>
  <c r="L45" i="3"/>
  <c r="K45" i="3"/>
  <c r="K46" i="3" s="1"/>
  <c r="J45" i="3"/>
  <c r="J46" i="3" s="1"/>
  <c r="I45" i="3"/>
  <c r="I46" i="3" s="1"/>
  <c r="H45" i="3"/>
  <c r="G45" i="3"/>
  <c r="F45" i="3"/>
  <c r="E45" i="3"/>
  <c r="D45" i="3"/>
  <c r="N37" i="3"/>
  <c r="M37" i="3"/>
  <c r="L37" i="3"/>
  <c r="G37" i="3"/>
  <c r="F37" i="3"/>
  <c r="E37" i="3"/>
  <c r="D37" i="3"/>
  <c r="P36" i="3"/>
  <c r="P37" i="3" s="1"/>
  <c r="O36" i="3"/>
  <c r="O37" i="3" s="1"/>
  <c r="N36" i="3"/>
  <c r="M36" i="3"/>
  <c r="L36" i="3"/>
  <c r="K36" i="3"/>
  <c r="K37" i="3" s="1"/>
  <c r="J36" i="3"/>
  <c r="J37" i="3" s="1"/>
  <c r="I36" i="3"/>
  <c r="I37" i="3" s="1"/>
  <c r="H36" i="3"/>
  <c r="H37" i="3" s="1"/>
  <c r="G36" i="3"/>
  <c r="F36" i="3"/>
  <c r="E36" i="3"/>
  <c r="D36" i="3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D18" i="1"/>
  <c r="D102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D45" i="2"/>
  <c r="D36" i="2"/>
  <c r="D27" i="2"/>
  <c r="D18" i="2"/>
  <c r="P45" i="2"/>
  <c r="O45" i="2"/>
  <c r="N45" i="2"/>
  <c r="M45" i="2"/>
  <c r="L45" i="2"/>
  <c r="K45" i="2"/>
  <c r="J45" i="2"/>
  <c r="I45" i="2"/>
  <c r="H45" i="2"/>
  <c r="G45" i="2"/>
  <c r="F45" i="2"/>
  <c r="E45" i="2"/>
  <c r="P36" i="2"/>
  <c r="O36" i="2"/>
  <c r="N36" i="2"/>
  <c r="M36" i="2"/>
  <c r="L36" i="2"/>
  <c r="K36" i="2"/>
  <c r="J36" i="2"/>
  <c r="I36" i="2"/>
  <c r="H36" i="2"/>
  <c r="G36" i="2"/>
  <c r="F36" i="2"/>
  <c r="E36" i="2"/>
  <c r="P27" i="2"/>
  <c r="O27" i="2"/>
  <c r="N27" i="2"/>
  <c r="M27" i="2"/>
  <c r="L27" i="2"/>
  <c r="K27" i="2"/>
  <c r="J27" i="2"/>
  <c r="I27" i="2"/>
  <c r="H27" i="2"/>
  <c r="G27" i="2"/>
  <c r="F27" i="2"/>
  <c r="E27" i="2"/>
  <c r="P18" i="2"/>
  <c r="O18" i="2"/>
  <c r="N18" i="2"/>
  <c r="M18" i="2"/>
  <c r="L18" i="2"/>
  <c r="K18" i="2"/>
  <c r="J18" i="2"/>
  <c r="I18" i="2"/>
  <c r="H18" i="2"/>
  <c r="G18" i="2"/>
  <c r="F18" i="2"/>
  <c r="E18" i="2"/>
  <c r="R94" i="3"/>
  <c r="R93" i="3"/>
  <c r="R84" i="3"/>
  <c r="R68" i="3"/>
  <c r="R78" i="3"/>
  <c r="R77" i="3"/>
  <c r="R76" i="3"/>
  <c r="R75" i="3"/>
  <c r="R43" i="3"/>
  <c r="R34" i="3"/>
  <c r="R25" i="3"/>
  <c r="R16" i="3"/>
  <c r="R15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O99" i="3"/>
  <c r="N99" i="3"/>
  <c r="M99" i="3"/>
  <c r="L99" i="3"/>
  <c r="K99" i="3"/>
  <c r="J99" i="3"/>
  <c r="I99" i="3"/>
  <c r="H99" i="3"/>
  <c r="G99" i="3"/>
  <c r="F99" i="3"/>
  <c r="E99" i="3"/>
  <c r="D99" i="3"/>
  <c r="Q94" i="3"/>
  <c r="D12" i="1"/>
  <c r="D12" i="3" s="1"/>
  <c r="D18" i="3" s="1"/>
  <c r="D19" i="3" s="1"/>
  <c r="D17" i="3"/>
  <c r="O96" i="3"/>
  <c r="N96" i="3"/>
  <c r="M96" i="3"/>
  <c r="L96" i="3"/>
  <c r="K96" i="3"/>
  <c r="J96" i="3"/>
  <c r="I96" i="3"/>
  <c r="H96" i="3"/>
  <c r="G96" i="3"/>
  <c r="F96" i="3"/>
  <c r="E96" i="3"/>
  <c r="D96" i="3"/>
  <c r="P95" i="3"/>
  <c r="P94" i="3"/>
  <c r="P96" i="3" s="1"/>
  <c r="P93" i="3"/>
  <c r="P92" i="3"/>
  <c r="P91" i="3"/>
  <c r="P90" i="3"/>
  <c r="O87" i="3"/>
  <c r="N87" i="3"/>
  <c r="M87" i="3"/>
  <c r="L87" i="3"/>
  <c r="K87" i="3"/>
  <c r="J87" i="3"/>
  <c r="I87" i="3"/>
  <c r="H87" i="3"/>
  <c r="G87" i="3"/>
  <c r="F87" i="3"/>
  <c r="E87" i="3"/>
  <c r="D87" i="3"/>
  <c r="P86" i="3"/>
  <c r="P85" i="3"/>
  <c r="P84" i="3"/>
  <c r="P83" i="3"/>
  <c r="P82" i="3"/>
  <c r="P81" i="3"/>
  <c r="O78" i="3"/>
  <c r="N78" i="3"/>
  <c r="M78" i="3"/>
  <c r="L78" i="3"/>
  <c r="K78" i="3"/>
  <c r="J78" i="3"/>
  <c r="I78" i="3"/>
  <c r="H78" i="3"/>
  <c r="G78" i="3"/>
  <c r="F78" i="3"/>
  <c r="E78" i="3"/>
  <c r="D78" i="3"/>
  <c r="P77" i="3"/>
  <c r="Q77" i="3" s="1"/>
  <c r="P76" i="3"/>
  <c r="Q76" i="3" s="1"/>
  <c r="P75" i="3"/>
  <c r="P78" i="3" s="1"/>
  <c r="O74" i="3"/>
  <c r="N74" i="3"/>
  <c r="M74" i="3"/>
  <c r="L74" i="3"/>
  <c r="K74" i="3"/>
  <c r="J74" i="3"/>
  <c r="I74" i="3"/>
  <c r="H74" i="3"/>
  <c r="G74" i="3"/>
  <c r="F74" i="3"/>
  <c r="E74" i="3"/>
  <c r="D74" i="3"/>
  <c r="P74" i="3" s="1"/>
  <c r="O72" i="3"/>
  <c r="N72" i="3"/>
  <c r="M72" i="3"/>
  <c r="L72" i="3"/>
  <c r="K72" i="3"/>
  <c r="J72" i="3"/>
  <c r="I72" i="3"/>
  <c r="H72" i="3"/>
  <c r="G72" i="3"/>
  <c r="P72" i="3" s="1"/>
  <c r="F72" i="3"/>
  <c r="E72" i="3"/>
  <c r="D72" i="3"/>
  <c r="P71" i="3"/>
  <c r="P70" i="3"/>
  <c r="P69" i="3"/>
  <c r="P68" i="3"/>
  <c r="P67" i="3"/>
  <c r="P66" i="3"/>
  <c r="P65" i="3"/>
  <c r="O60" i="3"/>
  <c r="N60" i="3"/>
  <c r="M60" i="3"/>
  <c r="L60" i="3"/>
  <c r="K60" i="3"/>
  <c r="J60" i="3"/>
  <c r="I60" i="3"/>
  <c r="H60" i="3"/>
  <c r="G60" i="3"/>
  <c r="F60" i="3"/>
  <c r="E60" i="3"/>
  <c r="D60" i="3"/>
  <c r="C59" i="3"/>
  <c r="P59" i="3" s="1"/>
  <c r="C58" i="3"/>
  <c r="P57" i="3"/>
  <c r="C57" i="3"/>
  <c r="O52" i="3"/>
  <c r="N52" i="3"/>
  <c r="M52" i="3"/>
  <c r="L52" i="3"/>
  <c r="K52" i="3"/>
  <c r="J52" i="3"/>
  <c r="I52" i="3"/>
  <c r="H52" i="3"/>
  <c r="G52" i="3"/>
  <c r="F52" i="3"/>
  <c r="E52" i="3"/>
  <c r="D52" i="3"/>
  <c r="P51" i="3"/>
  <c r="P50" i="3"/>
  <c r="P52" i="3" s="1"/>
  <c r="P49" i="3"/>
  <c r="O44" i="3"/>
  <c r="N44" i="3"/>
  <c r="M44" i="3"/>
  <c r="L44" i="3"/>
  <c r="K44" i="3"/>
  <c r="J44" i="3"/>
  <c r="I44" i="3"/>
  <c r="H44" i="3"/>
  <c r="G44" i="3"/>
  <c r="F44" i="3"/>
  <c r="E44" i="3"/>
  <c r="D44" i="3"/>
  <c r="P43" i="3"/>
  <c r="P42" i="3"/>
  <c r="C42" i="3"/>
  <c r="P41" i="3"/>
  <c r="P40" i="3"/>
  <c r="C40" i="3"/>
  <c r="O35" i="3"/>
  <c r="N35" i="3"/>
  <c r="M35" i="3"/>
  <c r="L35" i="3"/>
  <c r="K35" i="3"/>
  <c r="K107" i="3" s="1"/>
  <c r="J35" i="3"/>
  <c r="I35" i="3"/>
  <c r="H35" i="3"/>
  <c r="G35" i="3"/>
  <c r="F35" i="3"/>
  <c r="E35" i="3"/>
  <c r="D35" i="3"/>
  <c r="P34" i="3"/>
  <c r="C34" i="3"/>
  <c r="C43" i="3" s="1"/>
  <c r="P33" i="3"/>
  <c r="C33" i="3"/>
  <c r="P32" i="3"/>
  <c r="C32" i="3"/>
  <c r="P31" i="3"/>
  <c r="C31" i="3"/>
  <c r="O26" i="3"/>
  <c r="N26" i="3"/>
  <c r="N114" i="3" s="1"/>
  <c r="M26" i="3"/>
  <c r="L26" i="3"/>
  <c r="K26" i="3"/>
  <c r="J26" i="3"/>
  <c r="I26" i="3"/>
  <c r="H26" i="3"/>
  <c r="G26" i="3"/>
  <c r="F26" i="3"/>
  <c r="F114" i="3" s="1"/>
  <c r="E26" i="3"/>
  <c r="D26" i="3"/>
  <c r="P25" i="3"/>
  <c r="P24" i="3"/>
  <c r="P23" i="3"/>
  <c r="P22" i="3"/>
  <c r="O17" i="3"/>
  <c r="O107" i="3" s="1"/>
  <c r="N17" i="3"/>
  <c r="M17" i="3"/>
  <c r="M107" i="3" s="1"/>
  <c r="L17" i="3"/>
  <c r="K17" i="3"/>
  <c r="K114" i="3" s="1"/>
  <c r="J17" i="3"/>
  <c r="J107" i="3" s="1"/>
  <c r="I17" i="3"/>
  <c r="I107" i="3" s="1"/>
  <c r="H17" i="3"/>
  <c r="H114" i="3" s="1"/>
  <c r="G17" i="3"/>
  <c r="G107" i="3" s="1"/>
  <c r="F17" i="3"/>
  <c r="E17" i="3"/>
  <c r="E107" i="3" s="1"/>
  <c r="P16" i="3"/>
  <c r="P15" i="3"/>
  <c r="P14" i="3"/>
  <c r="P13" i="3"/>
  <c r="P100" i="2"/>
  <c r="P99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P95" i="2"/>
  <c r="Q95" i="2" s="1"/>
  <c r="P94" i="2"/>
  <c r="P93" i="2"/>
  <c r="Q93" i="2" s="1"/>
  <c r="P92" i="2"/>
  <c r="Q92" i="2" s="1"/>
  <c r="P91" i="2"/>
  <c r="Q91" i="2" s="1"/>
  <c r="Q90" i="2"/>
  <c r="P90" i="2"/>
  <c r="O89" i="2"/>
  <c r="N89" i="2"/>
  <c r="M89" i="2"/>
  <c r="L89" i="2"/>
  <c r="K89" i="2"/>
  <c r="J89" i="2"/>
  <c r="I89" i="2"/>
  <c r="H89" i="2"/>
  <c r="G89" i="2"/>
  <c r="F89" i="2"/>
  <c r="E89" i="2"/>
  <c r="D89" i="2"/>
  <c r="O87" i="2"/>
  <c r="N87" i="2"/>
  <c r="M87" i="2"/>
  <c r="L87" i="2"/>
  <c r="K87" i="2"/>
  <c r="J87" i="2"/>
  <c r="I87" i="2"/>
  <c r="H87" i="2"/>
  <c r="G87" i="2"/>
  <c r="F87" i="2"/>
  <c r="E87" i="2"/>
  <c r="D87" i="2"/>
  <c r="P86" i="2"/>
  <c r="Q86" i="2" s="1"/>
  <c r="P85" i="2"/>
  <c r="Q85" i="2" s="1"/>
  <c r="P84" i="2"/>
  <c r="Q84" i="2" s="1"/>
  <c r="Q83" i="2"/>
  <c r="P83" i="2"/>
  <c r="P82" i="2"/>
  <c r="Q82" i="2" s="1"/>
  <c r="P81" i="2"/>
  <c r="Q81" i="2" s="1"/>
  <c r="O80" i="2"/>
  <c r="N80" i="2"/>
  <c r="M80" i="2"/>
  <c r="L80" i="2"/>
  <c r="K80" i="2"/>
  <c r="J80" i="2"/>
  <c r="I80" i="2"/>
  <c r="H80" i="2"/>
  <c r="G80" i="2"/>
  <c r="F80" i="2"/>
  <c r="E80" i="2"/>
  <c r="D80" i="2"/>
  <c r="P80" i="2" s="1"/>
  <c r="O78" i="2"/>
  <c r="N78" i="2"/>
  <c r="M78" i="2"/>
  <c r="L78" i="2"/>
  <c r="K78" i="2"/>
  <c r="J78" i="2"/>
  <c r="I78" i="2"/>
  <c r="H78" i="2"/>
  <c r="G78" i="2"/>
  <c r="F78" i="2"/>
  <c r="E78" i="2"/>
  <c r="D78" i="2"/>
  <c r="P77" i="2"/>
  <c r="Q77" i="2" s="1"/>
  <c r="P76" i="2"/>
  <c r="Q76" i="2" s="1"/>
  <c r="Q75" i="2"/>
  <c r="Q78" i="2" s="1"/>
  <c r="P75" i="2"/>
  <c r="O74" i="2"/>
  <c r="N74" i="2"/>
  <c r="M74" i="2"/>
  <c r="L74" i="2"/>
  <c r="K74" i="2"/>
  <c r="J74" i="2"/>
  <c r="I74" i="2"/>
  <c r="H74" i="2"/>
  <c r="G74" i="2"/>
  <c r="F74" i="2"/>
  <c r="E74" i="2"/>
  <c r="D74" i="2"/>
  <c r="P74" i="2" s="1"/>
  <c r="O72" i="2"/>
  <c r="N72" i="2"/>
  <c r="M72" i="2"/>
  <c r="L72" i="2"/>
  <c r="K72" i="2"/>
  <c r="J72" i="2"/>
  <c r="I72" i="2"/>
  <c r="H72" i="2"/>
  <c r="P72" i="2" s="1"/>
  <c r="G72" i="2"/>
  <c r="F72" i="2"/>
  <c r="E72" i="2"/>
  <c r="D72" i="2"/>
  <c r="P71" i="2"/>
  <c r="Q71" i="2" s="1"/>
  <c r="P70" i="2"/>
  <c r="Q70" i="2" s="1"/>
  <c r="P69" i="2"/>
  <c r="Q69" i="2" s="1"/>
  <c r="Q68" i="2"/>
  <c r="P68" i="2"/>
  <c r="P67" i="2"/>
  <c r="Q67" i="2" s="1"/>
  <c r="P66" i="2"/>
  <c r="Q66" i="2" s="1"/>
  <c r="P65" i="2"/>
  <c r="Q65" i="2" s="1"/>
  <c r="O64" i="2"/>
  <c r="N64" i="2"/>
  <c r="M64" i="2"/>
  <c r="L64" i="2"/>
  <c r="K64" i="2"/>
  <c r="J64" i="2"/>
  <c r="I64" i="2"/>
  <c r="H64" i="2"/>
  <c r="G64" i="2"/>
  <c r="F64" i="2"/>
  <c r="E64" i="2"/>
  <c r="D64" i="2"/>
  <c r="O60" i="2"/>
  <c r="N60" i="2"/>
  <c r="M60" i="2"/>
  <c r="L60" i="2"/>
  <c r="K60" i="2"/>
  <c r="J60" i="2"/>
  <c r="I60" i="2"/>
  <c r="H60" i="2"/>
  <c r="G60" i="2"/>
  <c r="F60" i="2"/>
  <c r="E60" i="2"/>
  <c r="D60" i="2"/>
  <c r="C59" i="2"/>
  <c r="P59" i="2" s="1"/>
  <c r="Q59" i="2" s="1"/>
  <c r="C58" i="2"/>
  <c r="P58" i="2" s="1"/>
  <c r="P57" i="2"/>
  <c r="C57" i="2"/>
  <c r="H56" i="2" s="1"/>
  <c r="L56" i="2"/>
  <c r="D56" i="2"/>
  <c r="O52" i="2"/>
  <c r="N52" i="2"/>
  <c r="M52" i="2"/>
  <c r="L52" i="2"/>
  <c r="K52" i="2"/>
  <c r="J52" i="2"/>
  <c r="I52" i="2"/>
  <c r="H52" i="2"/>
  <c r="G52" i="2"/>
  <c r="F52" i="2"/>
  <c r="E52" i="2"/>
  <c r="D52" i="2"/>
  <c r="P51" i="2"/>
  <c r="Q51" i="2" s="1"/>
  <c r="P50" i="2"/>
  <c r="Q50" i="2" s="1"/>
  <c r="Q49" i="2"/>
  <c r="P49" i="2"/>
  <c r="O48" i="2"/>
  <c r="N48" i="2"/>
  <c r="M48" i="2"/>
  <c r="L48" i="2"/>
  <c r="K48" i="2"/>
  <c r="J48" i="2"/>
  <c r="I48" i="2"/>
  <c r="H48" i="2"/>
  <c r="G48" i="2"/>
  <c r="F48" i="2"/>
  <c r="E48" i="2"/>
  <c r="D48" i="2"/>
  <c r="O44" i="2"/>
  <c r="N44" i="2"/>
  <c r="N114" i="2" s="1"/>
  <c r="M44" i="2"/>
  <c r="L44" i="2"/>
  <c r="K44" i="2"/>
  <c r="J44" i="2"/>
  <c r="I44" i="2"/>
  <c r="H44" i="2"/>
  <c r="G44" i="2"/>
  <c r="F44" i="2"/>
  <c r="F114" i="2" s="1"/>
  <c r="E44" i="2"/>
  <c r="D44" i="2"/>
  <c r="P43" i="2"/>
  <c r="C43" i="2"/>
  <c r="P42" i="2"/>
  <c r="P44" i="2" s="1"/>
  <c r="P41" i="2"/>
  <c r="P40" i="2"/>
  <c r="O35" i="2"/>
  <c r="N35" i="2"/>
  <c r="M35" i="2"/>
  <c r="L35" i="2"/>
  <c r="K35" i="2"/>
  <c r="K107" i="2" s="1"/>
  <c r="J35" i="2"/>
  <c r="I35" i="2"/>
  <c r="H35" i="2"/>
  <c r="G35" i="2"/>
  <c r="F35" i="2"/>
  <c r="E35" i="2"/>
  <c r="D35" i="2"/>
  <c r="P34" i="2"/>
  <c r="C34" i="2"/>
  <c r="P33" i="2"/>
  <c r="C33" i="2"/>
  <c r="M30" i="2" s="1"/>
  <c r="P32" i="2"/>
  <c r="Q32" i="2" s="1"/>
  <c r="C32" i="2"/>
  <c r="P31" i="2"/>
  <c r="C31" i="2"/>
  <c r="O26" i="2"/>
  <c r="N26" i="2"/>
  <c r="M26" i="2"/>
  <c r="L26" i="2"/>
  <c r="K26" i="2"/>
  <c r="J26" i="2"/>
  <c r="I26" i="2"/>
  <c r="H26" i="2"/>
  <c r="G26" i="2"/>
  <c r="F26" i="2"/>
  <c r="E26" i="2"/>
  <c r="D26" i="2"/>
  <c r="P25" i="2"/>
  <c r="Q25" i="2" s="1"/>
  <c r="P24" i="2"/>
  <c r="Q24" i="2" s="1"/>
  <c r="Q23" i="2"/>
  <c r="P23" i="2"/>
  <c r="P22" i="2"/>
  <c r="Q22" i="2" s="1"/>
  <c r="O21" i="2"/>
  <c r="N21" i="2"/>
  <c r="M21" i="2"/>
  <c r="L21" i="2"/>
  <c r="K21" i="2"/>
  <c r="J21" i="2"/>
  <c r="I21" i="2"/>
  <c r="H21" i="2"/>
  <c r="G21" i="2"/>
  <c r="F21" i="2"/>
  <c r="E21" i="2"/>
  <c r="D21" i="2"/>
  <c r="P17" i="2"/>
  <c r="O17" i="2"/>
  <c r="O107" i="2" s="1"/>
  <c r="N17" i="2"/>
  <c r="M17" i="2"/>
  <c r="L17" i="2"/>
  <c r="K17" i="2"/>
  <c r="K114" i="2" s="1"/>
  <c r="J17" i="2"/>
  <c r="J107" i="2" s="1"/>
  <c r="I17" i="2"/>
  <c r="H17" i="2"/>
  <c r="G17" i="2"/>
  <c r="G107" i="2" s="1"/>
  <c r="F17" i="2"/>
  <c r="E17" i="2"/>
  <c r="D17" i="2"/>
  <c r="P16" i="2"/>
  <c r="Q16" i="2" s="1"/>
  <c r="P15" i="2"/>
  <c r="Q15" i="2" s="1"/>
  <c r="P14" i="2"/>
  <c r="Q14" i="2" s="1"/>
  <c r="Q13" i="2"/>
  <c r="P13" i="2"/>
  <c r="O12" i="2"/>
  <c r="N12" i="2"/>
  <c r="M12" i="2"/>
  <c r="L12" i="2"/>
  <c r="K12" i="2"/>
  <c r="J12" i="2"/>
  <c r="I12" i="2"/>
  <c r="H12" i="2"/>
  <c r="G12" i="2"/>
  <c r="F12" i="2"/>
  <c r="E12" i="2"/>
  <c r="D12" i="2"/>
  <c r="P44" i="3" l="1"/>
  <c r="P26" i="3"/>
  <c r="F103" i="2"/>
  <c r="H107" i="3"/>
  <c r="I114" i="3"/>
  <c r="P35" i="3"/>
  <c r="C41" i="3"/>
  <c r="J114" i="3"/>
  <c r="P17" i="3"/>
  <c r="Q75" i="3"/>
  <c r="Q78" i="3" s="1"/>
  <c r="P87" i="3"/>
  <c r="D114" i="3"/>
  <c r="L114" i="3"/>
  <c r="P58" i="3"/>
  <c r="D107" i="3"/>
  <c r="L107" i="3"/>
  <c r="E114" i="3"/>
  <c r="M114" i="3"/>
  <c r="F107" i="3"/>
  <c r="N107" i="3"/>
  <c r="G114" i="3"/>
  <c r="O114" i="3"/>
  <c r="P64" i="2"/>
  <c r="Q52" i="2"/>
  <c r="P48" i="2"/>
  <c r="Q57" i="2"/>
  <c r="I30" i="2"/>
  <c r="Q33" i="2"/>
  <c r="C42" i="2"/>
  <c r="L30" i="2"/>
  <c r="Q34" i="2"/>
  <c r="Q35" i="2" s="1"/>
  <c r="H30" i="2"/>
  <c r="Q43" i="2"/>
  <c r="Q31" i="2"/>
  <c r="D30" i="2"/>
  <c r="O30" i="2"/>
  <c r="E30" i="2"/>
  <c r="P21" i="2"/>
  <c r="D103" i="2"/>
  <c r="D107" i="2"/>
  <c r="D114" i="2"/>
  <c r="I103" i="2"/>
  <c r="I107" i="2"/>
  <c r="I114" i="2"/>
  <c r="K109" i="2"/>
  <c r="J109" i="2"/>
  <c r="D109" i="2"/>
  <c r="L109" i="2"/>
  <c r="L103" i="2"/>
  <c r="Q17" i="2"/>
  <c r="Q60" i="2"/>
  <c r="H114" i="2"/>
  <c r="H103" i="2"/>
  <c r="H107" i="2"/>
  <c r="G114" i="2"/>
  <c r="G109" i="2"/>
  <c r="O114" i="2"/>
  <c r="Q87" i="2"/>
  <c r="Q96" i="2"/>
  <c r="L107" i="2"/>
  <c r="L114" i="2"/>
  <c r="Q58" i="2"/>
  <c r="P60" i="2"/>
  <c r="Q26" i="2"/>
  <c r="P12" i="2"/>
  <c r="E109" i="2"/>
  <c r="E107" i="2"/>
  <c r="E114" i="2"/>
  <c r="M109" i="2"/>
  <c r="M107" i="2"/>
  <c r="M114" i="2"/>
  <c r="G103" i="2"/>
  <c r="O103" i="2"/>
  <c r="O109" i="2"/>
  <c r="Q72" i="2"/>
  <c r="I56" i="2"/>
  <c r="J103" i="2"/>
  <c r="J30" i="2"/>
  <c r="P35" i="2"/>
  <c r="C41" i="2"/>
  <c r="Q41" i="2" s="1"/>
  <c r="J56" i="2"/>
  <c r="P89" i="2"/>
  <c r="J114" i="2"/>
  <c r="K30" i="2"/>
  <c r="N103" i="2"/>
  <c r="K56" i="2"/>
  <c r="P87" i="2"/>
  <c r="E103" i="2"/>
  <c r="P26" i="2"/>
  <c r="P52" i="2"/>
  <c r="E56" i="2"/>
  <c r="M56" i="2"/>
  <c r="P78" i="2"/>
  <c r="F30" i="2"/>
  <c r="F56" i="2"/>
  <c r="N30" i="2"/>
  <c r="N56" i="2"/>
  <c r="G30" i="2"/>
  <c r="C40" i="2"/>
  <c r="Q42" i="2"/>
  <c r="G56" i="2"/>
  <c r="O56" i="2"/>
  <c r="F107" i="2"/>
  <c r="N107" i="2"/>
  <c r="I109" i="2" l="1"/>
  <c r="P114" i="3"/>
  <c r="P60" i="3"/>
  <c r="P107" i="3" s="1"/>
  <c r="P107" i="2"/>
  <c r="P30" i="2"/>
  <c r="N109" i="2"/>
  <c r="H109" i="2"/>
  <c r="K39" i="2"/>
  <c r="K108" i="2" s="1"/>
  <c r="K102" i="2" s="1"/>
  <c r="J39" i="2"/>
  <c r="J108" i="2" s="1"/>
  <c r="J102" i="2" s="1"/>
  <c r="J104" i="2" s="1"/>
  <c r="I39" i="2"/>
  <c r="I108" i="2" s="1"/>
  <c r="I102" i="2" s="1"/>
  <c r="I104" i="2" s="1"/>
  <c r="H39" i="2"/>
  <c r="H108" i="2" s="1"/>
  <c r="H102" i="2" s="1"/>
  <c r="H104" i="2" s="1"/>
  <c r="O39" i="2"/>
  <c r="O108" i="2" s="1"/>
  <c r="O102" i="2" s="1"/>
  <c r="O104" i="2" s="1"/>
  <c r="G39" i="2"/>
  <c r="G108" i="2" s="1"/>
  <c r="G102" i="2" s="1"/>
  <c r="G104" i="2" s="1"/>
  <c r="N39" i="2"/>
  <c r="N108" i="2" s="1"/>
  <c r="N102" i="2" s="1"/>
  <c r="N104" i="2" s="1"/>
  <c r="F39" i="2"/>
  <c r="F108" i="2" s="1"/>
  <c r="F102" i="2" s="1"/>
  <c r="F104" i="2" s="1"/>
  <c r="M39" i="2"/>
  <c r="M108" i="2" s="1"/>
  <c r="M102" i="2" s="1"/>
  <c r="E39" i="2"/>
  <c r="E108" i="2" s="1"/>
  <c r="E102" i="2" s="1"/>
  <c r="E104" i="2" s="1"/>
  <c r="Q40" i="2"/>
  <c r="Q44" i="2" s="1"/>
  <c r="L39" i="2"/>
  <c r="L108" i="2" s="1"/>
  <c r="L102" i="2" s="1"/>
  <c r="L104" i="2" s="1"/>
  <c r="D39" i="2"/>
  <c r="F109" i="2"/>
  <c r="K103" i="2"/>
  <c r="P114" i="2"/>
  <c r="P56" i="2"/>
  <c r="M103" i="2"/>
  <c r="P103" i="2" l="1"/>
  <c r="P109" i="2"/>
  <c r="P39" i="2"/>
  <c r="D108" i="2"/>
  <c r="M104" i="2"/>
  <c r="K104" i="2"/>
  <c r="D104" i="2" l="1"/>
  <c r="P104" i="2" s="1"/>
  <c r="P102" i="2"/>
  <c r="P108" i="2"/>
  <c r="P99" i="1"/>
  <c r="P99" i="3" s="1"/>
  <c r="O96" i="1"/>
  <c r="F96" i="1"/>
  <c r="E96" i="1"/>
  <c r="D96" i="1"/>
  <c r="P95" i="1"/>
  <c r="Q95" i="1" s="1"/>
  <c r="Q95" i="3" s="1"/>
  <c r="R95" i="3" s="1"/>
  <c r="N96" i="1"/>
  <c r="M96" i="1"/>
  <c r="L96" i="1"/>
  <c r="K96" i="1"/>
  <c r="J96" i="1"/>
  <c r="I96" i="1"/>
  <c r="H96" i="1"/>
  <c r="G96" i="1"/>
  <c r="P94" i="1"/>
  <c r="P96" i="1" s="1"/>
  <c r="P93" i="1"/>
  <c r="Q93" i="1" s="1"/>
  <c r="Q93" i="3" s="1"/>
  <c r="P92" i="1"/>
  <c r="Q92" i="1" s="1"/>
  <c r="Q92" i="3" s="1"/>
  <c r="R92" i="3" s="1"/>
  <c r="F89" i="1"/>
  <c r="F89" i="3" s="1"/>
  <c r="P91" i="1"/>
  <c r="N89" i="1"/>
  <c r="N89" i="3" s="1"/>
  <c r="M89" i="1"/>
  <c r="M89" i="3" s="1"/>
  <c r="J89" i="1"/>
  <c r="J89" i="3" s="1"/>
  <c r="I89" i="1"/>
  <c r="I89" i="3" s="1"/>
  <c r="H89" i="1"/>
  <c r="H89" i="3" s="1"/>
  <c r="G89" i="1"/>
  <c r="G89" i="3" s="1"/>
  <c r="E89" i="1"/>
  <c r="E89" i="3" s="1"/>
  <c r="I87" i="1"/>
  <c r="H87" i="1"/>
  <c r="M87" i="1"/>
  <c r="L87" i="1"/>
  <c r="K87" i="1"/>
  <c r="J87" i="1"/>
  <c r="G87" i="1"/>
  <c r="F87" i="1"/>
  <c r="E87" i="1"/>
  <c r="D87" i="1"/>
  <c r="M80" i="1"/>
  <c r="M80" i="3" s="1"/>
  <c r="P84" i="1"/>
  <c r="Q84" i="1" s="1"/>
  <c r="Q84" i="3" s="1"/>
  <c r="P83" i="1"/>
  <c r="Q83" i="1" s="1"/>
  <c r="Q83" i="3" s="1"/>
  <c r="R83" i="3" s="1"/>
  <c r="P82" i="1"/>
  <c r="P81" i="1"/>
  <c r="Q81" i="1" s="1"/>
  <c r="Q81" i="3" s="1"/>
  <c r="H78" i="1"/>
  <c r="I78" i="1"/>
  <c r="G78" i="1"/>
  <c r="O78" i="1"/>
  <c r="J72" i="1"/>
  <c r="I72" i="1"/>
  <c r="H72" i="1"/>
  <c r="G72" i="1"/>
  <c r="F72" i="1"/>
  <c r="K72" i="1"/>
  <c r="N64" i="1"/>
  <c r="N64" i="3" s="1"/>
  <c r="M64" i="1"/>
  <c r="M64" i="3" s="1"/>
  <c r="O72" i="1"/>
  <c r="N72" i="1"/>
  <c r="E72" i="1"/>
  <c r="D72" i="1"/>
  <c r="P68" i="1"/>
  <c r="Q68" i="1" s="1"/>
  <c r="Q68" i="3" s="1"/>
  <c r="P67" i="1"/>
  <c r="P66" i="1"/>
  <c r="Q66" i="1" s="1"/>
  <c r="Q66" i="3" s="1"/>
  <c r="R66" i="3" s="1"/>
  <c r="J64" i="1"/>
  <c r="J64" i="3" s="1"/>
  <c r="I64" i="1"/>
  <c r="I64" i="3" s="1"/>
  <c r="H64" i="1"/>
  <c r="H64" i="3" s="1"/>
  <c r="K64" i="1"/>
  <c r="K64" i="3" s="1"/>
  <c r="G64" i="1"/>
  <c r="G64" i="3" s="1"/>
  <c r="O60" i="1"/>
  <c r="N60" i="1"/>
  <c r="M60" i="1"/>
  <c r="L60" i="1"/>
  <c r="K60" i="1"/>
  <c r="J60" i="1"/>
  <c r="I60" i="1"/>
  <c r="H60" i="1"/>
  <c r="G60" i="1"/>
  <c r="F60" i="1"/>
  <c r="C58" i="1"/>
  <c r="P58" i="1" s="1"/>
  <c r="O52" i="1"/>
  <c r="N52" i="1"/>
  <c r="M52" i="1"/>
  <c r="L52" i="1"/>
  <c r="K52" i="1"/>
  <c r="D52" i="1"/>
  <c r="C59" i="1"/>
  <c r="P59" i="1" s="1"/>
  <c r="Q59" i="1" s="1"/>
  <c r="Q59" i="3" s="1"/>
  <c r="R59" i="3" s="1"/>
  <c r="J52" i="1"/>
  <c r="I52" i="1"/>
  <c r="H52" i="1"/>
  <c r="G52" i="1"/>
  <c r="D48" i="1"/>
  <c r="K48" i="1"/>
  <c r="J48" i="1"/>
  <c r="G48" i="1"/>
  <c r="P49" i="1"/>
  <c r="Q49" i="1" s="1"/>
  <c r="Q49" i="3" s="1"/>
  <c r="C57" i="1"/>
  <c r="K56" i="1" s="1"/>
  <c r="N48" i="1"/>
  <c r="M48" i="1"/>
  <c r="L48" i="1"/>
  <c r="I48" i="1"/>
  <c r="O44" i="1"/>
  <c r="N44" i="1"/>
  <c r="M44" i="1"/>
  <c r="G44" i="1"/>
  <c r="F44" i="1"/>
  <c r="E44" i="1"/>
  <c r="L44" i="1"/>
  <c r="K44" i="1"/>
  <c r="J44" i="1"/>
  <c r="I44" i="1"/>
  <c r="H44" i="1"/>
  <c r="I35" i="1"/>
  <c r="H35" i="1"/>
  <c r="G35" i="1"/>
  <c r="P34" i="1"/>
  <c r="Q34" i="1" s="1"/>
  <c r="Q34" i="3" s="1"/>
  <c r="L35" i="1"/>
  <c r="K35" i="1"/>
  <c r="J35" i="1"/>
  <c r="C33" i="1"/>
  <c r="C42" i="1" s="1"/>
  <c r="M35" i="1"/>
  <c r="F35" i="1"/>
  <c r="E35" i="1"/>
  <c r="D35" i="1"/>
  <c r="C32" i="1"/>
  <c r="P31" i="1"/>
  <c r="N26" i="1"/>
  <c r="M26" i="1"/>
  <c r="L26" i="1"/>
  <c r="P25" i="1"/>
  <c r="Q25" i="1" s="1"/>
  <c r="Q25" i="3" s="1"/>
  <c r="C34" i="1"/>
  <c r="C43" i="1" s="1"/>
  <c r="O26" i="1"/>
  <c r="E26" i="1"/>
  <c r="D26" i="1"/>
  <c r="M21" i="1"/>
  <c r="K26" i="1"/>
  <c r="J26" i="1"/>
  <c r="I26" i="1"/>
  <c r="H26" i="1"/>
  <c r="G26" i="1"/>
  <c r="F26" i="1"/>
  <c r="P23" i="1"/>
  <c r="C31" i="1"/>
  <c r="I30" i="1" s="1"/>
  <c r="O21" i="1"/>
  <c r="N21" i="1"/>
  <c r="O17" i="1"/>
  <c r="G17" i="1"/>
  <c r="E17" i="1"/>
  <c r="F17" i="1"/>
  <c r="J17" i="1"/>
  <c r="I17" i="1"/>
  <c r="H17" i="1"/>
  <c r="N17" i="1"/>
  <c r="M17" i="1"/>
  <c r="L17" i="1"/>
  <c r="K17" i="1"/>
  <c r="D17" i="1"/>
  <c r="N12" i="1"/>
  <c r="J12" i="1"/>
  <c r="I12" i="1"/>
  <c r="K56" i="3" l="1"/>
  <c r="I36" i="1"/>
  <c r="I30" i="3"/>
  <c r="O21" i="3"/>
  <c r="O27" i="3" s="1"/>
  <c r="O28" i="3" s="1"/>
  <c r="O27" i="1"/>
  <c r="R81" i="3"/>
  <c r="J18" i="1"/>
  <c r="J12" i="3"/>
  <c r="J18" i="3" s="1"/>
  <c r="J19" i="3" s="1"/>
  <c r="M27" i="1"/>
  <c r="M21" i="3"/>
  <c r="M27" i="3" s="1"/>
  <c r="M28" i="3" s="1"/>
  <c r="Q82" i="1"/>
  <c r="Q82" i="3" s="1"/>
  <c r="R82" i="3" s="1"/>
  <c r="N12" i="3"/>
  <c r="N18" i="3" s="1"/>
  <c r="N19" i="3" s="1"/>
  <c r="N18" i="1"/>
  <c r="Q31" i="1"/>
  <c r="Q31" i="3" s="1"/>
  <c r="C40" i="1"/>
  <c r="N53" i="1"/>
  <c r="N48" i="3"/>
  <c r="H30" i="1"/>
  <c r="R49" i="3"/>
  <c r="H56" i="1"/>
  <c r="I18" i="1"/>
  <c r="I12" i="3"/>
  <c r="I18" i="3" s="1"/>
  <c r="I19" i="3" s="1"/>
  <c r="I114" i="1"/>
  <c r="G48" i="3"/>
  <c r="G53" i="1"/>
  <c r="J53" i="1"/>
  <c r="J48" i="3"/>
  <c r="I107" i="1"/>
  <c r="M48" i="3"/>
  <c r="M53" i="1"/>
  <c r="I48" i="3"/>
  <c r="I53" i="1"/>
  <c r="K53" i="1"/>
  <c r="K48" i="3"/>
  <c r="Q67" i="1"/>
  <c r="Q67" i="3" s="1"/>
  <c r="R67" i="3" s="1"/>
  <c r="N21" i="3"/>
  <c r="N27" i="3" s="1"/>
  <c r="N28" i="3" s="1"/>
  <c r="N27" i="1"/>
  <c r="L48" i="3"/>
  <c r="L53" i="1"/>
  <c r="D48" i="3"/>
  <c r="D53" i="1"/>
  <c r="Q91" i="1"/>
  <c r="Q91" i="3" s="1"/>
  <c r="R91" i="3" s="1"/>
  <c r="J107" i="1"/>
  <c r="F114" i="1"/>
  <c r="H107" i="1"/>
  <c r="H114" i="1"/>
  <c r="G107" i="1"/>
  <c r="G114" i="1"/>
  <c r="P69" i="1"/>
  <c r="Q69" i="1" s="1"/>
  <c r="Q69" i="3" s="1"/>
  <c r="R69" i="3" s="1"/>
  <c r="D78" i="1"/>
  <c r="D74" i="1"/>
  <c r="E56" i="1"/>
  <c r="N56" i="1"/>
  <c r="D56" i="1"/>
  <c r="O56" i="1"/>
  <c r="M56" i="1"/>
  <c r="I56" i="1"/>
  <c r="E78" i="1"/>
  <c r="E74" i="1"/>
  <c r="M109" i="1"/>
  <c r="J56" i="1"/>
  <c r="O87" i="1"/>
  <c r="O80" i="1"/>
  <c r="O80" i="3" s="1"/>
  <c r="M12" i="1"/>
  <c r="L12" i="1"/>
  <c r="K12" i="1"/>
  <c r="H12" i="1"/>
  <c r="J114" i="1"/>
  <c r="P85" i="1"/>
  <c r="M114" i="1"/>
  <c r="G30" i="1"/>
  <c r="G12" i="1"/>
  <c r="I21" i="1"/>
  <c r="E21" i="1"/>
  <c r="P41" i="1"/>
  <c r="M72" i="1"/>
  <c r="M107" i="1" s="1"/>
  <c r="E80" i="1"/>
  <c r="E80" i="3" s="1"/>
  <c r="N87" i="1"/>
  <c r="N80" i="1"/>
  <c r="N80" i="3" s="1"/>
  <c r="K114" i="1"/>
  <c r="P33" i="1"/>
  <c r="Q33" i="1" s="1"/>
  <c r="Q33" i="3" s="1"/>
  <c r="R33" i="3" s="1"/>
  <c r="F74" i="1"/>
  <c r="F78" i="1"/>
  <c r="L114" i="1"/>
  <c r="P70" i="1"/>
  <c r="Q70" i="1" s="1"/>
  <c r="Q70" i="3" s="1"/>
  <c r="R70" i="3" s="1"/>
  <c r="Q23" i="1"/>
  <c r="Q23" i="3" s="1"/>
  <c r="R23" i="3" s="1"/>
  <c r="P60" i="1"/>
  <c r="Q58" i="1"/>
  <c r="Q58" i="3" s="1"/>
  <c r="R58" i="3" s="1"/>
  <c r="I103" i="1"/>
  <c r="J80" i="1"/>
  <c r="J80" i="3" s="1"/>
  <c r="P14" i="1"/>
  <c r="D21" i="1"/>
  <c r="D80" i="1"/>
  <c r="D80" i="3" s="1"/>
  <c r="J21" i="1"/>
  <c r="N35" i="1"/>
  <c r="N107" i="1" s="1"/>
  <c r="L21" i="1"/>
  <c r="F30" i="1"/>
  <c r="N78" i="1"/>
  <c r="N74" i="1"/>
  <c r="F80" i="1"/>
  <c r="F80" i="3" s="1"/>
  <c r="P75" i="1"/>
  <c r="K107" i="1"/>
  <c r="O12" i="1"/>
  <c r="P76" i="1"/>
  <c r="Q76" i="1" s="1"/>
  <c r="L107" i="1"/>
  <c r="P13" i="1"/>
  <c r="Q13" i="1" s="1"/>
  <c r="Q13" i="3" s="1"/>
  <c r="L56" i="1"/>
  <c r="E12" i="1"/>
  <c r="P24" i="1"/>
  <c r="Q24" i="1" s="1"/>
  <c r="Q24" i="3" s="1"/>
  <c r="R24" i="3" s="1"/>
  <c r="F12" i="1"/>
  <c r="D30" i="1"/>
  <c r="P40" i="1"/>
  <c r="Q40" i="1" s="1"/>
  <c r="Q40" i="3" s="1"/>
  <c r="E30" i="1"/>
  <c r="P42" i="1"/>
  <c r="Q42" i="1" s="1"/>
  <c r="Q42" i="3" s="1"/>
  <c r="R42" i="3" s="1"/>
  <c r="E114" i="1"/>
  <c r="K21" i="1"/>
  <c r="C41" i="1"/>
  <c r="J39" i="1" s="1"/>
  <c r="J30" i="1"/>
  <c r="O35" i="1"/>
  <c r="O114" i="1" s="1"/>
  <c r="P32" i="1"/>
  <c r="P43" i="1"/>
  <c r="Q43" i="1" s="1"/>
  <c r="Q43" i="3" s="1"/>
  <c r="L72" i="1"/>
  <c r="P72" i="1" s="1"/>
  <c r="L64" i="1"/>
  <c r="L64" i="3" s="1"/>
  <c r="J74" i="1"/>
  <c r="K74" i="1"/>
  <c r="I74" i="1"/>
  <c r="H74" i="1"/>
  <c r="G74" i="1"/>
  <c r="O74" i="1"/>
  <c r="P86" i="1"/>
  <c r="Q86" i="1" s="1"/>
  <c r="Q86" i="3" s="1"/>
  <c r="R86" i="3" s="1"/>
  <c r="P57" i="1"/>
  <c r="Q57" i="1" s="1"/>
  <c r="Q57" i="3" s="1"/>
  <c r="K89" i="1"/>
  <c r="K89" i="3" s="1"/>
  <c r="L89" i="1"/>
  <c r="L89" i="3" s="1"/>
  <c r="F48" i="1"/>
  <c r="D60" i="1"/>
  <c r="D107" i="1" s="1"/>
  <c r="D89" i="1"/>
  <c r="D89" i="3" s="1"/>
  <c r="M30" i="1"/>
  <c r="N30" i="1"/>
  <c r="O30" i="1"/>
  <c r="D44" i="1"/>
  <c r="D114" i="1" s="1"/>
  <c r="F52" i="1"/>
  <c r="O48" i="1"/>
  <c r="F56" i="1"/>
  <c r="E60" i="1"/>
  <c r="E64" i="1"/>
  <c r="E64" i="3" s="1"/>
  <c r="K78" i="1"/>
  <c r="P77" i="1"/>
  <c r="Q77" i="1" s="1"/>
  <c r="K80" i="1"/>
  <c r="K80" i="3" s="1"/>
  <c r="P50" i="1"/>
  <c r="O64" i="1"/>
  <c r="O64" i="3" s="1"/>
  <c r="L80" i="1"/>
  <c r="L80" i="3" s="1"/>
  <c r="O89" i="1"/>
  <c r="O89" i="3" s="1"/>
  <c r="P15" i="1"/>
  <c r="Q15" i="1" s="1"/>
  <c r="Q15" i="3" s="1"/>
  <c r="E48" i="1"/>
  <c r="E52" i="1"/>
  <c r="P65" i="1"/>
  <c r="Q65" i="1" s="1"/>
  <c r="Q65" i="3" s="1"/>
  <c r="P90" i="1"/>
  <c r="Q90" i="1" s="1"/>
  <c r="P16" i="1"/>
  <c r="Q16" i="1" s="1"/>
  <c r="Q16" i="3" s="1"/>
  <c r="K30" i="1"/>
  <c r="P22" i="1"/>
  <c r="Q22" i="1" s="1"/>
  <c r="Q22" i="3" s="1"/>
  <c r="L30" i="1"/>
  <c r="H48" i="1"/>
  <c r="P51" i="1"/>
  <c r="Q51" i="1" s="1"/>
  <c r="Q51" i="3" s="1"/>
  <c r="R51" i="3" s="1"/>
  <c r="G56" i="1"/>
  <c r="F64" i="1"/>
  <c r="F64" i="3" s="1"/>
  <c r="L78" i="1"/>
  <c r="I80" i="1"/>
  <c r="I80" i="3" s="1"/>
  <c r="H80" i="1"/>
  <c r="H80" i="3" s="1"/>
  <c r="G80" i="1"/>
  <c r="G80" i="3" s="1"/>
  <c r="P71" i="1"/>
  <c r="Q71" i="1" s="1"/>
  <c r="Q71" i="3" s="1"/>
  <c r="R71" i="3" s="1"/>
  <c r="M78" i="1"/>
  <c r="M74" i="1"/>
  <c r="J78" i="1"/>
  <c r="H21" i="1"/>
  <c r="D64" i="1"/>
  <c r="D64" i="3" s="1"/>
  <c r="L74" i="1"/>
  <c r="F21" i="1"/>
  <c r="G21" i="1"/>
  <c r="D36" i="1" l="1"/>
  <c r="D30" i="3"/>
  <c r="O48" i="3"/>
  <c r="O53" i="1"/>
  <c r="F53" i="1"/>
  <c r="F48" i="3"/>
  <c r="J30" i="3"/>
  <c r="J36" i="1"/>
  <c r="L27" i="1"/>
  <c r="L21" i="3"/>
  <c r="L27" i="3" s="1"/>
  <c r="L28" i="3" s="1"/>
  <c r="Q96" i="1"/>
  <c r="Q90" i="3"/>
  <c r="J45" i="1"/>
  <c r="J39" i="3"/>
  <c r="O18" i="1"/>
  <c r="O12" i="3"/>
  <c r="O18" i="3" s="1"/>
  <c r="O19" i="3" s="1"/>
  <c r="G30" i="3"/>
  <c r="G36" i="1"/>
  <c r="M56" i="3"/>
  <c r="L12" i="3"/>
  <c r="L18" i="3" s="1"/>
  <c r="L19" i="3" s="1"/>
  <c r="L18" i="1"/>
  <c r="H30" i="3"/>
  <c r="H36" i="1"/>
  <c r="H21" i="3"/>
  <c r="H27" i="3" s="1"/>
  <c r="H28" i="3" s="1"/>
  <c r="H27" i="1"/>
  <c r="G18" i="1"/>
  <c r="G12" i="3"/>
  <c r="G18" i="3" s="1"/>
  <c r="G19" i="3" s="1"/>
  <c r="M18" i="1"/>
  <c r="M12" i="3"/>
  <c r="M18" i="3" s="1"/>
  <c r="M19" i="3" s="1"/>
  <c r="I56" i="3"/>
  <c r="G56" i="3"/>
  <c r="R65" i="3"/>
  <c r="Q72" i="3"/>
  <c r="R72" i="3" s="1"/>
  <c r="K21" i="3"/>
  <c r="K27" i="3" s="1"/>
  <c r="K28" i="3" s="1"/>
  <c r="K27" i="1"/>
  <c r="F12" i="3"/>
  <c r="F18" i="3" s="1"/>
  <c r="F19" i="3" s="1"/>
  <c r="F18" i="1"/>
  <c r="J27" i="1"/>
  <c r="J21" i="3"/>
  <c r="J27" i="3" s="1"/>
  <c r="J28" i="3" s="1"/>
  <c r="O107" i="1"/>
  <c r="O56" i="3"/>
  <c r="O103" i="3"/>
  <c r="O109" i="3"/>
  <c r="R22" i="3"/>
  <c r="Q26" i="3"/>
  <c r="R26" i="3" s="1"/>
  <c r="O36" i="1"/>
  <c r="O30" i="3"/>
  <c r="M109" i="3"/>
  <c r="M103" i="3"/>
  <c r="K30" i="3"/>
  <c r="K36" i="1"/>
  <c r="F56" i="3"/>
  <c r="I27" i="1"/>
  <c r="I21" i="3"/>
  <c r="I27" i="3" s="1"/>
  <c r="I28" i="3" s="1"/>
  <c r="R57" i="3"/>
  <c r="Q60" i="3"/>
  <c r="R60" i="3" s="1"/>
  <c r="J56" i="3"/>
  <c r="J108" i="3" s="1"/>
  <c r="J102" i="3" s="1"/>
  <c r="G27" i="1"/>
  <c r="G21" i="3"/>
  <c r="G27" i="3" s="1"/>
  <c r="G28" i="3" s="1"/>
  <c r="E12" i="3"/>
  <c r="E18" i="3" s="1"/>
  <c r="E19" i="3" s="1"/>
  <c r="E18" i="1"/>
  <c r="D27" i="1"/>
  <c r="D21" i="3"/>
  <c r="D27" i="3" s="1"/>
  <c r="D28" i="3" s="1"/>
  <c r="N56" i="3"/>
  <c r="H56" i="3"/>
  <c r="F36" i="1"/>
  <c r="F30" i="3"/>
  <c r="E107" i="1"/>
  <c r="D56" i="3"/>
  <c r="H48" i="3"/>
  <c r="H53" i="1"/>
  <c r="P48" i="1"/>
  <c r="E53" i="1"/>
  <c r="E48" i="3"/>
  <c r="N30" i="3"/>
  <c r="N36" i="1"/>
  <c r="F21" i="3"/>
  <c r="F27" i="3" s="1"/>
  <c r="F28" i="3" s="1"/>
  <c r="F27" i="1"/>
  <c r="L36" i="1"/>
  <c r="L30" i="3"/>
  <c r="M30" i="3"/>
  <c r="M36" i="1"/>
  <c r="E36" i="1"/>
  <c r="E30" i="3"/>
  <c r="L56" i="3"/>
  <c r="H18" i="1"/>
  <c r="H12" i="3"/>
  <c r="H18" i="3" s="1"/>
  <c r="H19" i="3" s="1"/>
  <c r="E56" i="3"/>
  <c r="R40" i="3"/>
  <c r="R13" i="3"/>
  <c r="E27" i="1"/>
  <c r="E21" i="3"/>
  <c r="E27" i="3" s="1"/>
  <c r="E28" i="3" s="1"/>
  <c r="K18" i="1"/>
  <c r="K12" i="3"/>
  <c r="K18" i="3" s="1"/>
  <c r="K19" i="3" s="1"/>
  <c r="N103" i="3"/>
  <c r="N109" i="3"/>
  <c r="R31" i="3"/>
  <c r="I109" i="1"/>
  <c r="M103" i="1"/>
  <c r="H103" i="1"/>
  <c r="H109" i="1"/>
  <c r="E109" i="1"/>
  <c r="E103" i="1"/>
  <c r="J108" i="1"/>
  <c r="J102" i="1" s="1"/>
  <c r="F109" i="1"/>
  <c r="F103" i="1"/>
  <c r="E108" i="1"/>
  <c r="Q72" i="1"/>
  <c r="P74" i="1"/>
  <c r="P80" i="1"/>
  <c r="P80" i="3" s="1"/>
  <c r="F39" i="1"/>
  <c r="P26" i="1"/>
  <c r="E39" i="1"/>
  <c r="G39" i="1"/>
  <c r="D109" i="1"/>
  <c r="D103" i="1"/>
  <c r="Q60" i="1"/>
  <c r="N114" i="1"/>
  <c r="P114" i="1" s="1"/>
  <c r="K39" i="1"/>
  <c r="Q26" i="1"/>
  <c r="K109" i="1"/>
  <c r="K103" i="1"/>
  <c r="P21" i="1"/>
  <c r="O109" i="1"/>
  <c r="O103" i="1"/>
  <c r="P35" i="1"/>
  <c r="Q32" i="1"/>
  <c r="J103" i="1"/>
  <c r="J109" i="1"/>
  <c r="P12" i="1"/>
  <c r="Q50" i="1"/>
  <c r="P52" i="1"/>
  <c r="O39" i="1"/>
  <c r="N39" i="1"/>
  <c r="P56" i="1"/>
  <c r="L109" i="1"/>
  <c r="L103" i="1"/>
  <c r="M39" i="1"/>
  <c r="P87" i="1"/>
  <c r="Q85" i="1"/>
  <c r="Q85" i="3" s="1"/>
  <c r="D39" i="1"/>
  <c r="I39" i="1"/>
  <c r="Q41" i="1"/>
  <c r="Q41" i="3" s="1"/>
  <c r="R41" i="3" s="1"/>
  <c r="P44" i="1"/>
  <c r="F107" i="1"/>
  <c r="N109" i="1"/>
  <c r="N103" i="1"/>
  <c r="P89" i="1"/>
  <c r="P89" i="3" s="1"/>
  <c r="P78" i="1"/>
  <c r="Q75" i="1"/>
  <c r="Q78" i="1" s="1"/>
  <c r="P64" i="1"/>
  <c r="P64" i="3" s="1"/>
  <c r="G103" i="1"/>
  <c r="G109" i="1"/>
  <c r="P30" i="1"/>
  <c r="L39" i="1"/>
  <c r="Q14" i="1"/>
  <c r="Q14" i="3" s="1"/>
  <c r="R14" i="3" s="1"/>
  <c r="P17" i="1"/>
  <c r="H39" i="1"/>
  <c r="F103" i="3" l="1"/>
  <c r="F109" i="3"/>
  <c r="G108" i="1"/>
  <c r="G102" i="1" s="1"/>
  <c r="G104" i="1" s="1"/>
  <c r="G45" i="1"/>
  <c r="G39" i="3"/>
  <c r="D45" i="1"/>
  <c r="D39" i="3"/>
  <c r="D108" i="3" s="1"/>
  <c r="D102" i="3" s="1"/>
  <c r="P18" i="1"/>
  <c r="P12" i="3"/>
  <c r="P18" i="3" s="1"/>
  <c r="P19" i="3" s="1"/>
  <c r="P48" i="3"/>
  <c r="P53" i="1"/>
  <c r="I108" i="1"/>
  <c r="I45" i="1"/>
  <c r="I39" i="3"/>
  <c r="I108" i="3" s="1"/>
  <c r="I102" i="3" s="1"/>
  <c r="P56" i="3"/>
  <c r="G109" i="3"/>
  <c r="G103" i="3"/>
  <c r="J109" i="3"/>
  <c r="J103" i="3"/>
  <c r="J104" i="3" s="1"/>
  <c r="R90" i="3"/>
  <c r="Q96" i="3"/>
  <c r="R96" i="3" s="1"/>
  <c r="O45" i="1"/>
  <c r="O39" i="3"/>
  <c r="O108" i="3" s="1"/>
  <c r="O102" i="3" s="1"/>
  <c r="O104" i="3" s="1"/>
  <c r="H108" i="1"/>
  <c r="H45" i="1"/>
  <c r="H39" i="3"/>
  <c r="H108" i="3" s="1"/>
  <c r="H102" i="3" s="1"/>
  <c r="E45" i="1"/>
  <c r="E39" i="3"/>
  <c r="E103" i="3"/>
  <c r="E109" i="3"/>
  <c r="D108" i="1"/>
  <c r="Q44" i="1"/>
  <c r="N39" i="3"/>
  <c r="N108" i="3" s="1"/>
  <c r="N102" i="3" s="1"/>
  <c r="N104" i="3" s="1"/>
  <c r="N45" i="1"/>
  <c r="Q35" i="1"/>
  <c r="Q32" i="3"/>
  <c r="K108" i="1"/>
  <c r="K102" i="1" s="1"/>
  <c r="K45" i="1"/>
  <c r="K39" i="3"/>
  <c r="K108" i="3" s="1"/>
  <c r="K102" i="3" s="1"/>
  <c r="F108" i="1"/>
  <c r="F39" i="3"/>
  <c r="F108" i="3" s="1"/>
  <c r="F102" i="3" s="1"/>
  <c r="F104" i="3" s="1"/>
  <c r="F45" i="1"/>
  <c r="N108" i="1"/>
  <c r="N102" i="1" s="1"/>
  <c r="Q17" i="3"/>
  <c r="R17" i="3" s="1"/>
  <c r="G108" i="3"/>
  <c r="G102" i="3" s="1"/>
  <c r="L103" i="3"/>
  <c r="L109" i="3"/>
  <c r="P36" i="1"/>
  <c r="P30" i="3"/>
  <c r="D109" i="3"/>
  <c r="D103" i="3"/>
  <c r="L45" i="1"/>
  <c r="L39" i="3"/>
  <c r="L108" i="3" s="1"/>
  <c r="L102" i="3" s="1"/>
  <c r="H103" i="3"/>
  <c r="H109" i="3"/>
  <c r="R85" i="3"/>
  <c r="Q87" i="3"/>
  <c r="R87" i="3" s="1"/>
  <c r="L108" i="1"/>
  <c r="L102" i="1" s="1"/>
  <c r="L104" i="1" s="1"/>
  <c r="Q44" i="3"/>
  <c r="R44" i="3" s="1"/>
  <c r="M108" i="1"/>
  <c r="M45" i="1"/>
  <c r="M39" i="3"/>
  <c r="M108" i="3" s="1"/>
  <c r="M102" i="3" s="1"/>
  <c r="M104" i="3" s="1"/>
  <c r="Q52" i="1"/>
  <c r="Q50" i="3"/>
  <c r="P21" i="3"/>
  <c r="P27" i="3" s="1"/>
  <c r="P28" i="3" s="1"/>
  <c r="P109" i="3" s="1"/>
  <c r="P27" i="1"/>
  <c r="Q17" i="1"/>
  <c r="E108" i="3"/>
  <c r="E102" i="3" s="1"/>
  <c r="K109" i="3"/>
  <c r="K103" i="3"/>
  <c r="I103" i="3"/>
  <c r="I109" i="3"/>
  <c r="P109" i="1"/>
  <c r="J104" i="1"/>
  <c r="P103" i="1"/>
  <c r="K104" i="1"/>
  <c r="E102" i="1"/>
  <c r="E104" i="1" s="1"/>
  <c r="P39" i="1"/>
  <c r="O108" i="1"/>
  <c r="O102" i="1" s="1"/>
  <c r="O104" i="1" s="1"/>
  <c r="H102" i="1"/>
  <c r="H104" i="1" s="1"/>
  <c r="N104" i="1"/>
  <c r="F102" i="1"/>
  <c r="F104" i="1" s="1"/>
  <c r="M102" i="1"/>
  <c r="M104" i="1" s="1"/>
  <c r="D102" i="1"/>
  <c r="P108" i="1"/>
  <c r="Q87" i="1"/>
  <c r="P107" i="1"/>
  <c r="I102" i="1"/>
  <c r="I104" i="1" s="1"/>
  <c r="E104" i="3" l="1"/>
  <c r="H104" i="3"/>
  <c r="I104" i="3"/>
  <c r="L104" i="3"/>
  <c r="D104" i="3"/>
  <c r="P102" i="3"/>
  <c r="K104" i="3"/>
  <c r="G104" i="3"/>
  <c r="P45" i="1"/>
  <c r="P39" i="3"/>
  <c r="P108" i="3" s="1"/>
  <c r="R32" i="3"/>
  <c r="Q35" i="3"/>
  <c r="R35" i="3" s="1"/>
  <c r="P103" i="3"/>
  <c r="R50" i="3"/>
  <c r="Q52" i="3"/>
  <c r="R52" i="3" s="1"/>
  <c r="D104" i="1"/>
  <c r="P104" i="1" s="1"/>
  <c r="P102" i="1"/>
  <c r="P100" i="1"/>
  <c r="P100" i="3" s="1"/>
  <c r="P104" i="3" l="1"/>
</calcChain>
</file>

<file path=xl/sharedStrings.xml><?xml version="1.0" encoding="utf-8"?>
<sst xmlns="http://schemas.openxmlformats.org/spreadsheetml/2006/main" count="348" uniqueCount="72">
  <si>
    <t>ATMOS ENERGY CORPORATION – KENTUCKY</t>
  </si>
  <si>
    <t>BILL FREQUENCY WITH KNOWN &amp; MEASURABLE ADJUSTMENTS</t>
  </si>
  <si>
    <t>PROPOSED RATES</t>
  </si>
  <si>
    <t>Line</t>
  </si>
  <si>
    <t>Total</t>
  </si>
  <si>
    <t>No.</t>
  </si>
  <si>
    <t>Class of Customers</t>
  </si>
  <si>
    <t>Rate</t>
  </si>
  <si>
    <t>Billing Units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</si>
  <si>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</si>
  <si>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</si>
  <si>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</si>
  <si>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</si>
  <si>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</si>
  <si>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</si>
  <si>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</si>
  <si>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</si>
  <si>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</si>
  <si>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</si>
  <si>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</si>
  <si>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</si>
  <si>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</si>
  <si>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</si>
  <si>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</si>
  <si>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RESIDENTIAL (Rate G-1)</t>
  </si>
  <si>
    <t>FIRM BILLS</t>
  </si>
  <si>
    <t>Sales: 1-300</t>
  </si>
  <si>
    <t>Sales: 301-15000</t>
  </si>
  <si>
    <t>Sales: Over 15000</t>
  </si>
  <si>
    <t>CLASS TOTAL (Mcf/month)</t>
  </si>
  <si>
    <t>Gas Costs</t>
  </si>
  <si>
    <t>FIRM COMMERCIAL (Rate G-1)</t>
  </si>
  <si>
    <t>FIRM INDUSTRIAL (Rate G-1)</t>
  </si>
  <si>
    <t>FIRM PUBLIC AUTHORITY (Rate G-1)</t>
  </si>
  <si>
    <t>INTERRUPTIBLE COMMERCIAL (G-2)</t>
  </si>
  <si>
    <t>INT BILLS</t>
  </si>
  <si>
    <t>Sales: 1-15000</t>
  </si>
  <si>
    <t>INTERRUPTIBLE INDUSTRIAL (G-2)</t>
  </si>
  <si>
    <t>TRANSPORTATION (T-4)</t>
  </si>
  <si>
    <t>TRANSPORTATION BILLS</t>
  </si>
  <si>
    <t>Trans Admin Fee</t>
  </si>
  <si>
    <t>EFM Fee</t>
  </si>
  <si>
    <t>Parking Fee</t>
  </si>
  <si>
    <t>Firm Transport: 1-300</t>
  </si>
  <si>
    <t>Firm Transport: 301-15000</t>
  </si>
  <si>
    <t>Firm Transport: Over 1500</t>
  </si>
  <si>
    <t>ECONOMIC DEV RIDER (EDR)</t>
  </si>
  <si>
    <t>Firm Transport: Over 15000</t>
  </si>
  <si>
    <t>TRANSPORTATION (T-3)</t>
  </si>
  <si>
    <t>Interrupt Transport:  1-15000</t>
  </si>
  <si>
    <t>Interrupt Transport:  Over 15000</t>
  </si>
  <si>
    <t>SPECIAL CONTRACTS</t>
  </si>
  <si>
    <t>Transported Volumes</t>
  </si>
  <si>
    <t>Various</t>
  </si>
  <si>
    <t>Charges for Transport Volumes</t>
  </si>
  <si>
    <t>OTHER REVENUE</t>
  </si>
  <si>
    <t>Service Charges</t>
  </si>
  <si>
    <t>Late Payment Fees</t>
  </si>
  <si>
    <t>TOTAL GROSS PROFIT</t>
  </si>
  <si>
    <t>TOTAL REVENUE</t>
  </si>
  <si>
    <t>R/C/PA Inc</t>
  </si>
  <si>
    <t>Firm Sales</t>
  </si>
  <si>
    <t>EXHIBIT BCT-2</t>
  </si>
  <si>
    <t>TEST YEAR ENDING MARCH 31 2026</t>
  </si>
  <si>
    <t>CURRENT RATES</t>
  </si>
  <si>
    <t>% Delta</t>
  </si>
  <si>
    <t>DELTA</t>
  </si>
  <si>
    <t>Delta</t>
  </si>
  <si>
    <t>(o)</t>
  </si>
  <si>
    <t>Average Monthly Bill Impact</t>
  </si>
  <si>
    <t>Percent Change</t>
  </si>
  <si>
    <t>Average Monthly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</si>
</sst>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"/>
    <numFmt numFmtId="167" formatCode="#,##0.0000_);\(#,##0.0000\)"/>
    <numFmt numFmtId="168" formatCode="0.0000"/>
    <numFmt numFmtId="169" formatCode="_(* #,##0.0000_);_(* \(#,##0.0000\);_(* &quot;-&quot;??_);_(@_)"/>
    <numFmt numFmtId="170" formatCode="0.0%"/>
  </numFmts>
  <fonts count="7" x14ac:knownFonts="1">
    <font>
      <sz val="10"/>
      <name val="Arial"/>
      <family val="2"/>
    </font>
    <font>
      <sz val="12"/>
      <name val="Courier"/>
      <family val="3"/>
    </font>
    <font>
      <sz val="10"/>
      <name val="Arial Narrow"/>
      <family val="2"/>
    </font>
    <font>
      <sz val="10"/>
      <name val="Arial"/>
      <family val="2"/>
    </font>
    <font>
      <sz val="10"/>
      <color indexed="9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3" applyFont="1"/>
    <xf numFmtId="37" fontId="2" fillId="0" borderId="0" xfId="3" applyNumberFormat="1" applyFont="1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center"/>
    </xf>
    <xf numFmtId="37" fontId="2" fillId="0" borderId="0" xfId="3" applyNumberFormat="1" applyFont="1" applyAlignment="1">
      <alignment horizontal="right"/>
    </xf>
    <xf numFmtId="0" fontId="2" fillId="0" borderId="0" xfId="3" applyFont="1" applyAlignment="1">
      <alignment horizontal="centerContinuous"/>
    </xf>
    <xf numFmtId="0" fontId="2" fillId="0" borderId="0" xfId="3" applyFont="1" applyAlignment="1">
      <alignment horizontal="left"/>
    </xf>
    <xf numFmtId="0" fontId="2" fillId="0" borderId="1" xfId="3" applyFont="1" applyBorder="1" applyAlignment="1">
      <alignment horizontal="left"/>
    </xf>
    <xf numFmtId="0" fontId="2" fillId="0" borderId="1" xfId="3" applyFont="1" applyBorder="1"/>
    <xf numFmtId="0" fontId="2" fillId="0" borderId="1" xfId="3" applyFont="1" applyBorder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164" fontId="4" fillId="0" borderId="0" xfId="3" applyNumberFormat="1" applyFont="1" applyAlignment="1">
      <alignment horizontal="center"/>
    </xf>
    <xf numFmtId="0" fontId="2" fillId="0" borderId="0" xfId="3" quotePrefix="1" applyFont="1" applyAlignment="1">
      <alignment horizontal="center"/>
    </xf>
    <xf numFmtId="49" fontId="2" fillId="0" borderId="0" xfId="3" quotePrefix="1" applyNumberFormat="1" applyFont="1" applyAlignment="1">
      <alignment horizontal="center"/>
    </xf>
    <xf numFmtId="49" fontId="2" fillId="0" borderId="0" xfId="3" applyNumberFormat="1" applyFont="1" applyAlignment="1">
      <alignment horizontal="center"/>
    </xf>
    <xf numFmtId="49" fontId="4" fillId="0" borderId="0" xfId="3" applyNumberFormat="1" applyFont="1" applyAlignment="1">
      <alignment horizontal="center"/>
    </xf>
    <xf numFmtId="165" fontId="2" fillId="0" borderId="0" xfId="1" applyNumberFormat="1" applyFont="1" applyFill="1" applyBorder="1"/>
    <xf numFmtId="165" fontId="2" fillId="0" borderId="0" xfId="1" applyNumberFormat="1" applyFont="1" applyBorder="1"/>
    <xf numFmtId="165" fontId="4" fillId="0" borderId="0" xfId="1" applyNumberFormat="1" applyFont="1" applyFill="1" applyBorder="1"/>
    <xf numFmtId="0" fontId="6" fillId="0" borderId="0" xfId="3" applyFont="1"/>
    <xf numFmtId="166" fontId="2" fillId="0" borderId="0" xfId="2" applyNumberFormat="1" applyFont="1" applyFill="1" applyBorder="1"/>
    <xf numFmtId="166" fontId="4" fillId="0" borderId="0" xfId="2" applyNumberFormat="1" applyFont="1" applyFill="1" applyBorder="1"/>
    <xf numFmtId="39" fontId="2" fillId="0" borderId="0" xfId="0" applyNumberFormat="1" applyFont="1"/>
    <xf numFmtId="37" fontId="4" fillId="0" borderId="0" xfId="3" applyNumberFormat="1" applyFont="1" applyAlignment="1">
      <alignment horizontal="right"/>
    </xf>
    <xf numFmtId="7" fontId="2" fillId="0" borderId="0" xfId="3" applyNumberFormat="1" applyFont="1"/>
    <xf numFmtId="43" fontId="2" fillId="0" borderId="0" xfId="1" applyFont="1"/>
    <xf numFmtId="37" fontId="2" fillId="0" borderId="0" xfId="0" applyNumberFormat="1" applyFont="1"/>
    <xf numFmtId="37" fontId="4" fillId="0" borderId="0" xfId="3" applyNumberFormat="1" applyFont="1"/>
    <xf numFmtId="3" fontId="4" fillId="0" borderId="0" xfId="3" applyNumberFormat="1" applyFont="1"/>
    <xf numFmtId="167" fontId="2" fillId="0" borderId="0" xfId="3" applyNumberFormat="1" applyFont="1"/>
    <xf numFmtId="0" fontId="2" fillId="0" borderId="2" xfId="3" applyFont="1" applyBorder="1"/>
    <xf numFmtId="37" fontId="2" fillId="0" borderId="2" xfId="3" applyNumberFormat="1" applyFont="1" applyBorder="1"/>
    <xf numFmtId="5" fontId="2" fillId="0" borderId="0" xfId="3" applyNumberFormat="1" applyFont="1"/>
    <xf numFmtId="165" fontId="2" fillId="0" borderId="0" xfId="1" applyNumberFormat="1" applyFont="1"/>
    <xf numFmtId="43" fontId="2" fillId="0" borderId="0" xfId="3" applyNumberFormat="1" applyFont="1"/>
    <xf numFmtId="165" fontId="2" fillId="0" borderId="0" xfId="1" applyNumberFormat="1" applyFont="1" applyFill="1"/>
    <xf numFmtId="168" fontId="2" fillId="0" borderId="0" xfId="3" applyNumberFormat="1" applyFont="1"/>
    <xf numFmtId="169" fontId="2" fillId="0" borderId="0" xfId="3" applyNumberFormat="1" applyFont="1"/>
    <xf numFmtId="167" fontId="2" fillId="0" borderId="0" xfId="3" applyNumberFormat="1" applyFont="1" applyAlignment="1">
      <alignment horizontal="right"/>
    </xf>
    <xf numFmtId="0" fontId="5" fillId="0" borderId="0" xfId="3" applyFont="1"/>
    <xf numFmtId="5" fontId="2" fillId="0" borderId="0" xfId="0" applyNumberFormat="1" applyFont="1"/>
    <xf numFmtId="1" fontId="2" fillId="0" borderId="0" xfId="3" applyNumberFormat="1" applyFont="1"/>
    <xf numFmtId="0" fontId="2" fillId="0" borderId="0" xfId="0" applyFont="1" applyAlignment="1">
      <alignment horizontal="center"/>
    </xf>
    <xf numFmtId="170" fontId="2" fillId="0" borderId="0" xfId="4" applyNumberFormat="1" applyFont="1" applyFill="1" applyBorder="1"/>
    <xf numFmtId="170" fontId="2" fillId="0" borderId="2" xfId="4" applyNumberFormat="1" applyFont="1" applyFill="1" applyBorder="1"/>
    <xf numFmtId="170" fontId="2" fillId="0" borderId="0" xfId="4" applyNumberFormat="1" applyFont="1"/>
    <xf numFmtId="37" fontId="5" fillId="0" borderId="0" xfId="3" applyNumberFormat="1" applyFont="1" applyAlignment="1">
      <alignment horizontal="right"/>
    </xf>
    <xf numFmtId="0" fontId="2" fillId="0" borderId="0" xfId="3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Kentucky - CCS98 as filed" xfId="3" xr:uid="{5DB71B3B-F624-45BE-A643-3DD7570696A3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58E1-7D2B-4348-9638-2973B5133DE2}">
  <dimension ref="A1:CM114"/>
  <sheetViews>
    <sheetView tabSelected="1" topLeftCell="B1" workbookViewId="0">
      <selection activeCell="D103" sqref="D103"/>
    </sheetView>
  </sheetViews>
  <sheetFormatPr defaultColWidth="12.5703125" defaultRowHeight="12.75" x14ac:dyDescent="0.2"/>
  <cols>
    <col min="1" max="1" width="5.5703125" style="1" bestFit="1" customWidth="1"/>
    <col min="2" max="2" width="29.5703125" style="1" customWidth="1"/>
    <col min="3" max="3" width="8.5703125" style="1" customWidth="1"/>
    <col min="4" max="15" width="10.5703125" style="1" customWidth="1"/>
    <col min="16" max="16" width="12.28515625" style="1" bestFit="1" customWidth="1"/>
    <col min="17" max="17" width="10.5703125" style="1" customWidth="1"/>
    <col min="18" max="19" width="10.5703125" style="3" customWidth="1"/>
    <col min="20" max="20" width="16" bestFit="1" customWidth="1"/>
    <col min="21" max="29" width="10.5703125" style="3" customWidth="1"/>
    <col min="30" max="63" width="10.5703125" style="1" customWidth="1"/>
    <col min="64" max="67" width="9.5703125" style="1" customWidth="1"/>
    <col min="68" max="16384" width="12.5703125" style="1"/>
  </cols>
  <sheetData>
    <row r="1" spans="1:91" x14ac:dyDescent="0.2">
      <c r="P1" s="2"/>
      <c r="Q1" s="2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x14ac:dyDescent="0.2">
      <c r="P2" s="2"/>
      <c r="Q2" s="2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x14ac:dyDescent="0.2">
      <c r="O3" s="48" t="s">
        <v>62</v>
      </c>
      <c r="P3" s="48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x14ac:dyDescent="0.2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6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x14ac:dyDescent="0.2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7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">
      <c r="A6" s="49" t="s">
        <v>63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7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</row>
    <row r="7" spans="1:91" x14ac:dyDescent="0.2">
      <c r="A7" s="50" t="s">
        <v>64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</row>
    <row r="8" spans="1:91" x14ac:dyDescent="0.2">
      <c r="A8" s="8" t="s">
        <v>3</v>
      </c>
      <c r="P8" s="5" t="s">
        <v>4</v>
      </c>
      <c r="Q8" s="5" t="s">
        <v>4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</row>
    <row r="9" spans="1:91" x14ac:dyDescent="0.2">
      <c r="A9" s="9" t="s">
        <v>5</v>
      </c>
      <c r="B9" s="10" t="s">
        <v>6</v>
      </c>
      <c r="C9" s="11" t="s">
        <v>7</v>
      </c>
      <c r="D9" s="12">
        <v>45777</v>
      </c>
      <c r="E9" s="12">
        <v>45808</v>
      </c>
      <c r="F9" s="12">
        <v>45838</v>
      </c>
      <c r="G9" s="12">
        <v>45869</v>
      </c>
      <c r="H9" s="12">
        <v>45900</v>
      </c>
      <c r="I9" s="12">
        <v>45930</v>
      </c>
      <c r="J9" s="12">
        <v>45961</v>
      </c>
      <c r="K9" s="12">
        <v>45991</v>
      </c>
      <c r="L9" s="12">
        <v>46022</v>
      </c>
      <c r="M9" s="12">
        <v>46053</v>
      </c>
      <c r="N9" s="12">
        <v>46081</v>
      </c>
      <c r="O9" s="12">
        <v>46112</v>
      </c>
      <c r="P9" s="12" t="s">
        <v>8</v>
      </c>
      <c r="Q9" s="12" t="s">
        <v>9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</row>
    <row r="10" spans="1:91" x14ac:dyDescent="0.2">
      <c r="B10" s="14"/>
      <c r="C10" s="14"/>
      <c r="D10" s="14" t="s">
        <v>10</v>
      </c>
      <c r="E10" s="14" t="s">
        <v>11</v>
      </c>
      <c r="F10" s="5" t="s">
        <v>12</v>
      </c>
      <c r="G10" s="15" t="s">
        <v>13</v>
      </c>
      <c r="H10" s="16" t="s">
        <v>14</v>
      </c>
      <c r="I10" s="16" t="s">
        <v>15</v>
      </c>
      <c r="J10" s="16" t="s">
        <v>16</v>
      </c>
      <c r="K10" s="16" t="s">
        <v>17</v>
      </c>
      <c r="L10" s="16" t="s">
        <v>18</v>
      </c>
      <c r="M10" s="16" t="s">
        <v>19</v>
      </c>
      <c r="N10" s="16" t="s">
        <v>20</v>
      </c>
      <c r="O10" s="16" t="s">
        <v>21</v>
      </c>
      <c r="P10" s="16" t="s">
        <v>22</v>
      </c>
      <c r="Q10" s="16" t="s">
        <v>23</v>
      </c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</row>
    <row r="11" spans="1:91" x14ac:dyDescent="0.2"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18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</row>
    <row r="12" spans="1:91" x14ac:dyDescent="0.2">
      <c r="A12" s="5">
        <v>1</v>
      </c>
      <c r="B12" s="21" t="s">
        <v>24</v>
      </c>
      <c r="C12" s="5"/>
      <c r="D12" s="22">
        <f>D13*$C$13+D14*$C$14+D15*$C$15+D16*$C$16</f>
        <v>4497799.4522190634</v>
      </c>
      <c r="E12" s="22">
        <f t="shared" ref="E12:O12" si="0">E13*$C$13+E14*$C$14+E15*$C$15+E16*$C$16</f>
        <v>3790403.6886797687</v>
      </c>
      <c r="F12" s="22">
        <f t="shared" si="0"/>
        <v>3382286.3949138192</v>
      </c>
      <c r="G12" s="22">
        <f t="shared" si="0"/>
        <v>3304326.0103908717</v>
      </c>
      <c r="H12" s="22">
        <f t="shared" si="0"/>
        <v>3299833.1304265987</v>
      </c>
      <c r="I12" s="22">
        <f t="shared" si="0"/>
        <v>3282895.2218366954</v>
      </c>
      <c r="J12" s="22">
        <f t="shared" si="0"/>
        <v>3526700.0371501367</v>
      </c>
      <c r="K12" s="22">
        <f t="shared" si="0"/>
        <v>4489137.0864267787</v>
      </c>
      <c r="L12" s="22">
        <f t="shared" si="0"/>
        <v>5472659.2447268227</v>
      </c>
      <c r="M12" s="22">
        <f t="shared" si="0"/>
        <v>5988793.6646467466</v>
      </c>
      <c r="N12" s="22">
        <f t="shared" si="0"/>
        <v>6232440.2200904908</v>
      </c>
      <c r="O12" s="22">
        <f t="shared" si="0"/>
        <v>5283243.0108737489</v>
      </c>
      <c r="P12" s="22">
        <f>SUM(D12:O12)</f>
        <v>52550517.162381545</v>
      </c>
      <c r="Q12" s="23"/>
      <c r="S12" s="24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5"/>
      <c r="BM12" s="25"/>
      <c r="BN12" s="25"/>
      <c r="BO12" s="25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</row>
    <row r="13" spans="1:91" x14ac:dyDescent="0.2">
      <c r="A13" s="5">
        <v>2</v>
      </c>
      <c r="B13" s="1" t="s">
        <v>25</v>
      </c>
      <c r="C13" s="26">
        <v>19.3</v>
      </c>
      <c r="D13" s="2">
        <v>162288</v>
      </c>
      <c r="E13" s="2">
        <v>161528</v>
      </c>
      <c r="F13" s="2">
        <v>160443</v>
      </c>
      <c r="G13" s="2">
        <v>158859</v>
      </c>
      <c r="H13" s="2">
        <v>158643</v>
      </c>
      <c r="I13" s="2">
        <v>157525</v>
      </c>
      <c r="J13" s="2">
        <v>158693</v>
      </c>
      <c r="K13" s="2">
        <v>160008</v>
      </c>
      <c r="L13" s="2">
        <v>161112</v>
      </c>
      <c r="M13" s="2">
        <v>162059</v>
      </c>
      <c r="N13" s="2">
        <v>162229</v>
      </c>
      <c r="O13" s="2">
        <v>162136</v>
      </c>
      <c r="P13" s="2">
        <f>ROUND((SUM(D13:O13)),0)</f>
        <v>1925523</v>
      </c>
      <c r="Q13" s="2">
        <f>ROUND(P13*C13,0)</f>
        <v>37162594</v>
      </c>
      <c r="S13" s="27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30"/>
      <c r="BM13" s="30"/>
      <c r="BN13" s="30"/>
      <c r="BO13" s="30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</row>
    <row r="14" spans="1:91" x14ac:dyDescent="0.2">
      <c r="A14" s="5">
        <v>3</v>
      </c>
      <c r="B14" s="1" t="s">
        <v>26</v>
      </c>
      <c r="C14" s="31">
        <v>1.5483</v>
      </c>
      <c r="D14" s="2">
        <v>882026.12686111452</v>
      </c>
      <c r="E14" s="2">
        <v>434614.2793255627</v>
      </c>
      <c r="F14" s="2">
        <v>184548.5338202024</v>
      </c>
      <c r="G14" s="2">
        <v>153941.29715873633</v>
      </c>
      <c r="H14" s="2">
        <v>153731.98374126368</v>
      </c>
      <c r="I14" s="2">
        <v>156728.49049712287</v>
      </c>
      <c r="J14" s="2">
        <v>299635.17222123418</v>
      </c>
      <c r="K14" s="2">
        <v>904852.21625445888</v>
      </c>
      <c r="L14" s="2">
        <v>1526317.6675882081</v>
      </c>
      <c r="M14" s="2">
        <v>1847868.6072768497</v>
      </c>
      <c r="N14" s="2">
        <v>2003113.4276887493</v>
      </c>
      <c r="O14" s="2">
        <v>1391215.0170340042</v>
      </c>
      <c r="P14" s="2">
        <f>SUM(D14:O14)</f>
        <v>9938592.8194675054</v>
      </c>
      <c r="Q14" s="2">
        <f t="shared" ref="Q14:Q16" si="1">ROUND(P14*C14,0)</f>
        <v>15387923</v>
      </c>
      <c r="S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</row>
    <row r="15" spans="1:91" x14ac:dyDescent="0.2">
      <c r="A15" s="5">
        <v>4</v>
      </c>
      <c r="B15" s="1" t="s">
        <v>27</v>
      </c>
      <c r="C15" s="31">
        <v>1.0762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>SUM(D15:O15)</f>
        <v>0</v>
      </c>
      <c r="Q15" s="2">
        <f t="shared" si="1"/>
        <v>0</v>
      </c>
      <c r="S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</row>
    <row r="16" spans="1:91" x14ac:dyDescent="0.2">
      <c r="A16" s="5">
        <v>5</v>
      </c>
      <c r="B16" s="1" t="s">
        <v>28</v>
      </c>
      <c r="C16" s="31">
        <v>0.88880000000000003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>SUM(D16:O16)</f>
        <v>0</v>
      </c>
      <c r="Q16" s="2">
        <f t="shared" si="1"/>
        <v>0</v>
      </c>
      <c r="S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</row>
    <row r="17" spans="1:19" x14ac:dyDescent="0.2">
      <c r="A17" s="5">
        <v>6</v>
      </c>
      <c r="B17" s="32" t="s">
        <v>29</v>
      </c>
      <c r="C17" s="32"/>
      <c r="D17" s="33">
        <f t="shared" ref="D17:P17" si="2">D14+D15+D16</f>
        <v>882026.12686111452</v>
      </c>
      <c r="E17" s="33">
        <f t="shared" si="2"/>
        <v>434614.2793255627</v>
      </c>
      <c r="F17" s="33">
        <f t="shared" si="2"/>
        <v>184548.5338202024</v>
      </c>
      <c r="G17" s="33">
        <f t="shared" si="2"/>
        <v>153941.29715873633</v>
      </c>
      <c r="H17" s="33">
        <f t="shared" si="2"/>
        <v>153731.98374126368</v>
      </c>
      <c r="I17" s="33">
        <f t="shared" si="2"/>
        <v>156728.49049712287</v>
      </c>
      <c r="J17" s="33">
        <f t="shared" si="2"/>
        <v>299635.17222123418</v>
      </c>
      <c r="K17" s="33">
        <f t="shared" si="2"/>
        <v>904852.21625445888</v>
      </c>
      <c r="L17" s="33">
        <f t="shared" si="2"/>
        <v>1526317.6675882081</v>
      </c>
      <c r="M17" s="33">
        <f t="shared" si="2"/>
        <v>1847868.6072768497</v>
      </c>
      <c r="N17" s="33">
        <f t="shared" si="2"/>
        <v>2003113.4276887493</v>
      </c>
      <c r="O17" s="33">
        <f t="shared" si="2"/>
        <v>1391215.0170340042</v>
      </c>
      <c r="P17" s="33">
        <f t="shared" si="2"/>
        <v>9938592.8194675054</v>
      </c>
      <c r="Q17" s="33">
        <f>SUM(Q13:Q16)</f>
        <v>52550517</v>
      </c>
    </row>
    <row r="18" spans="1:19" x14ac:dyDescent="0.2">
      <c r="A18" s="5">
        <v>7</v>
      </c>
      <c r="B18" s="1" t="s">
        <v>71</v>
      </c>
      <c r="D18" s="26">
        <f>+D12/D13</f>
        <v>27.714923174967115</v>
      </c>
      <c r="E18" s="26">
        <f t="shared" ref="E18:P18" si="3">+E12/E13</f>
        <v>23.465923484967117</v>
      </c>
      <c r="F18" s="26">
        <f t="shared" si="3"/>
        <v>21.080922164967117</v>
      </c>
      <c r="G18" s="26">
        <f t="shared" si="3"/>
        <v>20.80037020496712</v>
      </c>
      <c r="H18" s="26">
        <f t="shared" si="3"/>
        <v>20.80037020496712</v>
      </c>
      <c r="I18" s="26">
        <f t="shared" si="3"/>
        <v>20.840471174967121</v>
      </c>
      <c r="J18" s="26">
        <f t="shared" si="3"/>
        <v>22.223412734967116</v>
      </c>
      <c r="K18" s="26">
        <f t="shared" si="3"/>
        <v>28.055704004967119</v>
      </c>
      <c r="L18" s="26">
        <f t="shared" si="3"/>
        <v>33.96804238496712</v>
      </c>
      <c r="M18" s="26">
        <f t="shared" si="3"/>
        <v>36.954403424967118</v>
      </c>
      <c r="N18" s="26">
        <f t="shared" si="3"/>
        <v>38.41754692496712</v>
      </c>
      <c r="O18" s="26">
        <f t="shared" si="3"/>
        <v>32.585255654967121</v>
      </c>
      <c r="P18" s="26">
        <f t="shared" si="3"/>
        <v>27.291555157939712</v>
      </c>
      <c r="Q18" s="26"/>
      <c r="S18" s="28"/>
    </row>
    <row r="19" spans="1:19" x14ac:dyDescent="0.2">
      <c r="A19" s="5">
        <v>8</v>
      </c>
      <c r="B19" s="1" t="s">
        <v>30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/>
      <c r="S19" s="28"/>
    </row>
    <row r="20" spans="1:19" x14ac:dyDescent="0.2">
      <c r="A20" s="5">
        <v>9</v>
      </c>
      <c r="C20" s="2"/>
      <c r="D20" s="35"/>
      <c r="P20" s="2"/>
      <c r="Q20" s="2"/>
      <c r="S20" s="28"/>
    </row>
    <row r="21" spans="1:19" x14ac:dyDescent="0.2">
      <c r="A21" s="5">
        <v>10</v>
      </c>
      <c r="B21" s="21" t="s">
        <v>31</v>
      </c>
      <c r="D21" s="22">
        <f t="shared" ref="D21:O21" si="4">D22*$C$22+D23*$C$23+D24*$C$24+D25*$C$25</f>
        <v>1993206.7256141701</v>
      </c>
      <c r="E21" s="22">
        <f t="shared" si="4"/>
        <v>1654025.0975457665</v>
      </c>
      <c r="F21" s="22">
        <f t="shared" si="4"/>
        <v>1450975.2826639945</v>
      </c>
      <c r="G21" s="22">
        <f t="shared" si="4"/>
        <v>1405636.3299546661</v>
      </c>
      <c r="H21" s="22">
        <f t="shared" si="4"/>
        <v>1403551.1742040343</v>
      </c>
      <c r="I21" s="22">
        <f t="shared" si="4"/>
        <v>1386296.456806055</v>
      </c>
      <c r="J21" s="22">
        <f t="shared" si="4"/>
        <v>1487571.2048142287</v>
      </c>
      <c r="K21" s="22">
        <f t="shared" si="4"/>
        <v>1954908.5839999609</v>
      </c>
      <c r="L21" s="22">
        <f t="shared" si="4"/>
        <v>2410511.3437672909</v>
      </c>
      <c r="M21" s="22">
        <f t="shared" si="4"/>
        <v>2646438.0113482573</v>
      </c>
      <c r="N21" s="22">
        <f t="shared" si="4"/>
        <v>2757769.6389602222</v>
      </c>
      <c r="O21" s="22">
        <f t="shared" si="4"/>
        <v>2349469.0499139586</v>
      </c>
      <c r="P21" s="22">
        <f>SUM(D21:O21)</f>
        <v>22900358.899592608</v>
      </c>
      <c r="Q21" s="23"/>
      <c r="S21" s="24"/>
    </row>
    <row r="22" spans="1:19" x14ac:dyDescent="0.2">
      <c r="A22" s="5">
        <v>11</v>
      </c>
      <c r="B22" s="1" t="s">
        <v>25</v>
      </c>
      <c r="C22" s="36">
        <v>66</v>
      </c>
      <c r="D22" s="2">
        <v>18884</v>
      </c>
      <c r="E22" s="2">
        <v>18586</v>
      </c>
      <c r="F22" s="2">
        <v>18217</v>
      </c>
      <c r="G22" s="2">
        <v>17906</v>
      </c>
      <c r="H22" s="2">
        <v>17852</v>
      </c>
      <c r="I22" s="2">
        <v>17731</v>
      </c>
      <c r="J22" s="2">
        <v>17935</v>
      </c>
      <c r="K22" s="2">
        <v>18360</v>
      </c>
      <c r="L22" s="2">
        <v>18636</v>
      </c>
      <c r="M22" s="2">
        <v>18899</v>
      </c>
      <c r="N22" s="2">
        <v>18881</v>
      </c>
      <c r="O22" s="2">
        <v>18894</v>
      </c>
      <c r="P22" s="2">
        <f>ROUND((SUM(D22:O22)),0)</f>
        <v>220781</v>
      </c>
      <c r="Q22" s="2">
        <f t="shared" ref="Q22:Q25" si="5">ROUND(P22*C22,0)</f>
        <v>14571546</v>
      </c>
      <c r="S22" s="28"/>
    </row>
    <row r="23" spans="1:19" x14ac:dyDescent="0.2">
      <c r="A23" s="5">
        <v>12</v>
      </c>
      <c r="B23" s="1" t="s">
        <v>26</v>
      </c>
      <c r="C23" s="31">
        <v>1.5483</v>
      </c>
      <c r="D23" s="2">
        <v>450438.39086677105</v>
      </c>
      <c r="E23" s="2">
        <v>256777.33183943888</v>
      </c>
      <c r="F23" s="2">
        <v>147122.54030253537</v>
      </c>
      <c r="G23" s="2">
        <v>130646.31892965757</v>
      </c>
      <c r="H23" s="2">
        <v>134814.39468582821</v>
      </c>
      <c r="I23" s="2">
        <v>113316.03222846896</v>
      </c>
      <c r="J23" s="2">
        <v>149214.90200769715</v>
      </c>
      <c r="K23" s="2">
        <v>437071.41059518291</v>
      </c>
      <c r="L23" s="2">
        <v>697238.14561079466</v>
      </c>
      <c r="M23" s="2">
        <v>802225.24254819378</v>
      </c>
      <c r="N23" s="2">
        <v>879856.95446737448</v>
      </c>
      <c r="O23" s="2">
        <v>660855.73601369164</v>
      </c>
      <c r="P23" s="2">
        <f>SUM(D23:O23)</f>
        <v>4859577.4000956351</v>
      </c>
      <c r="Q23" s="2">
        <f t="shared" si="5"/>
        <v>7524084</v>
      </c>
      <c r="S23" s="28"/>
    </row>
    <row r="24" spans="1:19" x14ac:dyDescent="0.2">
      <c r="A24" s="5">
        <v>13</v>
      </c>
      <c r="B24" s="1" t="s">
        <v>27</v>
      </c>
      <c r="C24" s="31">
        <v>1.0762</v>
      </c>
      <c r="D24" s="2">
        <v>45947.746734016335</v>
      </c>
      <c r="E24" s="2">
        <v>27672.137761348546</v>
      </c>
      <c r="F24" s="2">
        <v>19386.223298252091</v>
      </c>
      <c r="G24" s="2">
        <v>20034.040471917302</v>
      </c>
      <c r="H24" s="2">
        <v>15411.677115746692</v>
      </c>
      <c r="I24" s="2">
        <v>37728.344273105904</v>
      </c>
      <c r="J24" s="2">
        <v>67674.941493877734</v>
      </c>
      <c r="K24" s="2">
        <v>61727.298806392049</v>
      </c>
      <c r="L24" s="2">
        <v>93850.142090780355</v>
      </c>
      <c r="M24" s="2">
        <v>145901.01125338109</v>
      </c>
      <c r="N24" s="2">
        <v>138767.06593420039</v>
      </c>
      <c r="O24" s="2">
        <v>73649.984987883261</v>
      </c>
      <c r="P24" s="2">
        <f>SUM(D24:O24)</f>
        <v>747750.61422090186</v>
      </c>
      <c r="Q24" s="2">
        <f t="shared" si="5"/>
        <v>804729</v>
      </c>
      <c r="S24" s="28"/>
    </row>
    <row r="25" spans="1:19" x14ac:dyDescent="0.2">
      <c r="A25" s="5">
        <v>14</v>
      </c>
      <c r="B25" s="1" t="s">
        <v>28</v>
      </c>
      <c r="C25" s="31">
        <v>0.88880000000000003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>SUM(D25:O25)</f>
        <v>0</v>
      </c>
      <c r="Q25" s="2">
        <f t="shared" si="5"/>
        <v>0</v>
      </c>
      <c r="S25" s="28"/>
    </row>
    <row r="26" spans="1:19" x14ac:dyDescent="0.2">
      <c r="A26" s="5">
        <v>15</v>
      </c>
      <c r="B26" s="32" t="s">
        <v>29</v>
      </c>
      <c r="C26" s="32"/>
      <c r="D26" s="33">
        <f t="shared" ref="D26:P26" si="6">D23+D24+D25</f>
        <v>496386.13760078739</v>
      </c>
      <c r="E26" s="33">
        <f t="shared" si="6"/>
        <v>284449.46960078744</v>
      </c>
      <c r="F26" s="33">
        <f t="shared" si="6"/>
        <v>166508.76360078747</v>
      </c>
      <c r="G26" s="33">
        <f t="shared" si="6"/>
        <v>150680.35940157488</v>
      </c>
      <c r="H26" s="33">
        <f t="shared" si="6"/>
        <v>150226.0718015749</v>
      </c>
      <c r="I26" s="33">
        <f t="shared" si="6"/>
        <v>151044.37650157488</v>
      </c>
      <c r="J26" s="33">
        <f t="shared" si="6"/>
        <v>216889.84350157488</v>
      </c>
      <c r="K26" s="33">
        <f t="shared" si="6"/>
        <v>498798.70940157498</v>
      </c>
      <c r="L26" s="33">
        <f t="shared" si="6"/>
        <v>791088.28770157497</v>
      </c>
      <c r="M26" s="33">
        <f t="shared" si="6"/>
        <v>948126.25380157493</v>
      </c>
      <c r="N26" s="33">
        <f t="shared" si="6"/>
        <v>1018624.0204015749</v>
      </c>
      <c r="O26" s="33">
        <f t="shared" si="6"/>
        <v>734505.72100157489</v>
      </c>
      <c r="P26" s="33">
        <f t="shared" si="6"/>
        <v>5607328.0143165365</v>
      </c>
      <c r="Q26" s="33">
        <f>SUM(Q22:Q25)</f>
        <v>22900359</v>
      </c>
      <c r="S26" s="28"/>
    </row>
    <row r="27" spans="1:19" x14ac:dyDescent="0.2">
      <c r="A27" s="5">
        <v>16</v>
      </c>
      <c r="B27" s="1" t="s">
        <v>71</v>
      </c>
      <c r="D27" s="26">
        <f>+D21/D22</f>
        <v>105.55002783383658</v>
      </c>
      <c r="E27" s="26">
        <f t="shared" ref="E27:P27" si="7">+E21/E22</f>
        <v>88.993064540286582</v>
      </c>
      <c r="F27" s="26">
        <f t="shared" si="7"/>
        <v>79.649518727781441</v>
      </c>
      <c r="G27" s="26">
        <f t="shared" si="7"/>
        <v>78.500856135075736</v>
      </c>
      <c r="H27" s="26">
        <f t="shared" si="7"/>
        <v>78.621508749945903</v>
      </c>
      <c r="I27" s="26">
        <f t="shared" si="7"/>
        <v>78.184899712709665</v>
      </c>
      <c r="J27" s="26">
        <f t="shared" si="7"/>
        <v>82.942358785292924</v>
      </c>
      <c r="K27" s="26">
        <f t="shared" si="7"/>
        <v>106.47650239651203</v>
      </c>
      <c r="L27" s="26">
        <f t="shared" si="7"/>
        <v>129.34703497356145</v>
      </c>
      <c r="M27" s="26">
        <f t="shared" si="7"/>
        <v>140.03058422923209</v>
      </c>
      <c r="N27" s="26">
        <f t="shared" si="7"/>
        <v>146.06057088926551</v>
      </c>
      <c r="O27" s="26">
        <f t="shared" si="7"/>
        <v>124.35000793447436</v>
      </c>
      <c r="P27" s="26">
        <f t="shared" si="7"/>
        <v>103.72431911981832</v>
      </c>
      <c r="Q27" s="26"/>
      <c r="S27" s="28"/>
    </row>
    <row r="28" spans="1:19" x14ac:dyDescent="0.2">
      <c r="A28" s="5">
        <v>17</v>
      </c>
      <c r="B28" s="1" t="s">
        <v>30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/>
      <c r="S28" s="28"/>
    </row>
    <row r="29" spans="1:19" x14ac:dyDescent="0.2">
      <c r="A29" s="5">
        <v>18</v>
      </c>
      <c r="D29" s="35"/>
      <c r="P29" s="2"/>
      <c r="Q29" s="2"/>
      <c r="S29" s="28"/>
    </row>
    <row r="30" spans="1:19" x14ac:dyDescent="0.2">
      <c r="A30" s="5">
        <v>19</v>
      </c>
      <c r="B30" s="21" t="s">
        <v>32</v>
      </c>
      <c r="C30" s="31"/>
      <c r="D30" s="22">
        <f t="shared" ref="D30:O30" si="8">D31*$C$31+D32*$C$32+D33*$C$33+D34*$C$34</f>
        <v>78935.194497119999</v>
      </c>
      <c r="E30" s="22">
        <f t="shared" si="8"/>
        <v>79593.051280900007</v>
      </c>
      <c r="F30" s="22">
        <f t="shared" si="8"/>
        <v>37876.725161330003</v>
      </c>
      <c r="G30" s="22">
        <f t="shared" si="8"/>
        <v>34476.761266009999</v>
      </c>
      <c r="H30" s="22">
        <f t="shared" si="8"/>
        <v>41537.042030080003</v>
      </c>
      <c r="I30" s="22">
        <f t="shared" si="8"/>
        <v>39382.586922149996</v>
      </c>
      <c r="J30" s="22">
        <f t="shared" si="8"/>
        <v>44235.408455609992</v>
      </c>
      <c r="K30" s="22">
        <f t="shared" si="8"/>
        <v>71836.672925709994</v>
      </c>
      <c r="L30" s="22">
        <f t="shared" si="8"/>
        <v>107820.87914045001</v>
      </c>
      <c r="M30" s="22">
        <f t="shared" si="8"/>
        <v>165804.88306844002</v>
      </c>
      <c r="N30" s="22">
        <f t="shared" si="8"/>
        <v>156328.97685337003</v>
      </c>
      <c r="O30" s="22">
        <f t="shared" si="8"/>
        <v>103640.03743631</v>
      </c>
      <c r="P30" s="22">
        <f>SUM(D30:O30)</f>
        <v>961468.21903747995</v>
      </c>
      <c r="Q30" s="23"/>
      <c r="S30" s="24"/>
    </row>
    <row r="31" spans="1:19" x14ac:dyDescent="0.2">
      <c r="A31" s="5">
        <v>20</v>
      </c>
      <c r="B31" s="1" t="s">
        <v>25</v>
      </c>
      <c r="C31" s="26">
        <f>C22</f>
        <v>66</v>
      </c>
      <c r="D31" s="2">
        <v>213</v>
      </c>
      <c r="E31" s="2">
        <v>212</v>
      </c>
      <c r="F31" s="2">
        <v>210</v>
      </c>
      <c r="G31" s="2">
        <v>203</v>
      </c>
      <c r="H31" s="2">
        <v>215</v>
      </c>
      <c r="I31" s="2">
        <v>208</v>
      </c>
      <c r="J31" s="2">
        <v>210</v>
      </c>
      <c r="K31" s="2">
        <v>213</v>
      </c>
      <c r="L31" s="2">
        <v>208</v>
      </c>
      <c r="M31" s="2">
        <v>205</v>
      </c>
      <c r="N31" s="2">
        <v>212</v>
      </c>
      <c r="O31" s="2">
        <v>215</v>
      </c>
      <c r="P31" s="2">
        <f>ROUND((SUM(D31:O31)),0)</f>
        <v>2524</v>
      </c>
      <c r="Q31" s="2">
        <f t="shared" ref="Q31:Q34" si="9">ROUND(P31*C31,0)</f>
        <v>166584</v>
      </c>
      <c r="S31" s="28"/>
    </row>
    <row r="32" spans="1:19" x14ac:dyDescent="0.2">
      <c r="A32" s="5">
        <v>21</v>
      </c>
      <c r="B32" s="1" t="s">
        <v>26</v>
      </c>
      <c r="C32" s="31">
        <f>C23</f>
        <v>1.5483</v>
      </c>
      <c r="D32" s="2">
        <v>27357.7264</v>
      </c>
      <c r="E32" s="2">
        <v>16429.903000000002</v>
      </c>
      <c r="F32" s="2">
        <v>9573.3551000000007</v>
      </c>
      <c r="G32" s="2">
        <v>8454.1347000000005</v>
      </c>
      <c r="H32" s="2">
        <v>8648.4575999999997</v>
      </c>
      <c r="I32" s="2">
        <v>9242.5805</v>
      </c>
      <c r="J32" s="2">
        <v>10822.866699999995</v>
      </c>
      <c r="K32" s="2">
        <v>23510.049699999996</v>
      </c>
      <c r="L32" s="2">
        <v>34112.761500000008</v>
      </c>
      <c r="M32" s="2">
        <v>43948.126800000005</v>
      </c>
      <c r="N32" s="2">
        <v>45008.453900000015</v>
      </c>
      <c r="O32" s="2">
        <v>34440.155699999996</v>
      </c>
      <c r="P32" s="2">
        <f>SUM(D32:O32)</f>
        <v>271548.57160000002</v>
      </c>
      <c r="Q32" s="2">
        <f t="shared" si="9"/>
        <v>420439</v>
      </c>
      <c r="S32" s="28"/>
    </row>
    <row r="33" spans="1:19" x14ac:dyDescent="0.2">
      <c r="A33" s="5">
        <v>22</v>
      </c>
      <c r="B33" s="1" t="s">
        <v>27</v>
      </c>
      <c r="C33" s="31">
        <f>C24</f>
        <v>1.0762</v>
      </c>
      <c r="D33" s="2">
        <v>20924.759999999998</v>
      </c>
      <c r="E33" s="2">
        <v>37318.93</v>
      </c>
      <c r="F33" s="2">
        <v>8543.2999999999993</v>
      </c>
      <c r="G33" s="2">
        <v>7423.55</v>
      </c>
      <c r="H33" s="2">
        <v>12968.44</v>
      </c>
      <c r="I33" s="2">
        <v>10541.07</v>
      </c>
      <c r="J33" s="2">
        <v>12654.12</v>
      </c>
      <c r="K33" s="2">
        <v>19864.396000000001</v>
      </c>
      <c r="L33" s="2">
        <v>38353.549999999996</v>
      </c>
      <c r="M33" s="2">
        <v>78266.12</v>
      </c>
      <c r="N33" s="2">
        <v>67506.399999999994</v>
      </c>
      <c r="O33" s="2">
        <v>33568.43</v>
      </c>
      <c r="P33" s="2">
        <f>SUM(D33:O33)</f>
        <v>347933.06599999999</v>
      </c>
      <c r="Q33" s="2">
        <f t="shared" si="9"/>
        <v>374446</v>
      </c>
      <c r="S33" s="28"/>
    </row>
    <row r="34" spans="1:19" x14ac:dyDescent="0.2">
      <c r="A34" s="5">
        <v>23</v>
      </c>
      <c r="B34" s="1" t="s">
        <v>28</v>
      </c>
      <c r="C34" s="31">
        <f>C25</f>
        <v>0.88880000000000003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f>SUM(D34:O34)</f>
        <v>0</v>
      </c>
      <c r="Q34" s="2">
        <f t="shared" si="9"/>
        <v>0</v>
      </c>
      <c r="S34" s="28"/>
    </row>
    <row r="35" spans="1:19" x14ac:dyDescent="0.2">
      <c r="A35" s="5">
        <v>24</v>
      </c>
      <c r="B35" s="32" t="s">
        <v>29</v>
      </c>
      <c r="C35" s="32"/>
      <c r="D35" s="33">
        <f t="shared" ref="D35:P35" si="10">D32+D33+D34</f>
        <v>48282.486399999994</v>
      </c>
      <c r="E35" s="33">
        <f t="shared" si="10"/>
        <v>53748.832999999999</v>
      </c>
      <c r="F35" s="33">
        <f t="shared" si="10"/>
        <v>18116.6551</v>
      </c>
      <c r="G35" s="33">
        <f t="shared" si="10"/>
        <v>15877.684700000002</v>
      </c>
      <c r="H35" s="33">
        <f t="shared" si="10"/>
        <v>21616.8976</v>
      </c>
      <c r="I35" s="33">
        <f t="shared" si="10"/>
        <v>19783.6505</v>
      </c>
      <c r="J35" s="33">
        <f t="shared" si="10"/>
        <v>23476.986699999994</v>
      </c>
      <c r="K35" s="33">
        <f t="shared" si="10"/>
        <v>43374.445699999997</v>
      </c>
      <c r="L35" s="33">
        <f t="shared" si="10"/>
        <v>72466.311500000011</v>
      </c>
      <c r="M35" s="33">
        <f t="shared" si="10"/>
        <v>122214.24679999999</v>
      </c>
      <c r="N35" s="33">
        <f t="shared" si="10"/>
        <v>112514.85390000002</v>
      </c>
      <c r="O35" s="33">
        <f t="shared" si="10"/>
        <v>68008.585699999996</v>
      </c>
      <c r="P35" s="33">
        <f t="shared" si="10"/>
        <v>619481.63760000002</v>
      </c>
      <c r="Q35" s="33">
        <f>SUM(Q31:Q34)</f>
        <v>961469</v>
      </c>
      <c r="S35" s="28"/>
    </row>
    <row r="36" spans="1:19" x14ac:dyDescent="0.2">
      <c r="A36" s="5">
        <v>25</v>
      </c>
      <c r="B36" s="1" t="s">
        <v>71</v>
      </c>
      <c r="D36" s="26">
        <f>+D30/D31</f>
        <v>370.5877675921127</v>
      </c>
      <c r="E36" s="26">
        <f t="shared" ref="E36:P36" si="11">+E30/E31</f>
        <v>375.4389211363208</v>
      </c>
      <c r="F36" s="26">
        <f t="shared" si="11"/>
        <v>180.36535791109526</v>
      </c>
      <c r="G36" s="26">
        <f t="shared" si="11"/>
        <v>169.83626239413792</v>
      </c>
      <c r="H36" s="26">
        <f t="shared" si="11"/>
        <v>193.19554432595351</v>
      </c>
      <c r="I36" s="26">
        <f t="shared" si="11"/>
        <v>189.3393602026442</v>
      </c>
      <c r="J36" s="26">
        <f t="shared" si="11"/>
        <v>210.64480216957139</v>
      </c>
      <c r="K36" s="26">
        <f t="shared" si="11"/>
        <v>337.26137523807512</v>
      </c>
      <c r="L36" s="26">
        <f t="shared" si="11"/>
        <v>518.36961125216351</v>
      </c>
      <c r="M36" s="26">
        <f t="shared" si="11"/>
        <v>808.80430765092694</v>
      </c>
      <c r="N36" s="26">
        <f t="shared" si="11"/>
        <v>737.40083421400959</v>
      </c>
      <c r="O36" s="26">
        <f t="shared" si="11"/>
        <v>482.04668575027904</v>
      </c>
      <c r="P36" s="26">
        <f t="shared" si="11"/>
        <v>380.93035619551506</v>
      </c>
      <c r="Q36" s="26"/>
      <c r="S36" s="28"/>
    </row>
    <row r="37" spans="1:19" x14ac:dyDescent="0.2">
      <c r="A37" s="5">
        <v>26</v>
      </c>
      <c r="B37" s="1" t="s">
        <v>30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/>
      <c r="S37" s="28"/>
    </row>
    <row r="38" spans="1:19" x14ac:dyDescent="0.2">
      <c r="A38" s="5">
        <v>27</v>
      </c>
      <c r="D38" s="35"/>
      <c r="S38" s="28"/>
    </row>
    <row r="39" spans="1:19" x14ac:dyDescent="0.2">
      <c r="A39" s="5">
        <v>28</v>
      </c>
      <c r="B39" s="21" t="s">
        <v>33</v>
      </c>
      <c r="C39" s="31"/>
      <c r="D39" s="22">
        <f>D40*$C$40+D41*$C$41+D42*$C$42+D43*$C$43</f>
        <v>219639.18656260933</v>
      </c>
      <c r="E39" s="22">
        <f t="shared" ref="E39:O39" si="12">E40*$C$40+E41*$C$41+E42*$C$42+E43*$C$43</f>
        <v>167990.47939980321</v>
      </c>
      <c r="F39" s="22">
        <f t="shared" si="12"/>
        <v>136710.06063752872</v>
      </c>
      <c r="G39" s="22">
        <f t="shared" si="12"/>
        <v>134369.27134303504</v>
      </c>
      <c r="H39" s="22">
        <f t="shared" si="12"/>
        <v>134662.91799551688</v>
      </c>
      <c r="I39" s="22">
        <f t="shared" si="12"/>
        <v>136292.81380518057</v>
      </c>
      <c r="J39" s="22">
        <f t="shared" si="12"/>
        <v>152710.23816017646</v>
      </c>
      <c r="K39" s="22">
        <f t="shared" si="12"/>
        <v>222737.48146009745</v>
      </c>
      <c r="L39" s="22">
        <f t="shared" si="12"/>
        <v>294189.55237250286</v>
      </c>
      <c r="M39" s="22">
        <f t="shared" si="12"/>
        <v>326569.95819705608</v>
      </c>
      <c r="N39" s="22">
        <f t="shared" si="12"/>
        <v>341394.85353320831</v>
      </c>
      <c r="O39" s="22">
        <f t="shared" si="12"/>
        <v>277957.98794074007</v>
      </c>
      <c r="P39" s="22">
        <f>SUM(D39:O39)</f>
        <v>2545224.8014074555</v>
      </c>
      <c r="Q39" s="23"/>
      <c r="S39" s="24"/>
    </row>
    <row r="40" spans="1:19" x14ac:dyDescent="0.2">
      <c r="A40" s="5">
        <v>29</v>
      </c>
      <c r="B40" s="1" t="s">
        <v>25</v>
      </c>
      <c r="C40" s="26">
        <f>C31</f>
        <v>66</v>
      </c>
      <c r="D40" s="2">
        <v>1504</v>
      </c>
      <c r="E40" s="2">
        <v>1513</v>
      </c>
      <c r="F40" s="2">
        <v>1483</v>
      </c>
      <c r="G40" s="2">
        <v>1490</v>
      </c>
      <c r="H40" s="2">
        <v>1493</v>
      </c>
      <c r="I40" s="2">
        <v>1496</v>
      </c>
      <c r="J40" s="2">
        <v>1504</v>
      </c>
      <c r="K40" s="2">
        <v>1502</v>
      </c>
      <c r="L40" s="2">
        <v>1507</v>
      </c>
      <c r="M40" s="2">
        <v>1516</v>
      </c>
      <c r="N40" s="2">
        <v>1503</v>
      </c>
      <c r="O40" s="2">
        <v>1507</v>
      </c>
      <c r="P40" s="2">
        <f>ROUND((SUM(D40:O40)),0)</f>
        <v>18018</v>
      </c>
      <c r="Q40" s="2">
        <f t="shared" ref="Q40:Q43" si="13">ROUND(P40*C40,0)</f>
        <v>1189188</v>
      </c>
      <c r="S40" s="28"/>
    </row>
    <row r="41" spans="1:19" x14ac:dyDescent="0.2">
      <c r="A41" s="5">
        <v>30</v>
      </c>
      <c r="B41" s="1" t="s">
        <v>26</v>
      </c>
      <c r="C41" s="31">
        <f>C32</f>
        <v>1.5483</v>
      </c>
      <c r="D41" s="2">
        <v>72573.374250856432</v>
      </c>
      <c r="E41" s="2">
        <v>39286.905960354146</v>
      </c>
      <c r="F41" s="2">
        <v>22475.558414676387</v>
      </c>
      <c r="G41" s="2">
        <v>21359.171345509516</v>
      </c>
      <c r="H41" s="2">
        <v>21453.343795799363</v>
      </c>
      <c r="I41" s="2">
        <v>23642.721399916503</v>
      </c>
      <c r="J41" s="2">
        <v>31613.699163898465</v>
      </c>
      <c r="K41" s="2">
        <v>73414.031412576674</v>
      </c>
      <c r="L41" s="2">
        <v>114685.50792167516</v>
      </c>
      <c r="M41" s="2">
        <v>124978.36002113133</v>
      </c>
      <c r="N41" s="2">
        <v>134401.31441577696</v>
      </c>
      <c r="O41" s="2">
        <v>105739.11486968872</v>
      </c>
      <c r="P41" s="2">
        <f>SUM(D41:O41)</f>
        <v>785623.10297185974</v>
      </c>
      <c r="Q41" s="2">
        <f t="shared" si="13"/>
        <v>1216380</v>
      </c>
      <c r="S41" s="28"/>
    </row>
    <row r="42" spans="1:19" x14ac:dyDescent="0.2">
      <c r="A42" s="5">
        <v>31</v>
      </c>
      <c r="B42" s="1" t="s">
        <v>27</v>
      </c>
      <c r="C42" s="31">
        <f>C33</f>
        <v>1.0762</v>
      </c>
      <c r="D42" s="2">
        <v>7442.6976491435726</v>
      </c>
      <c r="E42" s="2">
        <v>6787.3656396458537</v>
      </c>
      <c r="F42" s="2">
        <v>3747.5873853236103</v>
      </c>
      <c r="G42" s="2">
        <v>2749.3647544904838</v>
      </c>
      <c r="H42" s="2">
        <v>2702.7558042006376</v>
      </c>
      <c r="I42" s="2">
        <v>883.46800008349476</v>
      </c>
      <c r="J42" s="2">
        <v>4180.2153361015362</v>
      </c>
      <c r="K42" s="2">
        <v>9234.8416874233153</v>
      </c>
      <c r="L42" s="2">
        <v>15944.973478324855</v>
      </c>
      <c r="M42" s="2">
        <v>30672.703378868671</v>
      </c>
      <c r="N42" s="2">
        <v>31688.625184223063</v>
      </c>
      <c r="O42" s="2">
        <v>13733.614930311276</v>
      </c>
      <c r="P42" s="2">
        <f>SUM(D42:O42)</f>
        <v>129768.21322814038</v>
      </c>
      <c r="Q42" s="2">
        <f t="shared" si="13"/>
        <v>139657</v>
      </c>
      <c r="S42" s="28"/>
    </row>
    <row r="43" spans="1:19" x14ac:dyDescent="0.2">
      <c r="A43" s="5">
        <v>32</v>
      </c>
      <c r="B43" s="1" t="s">
        <v>28</v>
      </c>
      <c r="C43" s="31">
        <f>C34</f>
        <v>0.88880000000000003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f>SUM(D43:O43)</f>
        <v>0</v>
      </c>
      <c r="Q43" s="2">
        <f t="shared" si="13"/>
        <v>0</v>
      </c>
      <c r="S43" s="28"/>
    </row>
    <row r="44" spans="1:19" x14ac:dyDescent="0.2">
      <c r="A44" s="5">
        <v>33</v>
      </c>
      <c r="B44" s="32" t="s">
        <v>29</v>
      </c>
      <c r="C44" s="32"/>
      <c r="D44" s="33">
        <f t="shared" ref="D44:P44" si="14">D41+D42+D43</f>
        <v>80016.07190000001</v>
      </c>
      <c r="E44" s="33">
        <f t="shared" si="14"/>
        <v>46074.2716</v>
      </c>
      <c r="F44" s="33">
        <f t="shared" si="14"/>
        <v>26223.145799999998</v>
      </c>
      <c r="G44" s="33">
        <f t="shared" si="14"/>
        <v>24108.536100000001</v>
      </c>
      <c r="H44" s="33">
        <f t="shared" si="14"/>
        <v>24156.099600000001</v>
      </c>
      <c r="I44" s="33">
        <f t="shared" si="14"/>
        <v>24526.189399999999</v>
      </c>
      <c r="J44" s="33">
        <f t="shared" si="14"/>
        <v>35793.914499999999</v>
      </c>
      <c r="K44" s="33">
        <f t="shared" si="14"/>
        <v>82648.873099999997</v>
      </c>
      <c r="L44" s="33">
        <f t="shared" si="14"/>
        <v>130630.48140000002</v>
      </c>
      <c r="M44" s="33">
        <f t="shared" si="14"/>
        <v>155651.06340000001</v>
      </c>
      <c r="N44" s="33">
        <f t="shared" si="14"/>
        <v>166089.93960000001</v>
      </c>
      <c r="O44" s="33">
        <f t="shared" si="14"/>
        <v>119472.7298</v>
      </c>
      <c r="P44" s="33">
        <f t="shared" si="14"/>
        <v>915391.31620000012</v>
      </c>
      <c r="Q44" s="33">
        <f>SUM(Q40:Q43)</f>
        <v>2545225</v>
      </c>
      <c r="S44" s="28"/>
    </row>
    <row r="45" spans="1:19" x14ac:dyDescent="0.2">
      <c r="A45" s="5">
        <v>34</v>
      </c>
      <c r="B45" s="1" t="s">
        <v>71</v>
      </c>
      <c r="D45" s="26">
        <f>+D39/D40</f>
        <v>146.03669319322429</v>
      </c>
      <c r="E45" s="26">
        <f t="shared" ref="E45:P45" si="15">+E39/E40</f>
        <v>111.0313809648402</v>
      </c>
      <c r="F45" s="26">
        <f t="shared" si="15"/>
        <v>92.184801508785384</v>
      </c>
      <c r="G45" s="26">
        <f t="shared" si="15"/>
        <v>90.180719022171175</v>
      </c>
      <c r="H45" s="26">
        <f t="shared" si="15"/>
        <v>90.196194236782901</v>
      </c>
      <c r="I45" s="26">
        <f t="shared" si="15"/>
        <v>91.104822062286473</v>
      </c>
      <c r="J45" s="26">
        <f t="shared" si="15"/>
        <v>101.53606260650031</v>
      </c>
      <c r="K45" s="26">
        <f t="shared" si="15"/>
        <v>148.29392906797435</v>
      </c>
      <c r="L45" s="26">
        <f t="shared" si="15"/>
        <v>195.21536321997536</v>
      </c>
      <c r="M45" s="26">
        <f t="shared" si="15"/>
        <v>215.41553970782064</v>
      </c>
      <c r="N45" s="26">
        <f t="shared" si="15"/>
        <v>227.14228445323241</v>
      </c>
      <c r="O45" s="26">
        <f t="shared" si="15"/>
        <v>184.44458390228272</v>
      </c>
      <c r="P45" s="26">
        <f t="shared" si="15"/>
        <v>141.26011773823151</v>
      </c>
      <c r="Q45" s="26"/>
      <c r="S45" s="28"/>
    </row>
    <row r="46" spans="1:19" x14ac:dyDescent="0.2">
      <c r="A46" s="5">
        <v>35</v>
      </c>
      <c r="B46" s="1" t="s">
        <v>30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/>
      <c r="S46" s="28"/>
    </row>
    <row r="47" spans="1:19" x14ac:dyDescent="0.2">
      <c r="A47" s="5">
        <v>36</v>
      </c>
      <c r="D47" s="35"/>
      <c r="S47" s="28"/>
    </row>
    <row r="48" spans="1:19" x14ac:dyDescent="0.2">
      <c r="A48" s="5">
        <v>37</v>
      </c>
      <c r="B48" s="21" t="s">
        <v>34</v>
      </c>
      <c r="D48" s="22">
        <f t="shared" ref="D48:O48" si="16">D49*$C$49+D50*$C$50+D51*$C$51</f>
        <v>2079.2406024399997</v>
      </c>
      <c r="E48" s="22">
        <f t="shared" si="16"/>
        <v>2460.04241959</v>
      </c>
      <c r="F48" s="22">
        <f t="shared" si="16"/>
        <v>1096.67434798</v>
      </c>
      <c r="G48" s="22">
        <f t="shared" si="16"/>
        <v>1058.2202293600001</v>
      </c>
      <c r="H48" s="22">
        <f t="shared" si="16"/>
        <v>1067.4262963199999</v>
      </c>
      <c r="I48" s="22">
        <f t="shared" si="16"/>
        <v>1156.99335348</v>
      </c>
      <c r="J48" s="22">
        <f t="shared" si="16"/>
        <v>1082.3861551299999</v>
      </c>
      <c r="K48" s="22">
        <f t="shared" si="16"/>
        <v>1722.4079307699999</v>
      </c>
      <c r="L48" s="22">
        <f t="shared" si="16"/>
        <v>2487.4411934099999</v>
      </c>
      <c r="M48" s="22">
        <f t="shared" si="16"/>
        <v>2982.3806385299999</v>
      </c>
      <c r="N48" s="22">
        <f t="shared" si="16"/>
        <v>3345.1696148800002</v>
      </c>
      <c r="O48" s="22">
        <f t="shared" si="16"/>
        <v>2610.3687749000001</v>
      </c>
      <c r="P48" s="22">
        <f>SUM(D48:O48)</f>
        <v>23148.751556789997</v>
      </c>
      <c r="Q48" s="23"/>
      <c r="S48" s="28"/>
    </row>
    <row r="49" spans="1:19" x14ac:dyDescent="0.2">
      <c r="A49" s="5">
        <v>38</v>
      </c>
      <c r="B49" s="1" t="s">
        <v>35</v>
      </c>
      <c r="C49" s="36">
        <v>520</v>
      </c>
      <c r="D49" s="2">
        <v>3</v>
      </c>
      <c r="E49" s="2">
        <v>4</v>
      </c>
      <c r="F49" s="2">
        <v>2</v>
      </c>
      <c r="G49" s="2">
        <v>2</v>
      </c>
      <c r="H49" s="2">
        <v>2</v>
      </c>
      <c r="I49" s="2">
        <v>2</v>
      </c>
      <c r="J49" s="2">
        <v>2</v>
      </c>
      <c r="K49" s="2">
        <v>3</v>
      </c>
      <c r="L49" s="2">
        <v>3</v>
      </c>
      <c r="M49" s="2">
        <v>3</v>
      </c>
      <c r="N49" s="2">
        <v>3</v>
      </c>
      <c r="O49" s="2">
        <v>3</v>
      </c>
      <c r="P49" s="2">
        <f>SUM(D49:O49)</f>
        <v>32</v>
      </c>
      <c r="Q49" s="2">
        <f t="shared" ref="Q49:Q51" si="17">ROUND(P49*C49,0)</f>
        <v>16640</v>
      </c>
      <c r="S49" s="28"/>
    </row>
    <row r="50" spans="1:19" x14ac:dyDescent="0.2">
      <c r="A50" s="5">
        <v>39</v>
      </c>
      <c r="B50" s="1" t="s">
        <v>36</v>
      </c>
      <c r="C50" s="31">
        <v>0.95569999999999999</v>
      </c>
      <c r="D50" s="2">
        <v>543.30920000000003</v>
      </c>
      <c r="E50" s="2">
        <v>397.65870000000001</v>
      </c>
      <c r="F50" s="2">
        <v>59.301400000000001</v>
      </c>
      <c r="G50" s="2">
        <v>19.064800000000002</v>
      </c>
      <c r="H50" s="2">
        <v>28.697600000000001</v>
      </c>
      <c r="I50" s="2">
        <v>122.4164</v>
      </c>
      <c r="J50" s="2">
        <v>44.350900000000003</v>
      </c>
      <c r="K50" s="2">
        <v>169.93610000000001</v>
      </c>
      <c r="L50" s="2">
        <v>970.43129999999996</v>
      </c>
      <c r="M50" s="2">
        <v>1488.3128999999999</v>
      </c>
      <c r="N50" s="2">
        <v>1867.9184</v>
      </c>
      <c r="O50" s="2">
        <v>1099.057</v>
      </c>
      <c r="P50" s="2">
        <f>SUM(C50:O50)</f>
        <v>6811.4103999999998</v>
      </c>
      <c r="Q50" s="2">
        <f t="shared" si="17"/>
        <v>6510</v>
      </c>
      <c r="S50" s="28"/>
    </row>
    <row r="51" spans="1:19" x14ac:dyDescent="0.2">
      <c r="A51" s="5">
        <v>40</v>
      </c>
      <c r="B51" s="1" t="s">
        <v>28</v>
      </c>
      <c r="C51" s="31">
        <v>0.78369999999999995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f>SUM(C51:O51)</f>
        <v>0.78369999999999995</v>
      </c>
      <c r="Q51" s="2">
        <f t="shared" si="17"/>
        <v>1</v>
      </c>
      <c r="S51" s="28"/>
    </row>
    <row r="52" spans="1:19" x14ac:dyDescent="0.2">
      <c r="A52" s="5">
        <v>41</v>
      </c>
      <c r="B52" s="32" t="s">
        <v>29</v>
      </c>
      <c r="C52" s="32"/>
      <c r="D52" s="33">
        <f t="shared" ref="D52:P52" si="18">D50+D51</f>
        <v>543.30920000000003</v>
      </c>
      <c r="E52" s="33">
        <f t="shared" si="18"/>
        <v>397.65870000000001</v>
      </c>
      <c r="F52" s="33">
        <f t="shared" si="18"/>
        <v>59.301400000000001</v>
      </c>
      <c r="G52" s="33">
        <f t="shared" si="18"/>
        <v>19.064800000000002</v>
      </c>
      <c r="H52" s="33">
        <f t="shared" si="18"/>
        <v>28.697600000000001</v>
      </c>
      <c r="I52" s="33">
        <f t="shared" si="18"/>
        <v>122.4164</v>
      </c>
      <c r="J52" s="33">
        <f t="shared" si="18"/>
        <v>44.350900000000003</v>
      </c>
      <c r="K52" s="33">
        <f t="shared" si="18"/>
        <v>169.93610000000001</v>
      </c>
      <c r="L52" s="33">
        <f t="shared" si="18"/>
        <v>970.43129999999996</v>
      </c>
      <c r="M52" s="33">
        <f t="shared" si="18"/>
        <v>1488.3128999999999</v>
      </c>
      <c r="N52" s="33">
        <f t="shared" si="18"/>
        <v>1867.9184</v>
      </c>
      <c r="O52" s="33">
        <f t="shared" si="18"/>
        <v>1099.057</v>
      </c>
      <c r="P52" s="33">
        <f t="shared" si="18"/>
        <v>6812.1940999999997</v>
      </c>
      <c r="Q52" s="33">
        <f>SUM(Q49:Q51)</f>
        <v>23151</v>
      </c>
      <c r="S52" s="28"/>
    </row>
    <row r="53" spans="1:19" x14ac:dyDescent="0.2">
      <c r="A53" s="5">
        <v>42</v>
      </c>
      <c r="B53" s="1" t="s">
        <v>71</v>
      </c>
      <c r="D53" s="26">
        <f>+D48/D49</f>
        <v>693.08020081333325</v>
      </c>
      <c r="E53" s="26">
        <f t="shared" ref="E53:P53" si="19">+E48/E49</f>
        <v>615.0106048975</v>
      </c>
      <c r="F53" s="26">
        <f t="shared" si="19"/>
        <v>548.33717399</v>
      </c>
      <c r="G53" s="26">
        <f t="shared" si="19"/>
        <v>529.11011468000004</v>
      </c>
      <c r="H53" s="26">
        <f t="shared" si="19"/>
        <v>533.71314815999995</v>
      </c>
      <c r="I53" s="26">
        <f t="shared" si="19"/>
        <v>578.49667674</v>
      </c>
      <c r="J53" s="26">
        <f t="shared" si="19"/>
        <v>541.19307756499995</v>
      </c>
      <c r="K53" s="26">
        <f t="shared" si="19"/>
        <v>574.13597692333326</v>
      </c>
      <c r="L53" s="26">
        <f t="shared" si="19"/>
        <v>829.14706446999992</v>
      </c>
      <c r="M53" s="26">
        <f t="shared" si="19"/>
        <v>994.12687950999998</v>
      </c>
      <c r="N53" s="26">
        <f t="shared" si="19"/>
        <v>1115.0565382933335</v>
      </c>
      <c r="O53" s="26">
        <f t="shared" si="19"/>
        <v>870.12292496666669</v>
      </c>
      <c r="P53" s="26">
        <f t="shared" si="19"/>
        <v>723.39848614968741</v>
      </c>
      <c r="Q53" s="26"/>
      <c r="S53" s="28"/>
    </row>
    <row r="54" spans="1:19" x14ac:dyDescent="0.2">
      <c r="A54" s="5">
        <v>43</v>
      </c>
      <c r="B54" s="1" t="s">
        <v>30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/>
      <c r="S54" s="28"/>
    </row>
    <row r="55" spans="1:19" x14ac:dyDescent="0.2">
      <c r="A55" s="5">
        <v>44</v>
      </c>
      <c r="D55" s="35"/>
      <c r="S55" s="28"/>
    </row>
    <row r="56" spans="1:19" x14ac:dyDescent="0.2">
      <c r="A56" s="5">
        <v>45</v>
      </c>
      <c r="B56" s="21" t="s">
        <v>37</v>
      </c>
      <c r="D56" s="22">
        <f t="shared" ref="D56:O56" si="20">D57*$C$57+D58*$C$58+D59*$C$59</f>
        <v>20956.8952737</v>
      </c>
      <c r="E56" s="22">
        <f t="shared" si="20"/>
        <v>18096.056149099997</v>
      </c>
      <c r="F56" s="22">
        <f t="shared" si="20"/>
        <v>17502.804605199999</v>
      </c>
      <c r="G56" s="22">
        <f t="shared" si="20"/>
        <v>9866.6377317999977</v>
      </c>
      <c r="H56" s="22">
        <f t="shared" si="20"/>
        <v>10864.147537000001</v>
      </c>
      <c r="I56" s="22">
        <f t="shared" si="20"/>
        <v>13500.154577199999</v>
      </c>
      <c r="J56" s="22">
        <f t="shared" si="20"/>
        <v>12462.817329099998</v>
      </c>
      <c r="K56" s="22">
        <f t="shared" si="20"/>
        <v>15884.402555199998</v>
      </c>
      <c r="L56" s="22">
        <f t="shared" si="20"/>
        <v>20411.918171399997</v>
      </c>
      <c r="M56" s="22">
        <f t="shared" si="20"/>
        <v>21699.539530599999</v>
      </c>
      <c r="N56" s="22">
        <f t="shared" si="20"/>
        <v>19690.872049799997</v>
      </c>
      <c r="O56" s="22">
        <f t="shared" si="20"/>
        <v>22166.412399899997</v>
      </c>
      <c r="P56" s="22">
        <f>SUM(D56:O56)</f>
        <v>203102.65790999998</v>
      </c>
      <c r="Q56" s="23"/>
      <c r="S56" s="28"/>
    </row>
    <row r="57" spans="1:19" x14ac:dyDescent="0.2">
      <c r="A57" s="5">
        <v>46</v>
      </c>
      <c r="B57" s="1" t="s">
        <v>35</v>
      </c>
      <c r="C57" s="36">
        <f>C49</f>
        <v>520</v>
      </c>
      <c r="D57" s="2">
        <v>6</v>
      </c>
      <c r="E57" s="2">
        <v>6</v>
      </c>
      <c r="F57" s="2">
        <v>6</v>
      </c>
      <c r="G57" s="2">
        <v>5</v>
      </c>
      <c r="H57" s="2">
        <v>5</v>
      </c>
      <c r="I57" s="2">
        <v>6</v>
      </c>
      <c r="J57" s="2">
        <v>6</v>
      </c>
      <c r="K57" s="2">
        <v>6</v>
      </c>
      <c r="L57" s="2">
        <v>5</v>
      </c>
      <c r="M57" s="2">
        <v>8</v>
      </c>
      <c r="N57" s="2">
        <v>8</v>
      </c>
      <c r="O57" s="2">
        <v>6</v>
      </c>
      <c r="P57" s="2">
        <f>ROUND((SUM(D57:O57)),0)</f>
        <v>73</v>
      </c>
      <c r="Q57" s="2">
        <f t="shared" ref="Q57:Q59" si="21">ROUND(P57*C57,0)</f>
        <v>37960</v>
      </c>
      <c r="S57" s="28"/>
    </row>
    <row r="58" spans="1:19" x14ac:dyDescent="0.2">
      <c r="A58" s="5">
        <v>47</v>
      </c>
      <c r="B58" s="1" t="s">
        <v>36</v>
      </c>
      <c r="C58" s="31">
        <f>C50</f>
        <v>0.95569999999999999</v>
      </c>
      <c r="D58" s="2">
        <v>2078.4</v>
      </c>
      <c r="E58" s="2">
        <v>2200.1999999999998</v>
      </c>
      <c r="F58" s="2">
        <v>1286</v>
      </c>
      <c r="G58" s="2">
        <v>1620.8219999999999</v>
      </c>
      <c r="H58" s="2">
        <v>2041.4</v>
      </c>
      <c r="I58" s="2">
        <v>2038.1</v>
      </c>
      <c r="J58" s="2">
        <v>1556.636</v>
      </c>
      <c r="K58" s="2">
        <v>1833.412</v>
      </c>
      <c r="L58" s="2">
        <v>1436.077</v>
      </c>
      <c r="M58" s="2">
        <v>1910.44</v>
      </c>
      <c r="N58" s="2">
        <v>1860.9</v>
      </c>
      <c r="O58" s="2">
        <v>2104.9</v>
      </c>
      <c r="P58" s="2">
        <f>SUM(C58:O58)</f>
        <v>21968.242700000003</v>
      </c>
      <c r="Q58" s="2">
        <f t="shared" si="21"/>
        <v>20995</v>
      </c>
      <c r="S58" s="28"/>
    </row>
    <row r="59" spans="1:19" x14ac:dyDescent="0.2">
      <c r="A59" s="5">
        <v>48</v>
      </c>
      <c r="B59" s="1" t="s">
        <v>28</v>
      </c>
      <c r="C59" s="31">
        <f>C51</f>
        <v>0.78369999999999995</v>
      </c>
      <c r="D59" s="2">
        <v>20225.300999999999</v>
      </c>
      <c r="E59" s="2">
        <v>16426.343000000001</v>
      </c>
      <c r="F59" s="2">
        <v>16784.196</v>
      </c>
      <c r="G59" s="2">
        <v>7295.6719999999996</v>
      </c>
      <c r="H59" s="2">
        <v>8055.6100000000006</v>
      </c>
      <c r="I59" s="2">
        <v>10759.655999999999</v>
      </c>
      <c r="J59" s="2">
        <v>10023.146999999999</v>
      </c>
      <c r="K59" s="2">
        <v>14051.564</v>
      </c>
      <c r="L59" s="2">
        <v>20976.724999999999</v>
      </c>
      <c r="M59" s="2">
        <v>20050.698</v>
      </c>
      <c r="N59" s="2">
        <v>17548.054</v>
      </c>
      <c r="O59" s="2">
        <v>21736.326999999997</v>
      </c>
      <c r="P59" s="2">
        <f>SUM(C59:O59)</f>
        <v>183934.07670000001</v>
      </c>
      <c r="Q59" s="2">
        <f t="shared" si="21"/>
        <v>144149</v>
      </c>
      <c r="S59" s="28"/>
    </row>
    <row r="60" spans="1:19" x14ac:dyDescent="0.2">
      <c r="A60" s="5">
        <v>49</v>
      </c>
      <c r="B60" s="32" t="s">
        <v>29</v>
      </c>
      <c r="C60" s="32"/>
      <c r="D60" s="33">
        <f t="shared" ref="D60:P60" si="22">D58+D59</f>
        <v>22303.701000000001</v>
      </c>
      <c r="E60" s="33">
        <f t="shared" si="22"/>
        <v>18626.543000000001</v>
      </c>
      <c r="F60" s="33">
        <f t="shared" si="22"/>
        <v>18070.196</v>
      </c>
      <c r="G60" s="33">
        <f t="shared" si="22"/>
        <v>8916.4939999999988</v>
      </c>
      <c r="H60" s="33">
        <f t="shared" si="22"/>
        <v>10097.01</v>
      </c>
      <c r="I60" s="33">
        <f t="shared" si="22"/>
        <v>12797.755999999999</v>
      </c>
      <c r="J60" s="33">
        <f t="shared" si="22"/>
        <v>11579.782999999999</v>
      </c>
      <c r="K60" s="33">
        <f t="shared" si="22"/>
        <v>15884.976000000001</v>
      </c>
      <c r="L60" s="33">
        <f t="shared" si="22"/>
        <v>22412.802</v>
      </c>
      <c r="M60" s="33">
        <f t="shared" si="22"/>
        <v>21961.137999999999</v>
      </c>
      <c r="N60" s="33">
        <f t="shared" si="22"/>
        <v>19408.954000000002</v>
      </c>
      <c r="O60" s="33">
        <f t="shared" si="22"/>
        <v>23841.226999999999</v>
      </c>
      <c r="P60" s="33">
        <f t="shared" si="22"/>
        <v>205902.31940000001</v>
      </c>
      <c r="Q60" s="33">
        <f>SUM(Q57:Q59)</f>
        <v>203104</v>
      </c>
      <c r="S60" s="28"/>
    </row>
    <row r="61" spans="1:19" x14ac:dyDescent="0.2">
      <c r="A61" s="5">
        <v>50</v>
      </c>
      <c r="B61" s="1" t="s">
        <v>71</v>
      </c>
      <c r="D61" s="26">
        <f>+D56/D57</f>
        <v>3492.8158789499998</v>
      </c>
      <c r="E61" s="26">
        <f t="shared" ref="E61:P61" si="23">+E56/E57</f>
        <v>3016.009358183333</v>
      </c>
      <c r="F61" s="26">
        <f t="shared" si="23"/>
        <v>2917.1341008666664</v>
      </c>
      <c r="G61" s="26">
        <f t="shared" si="23"/>
        <v>1973.3275463599996</v>
      </c>
      <c r="H61" s="26">
        <f t="shared" si="23"/>
        <v>2172.8295074000002</v>
      </c>
      <c r="I61" s="26">
        <f t="shared" si="23"/>
        <v>2250.0257628666664</v>
      </c>
      <c r="J61" s="26">
        <f t="shared" si="23"/>
        <v>2077.1362215166664</v>
      </c>
      <c r="K61" s="26">
        <f t="shared" si="23"/>
        <v>2647.4004258666664</v>
      </c>
      <c r="L61" s="26">
        <f t="shared" si="23"/>
        <v>4082.3836342799996</v>
      </c>
      <c r="M61" s="26">
        <f t="shared" si="23"/>
        <v>2712.4424413249999</v>
      </c>
      <c r="N61" s="26">
        <f t="shared" si="23"/>
        <v>2461.3590062249996</v>
      </c>
      <c r="O61" s="26">
        <f t="shared" si="23"/>
        <v>3694.4020666499996</v>
      </c>
      <c r="P61" s="26">
        <f t="shared" si="23"/>
        <v>2782.2281905479449</v>
      </c>
      <c r="Q61" s="26"/>
      <c r="S61" s="28"/>
    </row>
    <row r="62" spans="1:19" x14ac:dyDescent="0.2">
      <c r="A62" s="5">
        <v>51</v>
      </c>
      <c r="B62" s="1" t="s">
        <v>30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/>
      <c r="S62" s="28"/>
    </row>
    <row r="63" spans="1:19" x14ac:dyDescent="0.2">
      <c r="A63" s="5">
        <v>52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S63" s="28"/>
    </row>
    <row r="64" spans="1:19" x14ac:dyDescent="0.2">
      <c r="A64" s="5">
        <v>53</v>
      </c>
      <c r="B64" s="21" t="s">
        <v>38</v>
      </c>
      <c r="D64" s="22">
        <f>D65*$C$65+D69*$C$69+D70*$C$70+D71*$C$71+D66+D67+D68</f>
        <v>666931.07363366662</v>
      </c>
      <c r="E64" s="22">
        <f t="shared" ref="E64:O64" si="24">E65*$C$65+E69*$C$69+E70*$C$70+E71*$C$71+E66+E67+E68</f>
        <v>656826.20629355253</v>
      </c>
      <c r="F64" s="22">
        <f t="shared" si="24"/>
        <v>672783.31046429172</v>
      </c>
      <c r="G64" s="22">
        <f t="shared" si="24"/>
        <v>655017.62350212003</v>
      </c>
      <c r="H64" s="22">
        <f t="shared" si="24"/>
        <v>762573.36321541993</v>
      </c>
      <c r="I64" s="22">
        <f t="shared" si="24"/>
        <v>830218.63614512025</v>
      </c>
      <c r="J64" s="22">
        <f t="shared" si="24"/>
        <v>861572.06666852045</v>
      </c>
      <c r="K64" s="22">
        <f t="shared" si="24"/>
        <v>1048540.3229296203</v>
      </c>
      <c r="L64" s="22">
        <f t="shared" si="24"/>
        <v>875383.74061792006</v>
      </c>
      <c r="M64" s="22">
        <f t="shared" si="24"/>
        <v>826229.49630862032</v>
      </c>
      <c r="N64" s="22">
        <f t="shared" si="24"/>
        <v>729283.11745841661</v>
      </c>
      <c r="O64" s="22">
        <f t="shared" si="24"/>
        <v>687736.0510631334</v>
      </c>
      <c r="P64" s="22">
        <f>SUM(D64:O64)</f>
        <v>9273095.0083004031</v>
      </c>
      <c r="Q64" s="23"/>
      <c r="S64" s="28"/>
    </row>
    <row r="65" spans="1:19" x14ac:dyDescent="0.2">
      <c r="A65" s="5">
        <v>54</v>
      </c>
      <c r="B65" s="1" t="s">
        <v>39</v>
      </c>
      <c r="C65" s="36">
        <v>520</v>
      </c>
      <c r="D65" s="2">
        <v>118.34615384615384</v>
      </c>
      <c r="E65" s="2">
        <v>118.34615384615384</v>
      </c>
      <c r="F65" s="2">
        <v>118.34615384615384</v>
      </c>
      <c r="G65" s="2">
        <v>117.34615384615384</v>
      </c>
      <c r="H65" s="2">
        <v>117.34615384615384</v>
      </c>
      <c r="I65" s="2">
        <v>117.34615384615384</v>
      </c>
      <c r="J65" s="2">
        <v>117.34615384615384</v>
      </c>
      <c r="K65" s="2">
        <v>117.34615384615384</v>
      </c>
      <c r="L65" s="2">
        <v>118.34615384615384</v>
      </c>
      <c r="M65" s="2">
        <v>118.34615384615384</v>
      </c>
      <c r="N65" s="2">
        <v>118.34615384615384</v>
      </c>
      <c r="O65" s="2">
        <v>118.34615384615384</v>
      </c>
      <c r="P65" s="2">
        <f>SUM(D65:O65)</f>
        <v>1415.153846153846</v>
      </c>
      <c r="Q65" s="2">
        <f>ROUND(P65*C65,0)</f>
        <v>735880</v>
      </c>
      <c r="R65" s="28"/>
      <c r="S65" s="28"/>
    </row>
    <row r="66" spans="1:19" x14ac:dyDescent="0.2">
      <c r="A66" s="5">
        <v>55</v>
      </c>
      <c r="B66" s="1" t="s">
        <v>40</v>
      </c>
      <c r="D66" s="2">
        <v>5900</v>
      </c>
      <c r="E66" s="2">
        <v>5900</v>
      </c>
      <c r="F66" s="2">
        <v>5900</v>
      </c>
      <c r="G66" s="2">
        <v>5850</v>
      </c>
      <c r="H66" s="2">
        <v>5850</v>
      </c>
      <c r="I66" s="2">
        <v>5850</v>
      </c>
      <c r="J66" s="2">
        <v>5850</v>
      </c>
      <c r="K66" s="2">
        <v>5850</v>
      </c>
      <c r="L66" s="2">
        <v>5900</v>
      </c>
      <c r="M66" s="2">
        <v>5900</v>
      </c>
      <c r="N66" s="2">
        <v>5900</v>
      </c>
      <c r="O66" s="2">
        <v>5950</v>
      </c>
      <c r="P66" s="34">
        <f t="shared" ref="P66:P71" si="25">SUM(D66:O66)</f>
        <v>70600</v>
      </c>
      <c r="Q66" s="2">
        <f>P66</f>
        <v>70600</v>
      </c>
      <c r="R66" s="28"/>
      <c r="S66" s="28"/>
    </row>
    <row r="67" spans="1:19" x14ac:dyDescent="0.2">
      <c r="A67" s="5">
        <v>56</v>
      </c>
      <c r="B67" s="1" t="s">
        <v>41</v>
      </c>
      <c r="D67" s="2">
        <v>7050</v>
      </c>
      <c r="E67" s="2">
        <v>7050</v>
      </c>
      <c r="F67" s="2">
        <v>7125</v>
      </c>
      <c r="G67" s="2">
        <v>6750</v>
      </c>
      <c r="H67" s="2">
        <v>6900</v>
      </c>
      <c r="I67" s="2">
        <v>6750</v>
      </c>
      <c r="J67" s="2">
        <v>6900</v>
      </c>
      <c r="K67" s="2">
        <v>6900</v>
      </c>
      <c r="L67" s="2">
        <v>6975</v>
      </c>
      <c r="M67" s="2">
        <v>7050</v>
      </c>
      <c r="N67" s="2">
        <v>7200</v>
      </c>
      <c r="O67" s="2">
        <v>6975</v>
      </c>
      <c r="P67" s="34">
        <f t="shared" si="25"/>
        <v>83625</v>
      </c>
      <c r="Q67" s="2">
        <f>P67</f>
        <v>83625</v>
      </c>
      <c r="R67" s="28"/>
      <c r="S67" s="28"/>
    </row>
    <row r="68" spans="1:19" x14ac:dyDescent="0.2">
      <c r="A68" s="5">
        <v>57</v>
      </c>
      <c r="B68" s="1" t="s">
        <v>42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34">
        <f t="shared" si="25"/>
        <v>0</v>
      </c>
      <c r="Q68" s="2">
        <f>P68</f>
        <v>0</v>
      </c>
      <c r="R68" s="28"/>
      <c r="S68" s="28"/>
    </row>
    <row r="69" spans="1:19" x14ac:dyDescent="0.2">
      <c r="A69" s="5">
        <v>58</v>
      </c>
      <c r="B69" s="1" t="s">
        <v>43</v>
      </c>
      <c r="C69" s="31">
        <v>1.5483</v>
      </c>
      <c r="D69" s="2">
        <v>31740.676000000003</v>
      </c>
      <c r="E69" s="2">
        <v>31401.204000000005</v>
      </c>
      <c r="F69" s="2">
        <v>31572.666000000005</v>
      </c>
      <c r="G69" s="2">
        <v>31784.461999999996</v>
      </c>
      <c r="H69" s="2">
        <v>34534.737000000001</v>
      </c>
      <c r="I69" s="2">
        <v>36151.909999999996</v>
      </c>
      <c r="J69" s="2">
        <v>36243.234000000004</v>
      </c>
      <c r="K69" s="2">
        <v>35897.127</v>
      </c>
      <c r="L69" s="2">
        <v>35221.706000000006</v>
      </c>
      <c r="M69" s="2">
        <v>35440.599000000002</v>
      </c>
      <c r="N69" s="2">
        <v>34241.104999999996</v>
      </c>
      <c r="O69" s="2">
        <v>32255.929</v>
      </c>
      <c r="P69" s="2">
        <f t="shared" si="25"/>
        <v>406485.35499999998</v>
      </c>
      <c r="Q69" s="2">
        <f t="shared" ref="Q69:Q71" si="26">ROUND(P69*C69,0)</f>
        <v>629361</v>
      </c>
      <c r="R69" s="28"/>
      <c r="S69" s="28"/>
    </row>
    <row r="70" spans="1:19" x14ac:dyDescent="0.2">
      <c r="A70" s="5">
        <v>59</v>
      </c>
      <c r="B70" s="1" t="s">
        <v>44</v>
      </c>
      <c r="C70" s="31">
        <v>1.0762</v>
      </c>
      <c r="D70" s="2">
        <v>412964.15166666661</v>
      </c>
      <c r="E70" s="2">
        <v>406840.55795238109</v>
      </c>
      <c r="F70" s="2">
        <v>413844.60529166675</v>
      </c>
      <c r="G70" s="2">
        <v>404806.89472023799</v>
      </c>
      <c r="H70" s="2">
        <v>471919.80472023779</v>
      </c>
      <c r="I70" s="2">
        <v>525332.28572023823</v>
      </c>
      <c r="J70" s="2">
        <v>567791.31272023835</v>
      </c>
      <c r="K70" s="2">
        <v>676762.24672023824</v>
      </c>
      <c r="L70" s="2">
        <v>551046.99572023796</v>
      </c>
      <c r="M70" s="2">
        <v>503579.26172023814</v>
      </c>
      <c r="N70" s="2">
        <v>440323.09891666664</v>
      </c>
      <c r="O70" s="2">
        <v>411568.39083333343</v>
      </c>
      <c r="P70" s="2">
        <f t="shared" si="25"/>
        <v>5786779.6067023808</v>
      </c>
      <c r="Q70" s="2">
        <f t="shared" si="26"/>
        <v>6227732</v>
      </c>
      <c r="R70" s="28"/>
      <c r="S70" s="28"/>
    </row>
    <row r="71" spans="1:19" x14ac:dyDescent="0.2">
      <c r="A71" s="5">
        <v>60</v>
      </c>
      <c r="B71" s="1" t="s">
        <v>45</v>
      </c>
      <c r="C71" s="31">
        <v>0.88880000000000003</v>
      </c>
      <c r="D71" s="2">
        <v>111234.209</v>
      </c>
      <c r="E71" s="2">
        <v>107871.19000000002</v>
      </c>
      <c r="F71" s="2">
        <v>116960.83199999999</v>
      </c>
      <c r="G71" s="2">
        <v>108609.992</v>
      </c>
      <c r="H71" s="2">
        <v>143399.11800000002</v>
      </c>
      <c r="I71" s="2">
        <v>152185</v>
      </c>
      <c r="J71" s="2">
        <v>135721.93599999999</v>
      </c>
      <c r="K71" s="2">
        <v>214738.15400000001</v>
      </c>
      <c r="L71" s="2">
        <v>172590.22999999995</v>
      </c>
      <c r="M71" s="2">
        <v>174296.59700000001</v>
      </c>
      <c r="N71" s="2">
        <v>143735.25599999999</v>
      </c>
      <c r="O71" s="2">
        <v>135462.75199999998</v>
      </c>
      <c r="P71" s="2">
        <f t="shared" si="25"/>
        <v>1716805.2660000003</v>
      </c>
      <c r="Q71" s="2">
        <f t="shared" si="26"/>
        <v>1525897</v>
      </c>
      <c r="R71" s="28"/>
      <c r="S71" s="28"/>
    </row>
    <row r="72" spans="1:19" x14ac:dyDescent="0.2">
      <c r="A72" s="5">
        <v>61</v>
      </c>
      <c r="B72" s="32" t="s">
        <v>29</v>
      </c>
      <c r="C72" s="32"/>
      <c r="D72" s="33">
        <f t="shared" ref="D72:O72" si="27">D69+D70+D71</f>
        <v>555939.03666666662</v>
      </c>
      <c r="E72" s="33">
        <f t="shared" si="27"/>
        <v>546112.95195238118</v>
      </c>
      <c r="F72" s="33">
        <f t="shared" si="27"/>
        <v>562378.10329166683</v>
      </c>
      <c r="G72" s="33">
        <f t="shared" si="27"/>
        <v>545201.34872023796</v>
      </c>
      <c r="H72" s="33">
        <f t="shared" si="27"/>
        <v>649853.65972023783</v>
      </c>
      <c r="I72" s="33">
        <f t="shared" si="27"/>
        <v>713669.19572023826</v>
      </c>
      <c r="J72" s="33">
        <f t="shared" si="27"/>
        <v>739756.48272023839</v>
      </c>
      <c r="K72" s="33">
        <f t="shared" si="27"/>
        <v>927397.5277202382</v>
      </c>
      <c r="L72" s="33">
        <f t="shared" si="27"/>
        <v>758858.93172023795</v>
      </c>
      <c r="M72" s="33">
        <f t="shared" si="27"/>
        <v>713316.45772023825</v>
      </c>
      <c r="N72" s="33">
        <f t="shared" si="27"/>
        <v>618299.45991666662</v>
      </c>
      <c r="O72" s="33">
        <f t="shared" si="27"/>
        <v>579287.07183333347</v>
      </c>
      <c r="P72" s="33">
        <f>SUM(C72:O72)</f>
        <v>7910070.2277023811</v>
      </c>
      <c r="Q72" s="33">
        <f>SUM(Q65:Q71)</f>
        <v>9273095</v>
      </c>
      <c r="S72" s="28"/>
    </row>
    <row r="73" spans="1:19" x14ac:dyDescent="0.2">
      <c r="A73" s="5">
        <v>62</v>
      </c>
      <c r="B73" s="1" t="s">
        <v>71</v>
      </c>
      <c r="D73" s="26">
        <f>+D64/D65</f>
        <v>5635.4266865373202</v>
      </c>
      <c r="E73" s="26">
        <f t="shared" ref="E73:P73" si="28">+E64/E65</f>
        <v>5550.0426921132166</v>
      </c>
      <c r="F73" s="26">
        <f t="shared" si="28"/>
        <v>5684.8768515019774</v>
      </c>
      <c r="G73" s="26">
        <f t="shared" si="28"/>
        <v>5581.9266506244257</v>
      </c>
      <c r="H73" s="26">
        <f t="shared" si="28"/>
        <v>6498.4947373323239</v>
      </c>
      <c r="I73" s="26">
        <f t="shared" si="28"/>
        <v>7074.9539625608413</v>
      </c>
      <c r="J73" s="26">
        <f t="shared" si="28"/>
        <v>7342.1415055331145</v>
      </c>
      <c r="K73" s="26">
        <f t="shared" si="28"/>
        <v>8935.446868623445</v>
      </c>
      <c r="L73" s="26">
        <f t="shared" si="28"/>
        <v>7396.8076880292238</v>
      </c>
      <c r="M73" s="26">
        <f t="shared" si="28"/>
        <v>6981.4647071901627</v>
      </c>
      <c r="N73" s="26">
        <f t="shared" si="28"/>
        <v>6162.2882853164874</v>
      </c>
      <c r="O73" s="26">
        <f t="shared" si="28"/>
        <v>5811.224350874706</v>
      </c>
      <c r="P73" s="26">
        <f t="shared" si="28"/>
        <v>6552.711589275711</v>
      </c>
      <c r="S73" s="28"/>
    </row>
    <row r="74" spans="1:19" x14ac:dyDescent="0.2">
      <c r="A74" s="5">
        <v>63</v>
      </c>
      <c r="B74" s="21" t="s">
        <v>46</v>
      </c>
      <c r="D74" s="37">
        <f>D75*$C$75+D76*$C$76+D77*$C$77</f>
        <v>0</v>
      </c>
      <c r="E74" s="37">
        <f t="shared" ref="E74:O74" si="29">E75*$C$75+E76*$C$76+E77*$C$77</f>
        <v>0</v>
      </c>
      <c r="F74" s="37">
        <f t="shared" si="29"/>
        <v>0</v>
      </c>
      <c r="G74" s="37">
        <f t="shared" si="29"/>
        <v>0</v>
      </c>
      <c r="H74" s="37">
        <f t="shared" si="29"/>
        <v>0</v>
      </c>
      <c r="I74" s="37">
        <f t="shared" si="29"/>
        <v>0</v>
      </c>
      <c r="J74" s="37">
        <f t="shared" si="29"/>
        <v>0</v>
      </c>
      <c r="K74" s="37">
        <f t="shared" si="29"/>
        <v>0</v>
      </c>
      <c r="L74" s="37">
        <f t="shared" si="29"/>
        <v>0</v>
      </c>
      <c r="M74" s="37">
        <f t="shared" si="29"/>
        <v>0</v>
      </c>
      <c r="N74" s="37">
        <f t="shared" si="29"/>
        <v>0</v>
      </c>
      <c r="O74" s="37">
        <f t="shared" si="29"/>
        <v>0</v>
      </c>
      <c r="P74" s="37">
        <f>SUM(D74:O74)</f>
        <v>0</v>
      </c>
      <c r="S74" s="28"/>
    </row>
    <row r="75" spans="1:19" x14ac:dyDescent="0.2">
      <c r="A75" s="5">
        <v>64</v>
      </c>
      <c r="B75" s="1" t="s">
        <v>43</v>
      </c>
      <c r="C75" s="38">
        <v>1.7213250000000002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f t="shared" ref="P75:P77" si="30">SUM(D75:O75)</f>
        <v>0</v>
      </c>
      <c r="Q75" s="2">
        <f t="shared" ref="Q75:Q77" si="31">P75*C75</f>
        <v>0</v>
      </c>
      <c r="S75" s="28"/>
    </row>
    <row r="76" spans="1:19" x14ac:dyDescent="0.2">
      <c r="A76" s="5">
        <v>65</v>
      </c>
      <c r="B76" s="1" t="s">
        <v>44</v>
      </c>
      <c r="C76" s="38">
        <v>1.196475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f t="shared" si="30"/>
        <v>0</v>
      </c>
      <c r="Q76" s="2">
        <f t="shared" si="31"/>
        <v>0</v>
      </c>
      <c r="R76" s="28"/>
      <c r="S76" s="28"/>
    </row>
    <row r="77" spans="1:19" x14ac:dyDescent="0.2">
      <c r="A77" s="5">
        <v>66</v>
      </c>
      <c r="B77" s="1" t="s">
        <v>47</v>
      </c>
      <c r="C77" s="38">
        <v>0.98812499999999992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f t="shared" si="30"/>
        <v>0</v>
      </c>
      <c r="Q77" s="2">
        <f t="shared" si="31"/>
        <v>0</v>
      </c>
      <c r="R77" s="28"/>
      <c r="S77" s="28"/>
    </row>
    <row r="78" spans="1:19" x14ac:dyDescent="0.2">
      <c r="A78" s="5">
        <v>67</v>
      </c>
      <c r="B78" s="32" t="s">
        <v>29</v>
      </c>
      <c r="C78" s="33"/>
      <c r="D78" s="33">
        <f t="shared" ref="D78:Q78" si="32">D75+D76+D77</f>
        <v>0</v>
      </c>
      <c r="E78" s="33">
        <f t="shared" si="32"/>
        <v>0</v>
      </c>
      <c r="F78" s="33">
        <f t="shared" si="32"/>
        <v>0</v>
      </c>
      <c r="G78" s="33">
        <f t="shared" si="32"/>
        <v>0</v>
      </c>
      <c r="H78" s="33">
        <f t="shared" si="32"/>
        <v>0</v>
      </c>
      <c r="I78" s="33">
        <f t="shared" si="32"/>
        <v>0</v>
      </c>
      <c r="J78" s="33">
        <f t="shared" si="32"/>
        <v>0</v>
      </c>
      <c r="K78" s="33">
        <f t="shared" si="32"/>
        <v>0</v>
      </c>
      <c r="L78" s="33">
        <f t="shared" si="32"/>
        <v>0</v>
      </c>
      <c r="M78" s="33">
        <f t="shared" si="32"/>
        <v>0</v>
      </c>
      <c r="N78" s="33">
        <f t="shared" si="32"/>
        <v>0</v>
      </c>
      <c r="O78" s="33">
        <f t="shared" si="32"/>
        <v>0</v>
      </c>
      <c r="P78" s="33">
        <f t="shared" si="32"/>
        <v>0</v>
      </c>
      <c r="Q78" s="33">
        <f t="shared" si="32"/>
        <v>0</v>
      </c>
      <c r="S78" s="28"/>
    </row>
    <row r="79" spans="1:19" x14ac:dyDescent="0.2">
      <c r="A79" s="5">
        <v>68</v>
      </c>
      <c r="D79" s="37"/>
      <c r="P79" s="26"/>
      <c r="S79" s="28"/>
    </row>
    <row r="80" spans="1:19" x14ac:dyDescent="0.2">
      <c r="A80" s="5">
        <v>69</v>
      </c>
      <c r="B80" s="21" t="s">
        <v>48</v>
      </c>
      <c r="D80" s="22">
        <f t="shared" ref="D80:O80" si="33">D81*$C$81+D85*$C$85+D86*$C$86+D82+D83+D84</f>
        <v>885939.08826040011</v>
      </c>
      <c r="E80" s="22">
        <f t="shared" si="33"/>
        <v>837473.3118643997</v>
      </c>
      <c r="F80" s="22">
        <f t="shared" si="33"/>
        <v>744529.8897251999</v>
      </c>
      <c r="G80" s="22">
        <f t="shared" si="33"/>
        <v>836996.73588079994</v>
      </c>
      <c r="H80" s="22">
        <f t="shared" si="33"/>
        <v>964344.1765711999</v>
      </c>
      <c r="I80" s="22">
        <f t="shared" si="33"/>
        <v>989195.23001760012</v>
      </c>
      <c r="J80" s="22">
        <f t="shared" si="33"/>
        <v>993460.2411632</v>
      </c>
      <c r="K80" s="22">
        <f t="shared" si="33"/>
        <v>1064841.6242827999</v>
      </c>
      <c r="L80" s="22">
        <f t="shared" si="33"/>
        <v>963083.85738280008</v>
      </c>
      <c r="M80" s="22">
        <f t="shared" si="33"/>
        <v>961607.51160199987</v>
      </c>
      <c r="N80" s="22">
        <f t="shared" si="33"/>
        <v>903436.91522559989</v>
      </c>
      <c r="O80" s="22">
        <f t="shared" si="33"/>
        <v>894807.89083439973</v>
      </c>
      <c r="P80" s="34">
        <f t="shared" ref="P80:P86" si="34">SUM(C80:O80)</f>
        <v>11039716.472810401</v>
      </c>
      <c r="Q80" s="23"/>
      <c r="S80" s="28"/>
    </row>
    <row r="81" spans="1:19" x14ac:dyDescent="0.2">
      <c r="A81" s="5">
        <v>70</v>
      </c>
      <c r="B81" s="1" t="s">
        <v>39</v>
      </c>
      <c r="C81" s="36">
        <v>685</v>
      </c>
      <c r="D81" s="2">
        <v>71</v>
      </c>
      <c r="E81" s="2">
        <v>71</v>
      </c>
      <c r="F81" s="2">
        <v>71</v>
      </c>
      <c r="G81" s="2">
        <v>71</v>
      </c>
      <c r="H81" s="2">
        <v>71</v>
      </c>
      <c r="I81" s="2">
        <v>71</v>
      </c>
      <c r="J81" s="2">
        <v>71</v>
      </c>
      <c r="K81" s="2">
        <v>71</v>
      </c>
      <c r="L81" s="2">
        <v>71</v>
      </c>
      <c r="M81" s="2">
        <v>71</v>
      </c>
      <c r="N81" s="2">
        <v>71</v>
      </c>
      <c r="O81" s="2">
        <v>71</v>
      </c>
      <c r="P81" s="2">
        <f>SUM(D81:O81)</f>
        <v>852</v>
      </c>
      <c r="Q81" s="2">
        <f>ROUND(P81*C81,0)</f>
        <v>583620</v>
      </c>
      <c r="S81" s="28"/>
    </row>
    <row r="82" spans="1:19" x14ac:dyDescent="0.2">
      <c r="A82" s="5">
        <v>71</v>
      </c>
      <c r="B82" s="1" t="s">
        <v>40</v>
      </c>
      <c r="D82" s="2">
        <v>3500</v>
      </c>
      <c r="E82" s="2">
        <v>3500</v>
      </c>
      <c r="F82" s="2">
        <v>3500</v>
      </c>
      <c r="G82" s="2">
        <v>3500</v>
      </c>
      <c r="H82" s="2">
        <v>3500</v>
      </c>
      <c r="I82" s="2">
        <v>3500</v>
      </c>
      <c r="J82" s="2">
        <v>3500</v>
      </c>
      <c r="K82" s="2">
        <v>3500</v>
      </c>
      <c r="L82" s="2">
        <v>3500</v>
      </c>
      <c r="M82" s="2">
        <v>3500</v>
      </c>
      <c r="N82" s="2">
        <v>3500</v>
      </c>
      <c r="O82" s="2">
        <v>3500</v>
      </c>
      <c r="P82" s="34">
        <f t="shared" si="34"/>
        <v>42000</v>
      </c>
      <c r="Q82" s="2">
        <f>P82</f>
        <v>42000</v>
      </c>
      <c r="S82" s="28"/>
    </row>
    <row r="83" spans="1:19" x14ac:dyDescent="0.2">
      <c r="A83" s="5">
        <v>72</v>
      </c>
      <c r="B83" s="1" t="s">
        <v>41</v>
      </c>
      <c r="D83" s="2">
        <v>3975</v>
      </c>
      <c r="E83" s="2">
        <v>3975</v>
      </c>
      <c r="F83" s="2">
        <v>3975</v>
      </c>
      <c r="G83" s="2">
        <v>3975</v>
      </c>
      <c r="H83" s="2">
        <v>3975</v>
      </c>
      <c r="I83" s="2">
        <v>3975</v>
      </c>
      <c r="J83" s="2">
        <v>3975</v>
      </c>
      <c r="K83" s="2">
        <v>3975</v>
      </c>
      <c r="L83" s="2">
        <v>3975</v>
      </c>
      <c r="M83" s="2">
        <v>3975</v>
      </c>
      <c r="N83" s="2">
        <v>3975</v>
      </c>
      <c r="O83" s="2">
        <v>3975</v>
      </c>
      <c r="P83" s="34">
        <f t="shared" si="34"/>
        <v>47700</v>
      </c>
      <c r="Q83" s="2">
        <f>P83</f>
        <v>47700</v>
      </c>
      <c r="S83" s="28"/>
    </row>
    <row r="84" spans="1:19" x14ac:dyDescent="0.2">
      <c r="A84" s="5">
        <v>73</v>
      </c>
      <c r="B84" s="1" t="s">
        <v>42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34">
        <f t="shared" si="34"/>
        <v>0</v>
      </c>
      <c r="Q84" s="2">
        <f>P84</f>
        <v>0</v>
      </c>
      <c r="S84" s="28"/>
    </row>
    <row r="85" spans="1:19" x14ac:dyDescent="0.2">
      <c r="A85" s="5">
        <v>74</v>
      </c>
      <c r="B85" s="1" t="s">
        <v>49</v>
      </c>
      <c r="C85" s="39">
        <v>1.2955999999999999</v>
      </c>
      <c r="D85" s="2">
        <v>417295.32500000007</v>
      </c>
      <c r="E85" s="2">
        <v>401974.18699999986</v>
      </c>
      <c r="F85" s="2">
        <v>388998.01500000001</v>
      </c>
      <c r="G85" s="2">
        <v>399640.08999999991</v>
      </c>
      <c r="H85" s="2">
        <v>444351.85199999996</v>
      </c>
      <c r="I85" s="2">
        <v>465474.78000000009</v>
      </c>
      <c r="J85" s="2">
        <v>465884.10000000003</v>
      </c>
      <c r="K85" s="2">
        <v>488045.31699999992</v>
      </c>
      <c r="L85" s="2">
        <v>447164.79100000003</v>
      </c>
      <c r="M85" s="2">
        <v>436683.45099999994</v>
      </c>
      <c r="N85" s="2">
        <v>426391.45600000001</v>
      </c>
      <c r="O85" s="2">
        <v>425511.52199999994</v>
      </c>
      <c r="P85" s="2">
        <f t="shared" si="34"/>
        <v>5207416.1816000007</v>
      </c>
      <c r="Q85" s="2">
        <f t="shared" ref="Q85:Q86" si="35">ROUND(P85*C85,0)</f>
        <v>6746728</v>
      </c>
      <c r="R85" s="28"/>
      <c r="S85" s="28"/>
    </row>
    <row r="86" spans="1:19" x14ac:dyDescent="0.2">
      <c r="A86" s="5">
        <v>75</v>
      </c>
      <c r="B86" s="1" t="s">
        <v>50</v>
      </c>
      <c r="C86" s="39">
        <v>1.0624</v>
      </c>
      <c r="D86" s="2">
        <v>272196.22100000002</v>
      </c>
      <c r="E86" s="2">
        <v>245261.25299999994</v>
      </c>
      <c r="F86" s="2">
        <v>173601.33800000002</v>
      </c>
      <c r="G86" s="2">
        <v>247659.10700000005</v>
      </c>
      <c r="H86" s="2">
        <v>313000.67499999999</v>
      </c>
      <c r="I86" s="2">
        <v>310632.62900000002</v>
      </c>
      <c r="J86" s="2">
        <v>314147.96799999994</v>
      </c>
      <c r="K86" s="2">
        <v>354311.09900000005</v>
      </c>
      <c r="L86" s="2">
        <v>308383.99300000007</v>
      </c>
      <c r="M86" s="2">
        <v>319776.386</v>
      </c>
      <c r="N86" s="2">
        <v>277573.55499999993</v>
      </c>
      <c r="O86" s="2">
        <v>270524.43799999997</v>
      </c>
      <c r="P86" s="2">
        <f t="shared" si="34"/>
        <v>3407069.7243999997</v>
      </c>
      <c r="Q86" s="2">
        <f t="shared" si="35"/>
        <v>3619671</v>
      </c>
      <c r="R86" s="28"/>
      <c r="S86" s="28"/>
    </row>
    <row r="87" spans="1:19" x14ac:dyDescent="0.2">
      <c r="A87" s="5">
        <v>76</v>
      </c>
      <c r="B87" s="32" t="s">
        <v>29</v>
      </c>
      <c r="C87" s="32"/>
      <c r="D87" s="33">
        <f t="shared" ref="D87:P87" si="36">D85+D86</f>
        <v>689491.54600000009</v>
      </c>
      <c r="E87" s="33">
        <f t="shared" si="36"/>
        <v>647235.43999999983</v>
      </c>
      <c r="F87" s="33">
        <f t="shared" si="36"/>
        <v>562599.353</v>
      </c>
      <c r="G87" s="33">
        <f t="shared" si="36"/>
        <v>647299.19699999993</v>
      </c>
      <c r="H87" s="33">
        <f t="shared" si="36"/>
        <v>757352.527</v>
      </c>
      <c r="I87" s="33">
        <f t="shared" si="36"/>
        <v>776107.4090000001</v>
      </c>
      <c r="J87" s="33">
        <f t="shared" si="36"/>
        <v>780032.06799999997</v>
      </c>
      <c r="K87" s="33">
        <f t="shared" si="36"/>
        <v>842356.41599999997</v>
      </c>
      <c r="L87" s="33">
        <f t="shared" si="36"/>
        <v>755548.7840000001</v>
      </c>
      <c r="M87" s="33">
        <f t="shared" si="36"/>
        <v>756459.83699999994</v>
      </c>
      <c r="N87" s="33">
        <f t="shared" si="36"/>
        <v>703965.01099999994</v>
      </c>
      <c r="O87" s="33">
        <f t="shared" si="36"/>
        <v>696035.96</v>
      </c>
      <c r="P87" s="33">
        <f t="shared" si="36"/>
        <v>8614485.9059999995</v>
      </c>
      <c r="Q87" s="33">
        <f>SUM(Q81:Q86)</f>
        <v>11039719</v>
      </c>
      <c r="S87" s="28"/>
    </row>
    <row r="88" spans="1:19" x14ac:dyDescent="0.2">
      <c r="A88" s="5">
        <v>77</v>
      </c>
      <c r="B88" s="1" t="s">
        <v>71</v>
      </c>
      <c r="D88" s="26">
        <f>+D80/D81</f>
        <v>12478.015327611269</v>
      </c>
      <c r="E88" s="26">
        <f t="shared" ref="E88:P88" si="37">+E80/E81</f>
        <v>11795.398758653517</v>
      </c>
      <c r="F88" s="26">
        <f t="shared" si="37"/>
        <v>10486.336475002816</v>
      </c>
      <c r="G88" s="26">
        <f t="shared" si="37"/>
        <v>11788.686420856337</v>
      </c>
      <c r="H88" s="26">
        <f t="shared" si="37"/>
        <v>13582.312346073239</v>
      </c>
      <c r="I88" s="26">
        <f t="shared" si="37"/>
        <v>13932.327183346481</v>
      </c>
      <c r="J88" s="26">
        <f t="shared" si="37"/>
        <v>13992.397762861972</v>
      </c>
      <c r="K88" s="26">
        <f t="shared" si="37"/>
        <v>14997.769356095772</v>
      </c>
      <c r="L88" s="26">
        <f t="shared" si="37"/>
        <v>13564.561371588734</v>
      </c>
      <c r="M88" s="26">
        <f t="shared" si="37"/>
        <v>13543.767769042252</v>
      </c>
      <c r="N88" s="26">
        <f t="shared" si="37"/>
        <v>12724.46359472676</v>
      </c>
      <c r="O88" s="26">
        <f t="shared" si="37"/>
        <v>12602.928039921124</v>
      </c>
      <c r="P88" s="26">
        <f t="shared" si="37"/>
        <v>12957.413700481691</v>
      </c>
      <c r="S88" s="28"/>
    </row>
    <row r="89" spans="1:19" x14ac:dyDescent="0.2">
      <c r="A89" s="5">
        <v>78</v>
      </c>
      <c r="B89" s="21" t="s">
        <v>51</v>
      </c>
      <c r="D89" s="22">
        <f t="shared" ref="D89:O89" si="38">D90*$C$90+D91+D92+D93+D95</f>
        <v>294856.53250000003</v>
      </c>
      <c r="E89" s="22">
        <f t="shared" si="38"/>
        <v>274115.96250000002</v>
      </c>
      <c r="F89" s="22">
        <f t="shared" si="38"/>
        <v>255651.05249999999</v>
      </c>
      <c r="G89" s="22">
        <f t="shared" si="38"/>
        <v>224506.49249999999</v>
      </c>
      <c r="H89" s="22">
        <f t="shared" si="38"/>
        <v>270434.41250000003</v>
      </c>
      <c r="I89" s="22">
        <f t="shared" si="38"/>
        <v>240831.22249999997</v>
      </c>
      <c r="J89" s="22">
        <f t="shared" si="38"/>
        <v>215894.06249999997</v>
      </c>
      <c r="K89" s="22">
        <f t="shared" si="38"/>
        <v>256668.56250000003</v>
      </c>
      <c r="L89" s="22">
        <f t="shared" si="38"/>
        <v>240852.4425</v>
      </c>
      <c r="M89" s="22">
        <f t="shared" si="38"/>
        <v>258975.85250000001</v>
      </c>
      <c r="N89" s="22">
        <f t="shared" si="38"/>
        <v>304933.69250000006</v>
      </c>
      <c r="O89" s="22">
        <f t="shared" si="38"/>
        <v>280519.34250000003</v>
      </c>
      <c r="P89" s="34">
        <f t="shared" ref="P89:P95" si="39">SUM(C89:O89)</f>
        <v>3118239.63</v>
      </c>
      <c r="Q89" s="23"/>
      <c r="S89" s="28"/>
    </row>
    <row r="90" spans="1:19" x14ac:dyDescent="0.2">
      <c r="A90" s="5">
        <v>79</v>
      </c>
      <c r="B90" s="1" t="s">
        <v>39</v>
      </c>
      <c r="C90" s="36">
        <v>520</v>
      </c>
      <c r="D90" s="2">
        <v>13.346153846153847</v>
      </c>
      <c r="E90" s="2">
        <v>13.346153846153847</v>
      </c>
      <c r="F90" s="2">
        <v>13.346153846153847</v>
      </c>
      <c r="G90" s="2">
        <v>12.346153846153847</v>
      </c>
      <c r="H90" s="2">
        <v>12.346153846153847</v>
      </c>
      <c r="I90" s="2">
        <v>12.346153846153847</v>
      </c>
      <c r="J90" s="2">
        <v>12.346153846153847</v>
      </c>
      <c r="K90" s="2">
        <v>12.346153846153847</v>
      </c>
      <c r="L90" s="2">
        <v>12.346153846153847</v>
      </c>
      <c r="M90" s="2">
        <v>13.346153846153847</v>
      </c>
      <c r="N90" s="2">
        <v>13.346153846153847</v>
      </c>
      <c r="O90" s="2">
        <v>13.346153846153847</v>
      </c>
      <c r="P90" s="2">
        <f>SUM(D90:O90)</f>
        <v>154.1538461538461</v>
      </c>
      <c r="Q90" s="2">
        <f>ROUND(P90*C90,0)</f>
        <v>80160</v>
      </c>
      <c r="S90" s="28"/>
    </row>
    <row r="91" spans="1:19" x14ac:dyDescent="0.2">
      <c r="A91" s="5">
        <v>80</v>
      </c>
      <c r="B91" s="1" t="s">
        <v>40</v>
      </c>
      <c r="D91" s="2">
        <v>650</v>
      </c>
      <c r="E91" s="2">
        <v>650</v>
      </c>
      <c r="F91" s="2">
        <v>650</v>
      </c>
      <c r="G91" s="2">
        <v>600</v>
      </c>
      <c r="H91" s="2">
        <v>600</v>
      </c>
      <c r="I91" s="2">
        <v>600</v>
      </c>
      <c r="J91" s="2">
        <v>600</v>
      </c>
      <c r="K91" s="2">
        <v>600</v>
      </c>
      <c r="L91" s="2">
        <v>600</v>
      </c>
      <c r="M91" s="2">
        <v>650</v>
      </c>
      <c r="N91" s="2">
        <v>650</v>
      </c>
      <c r="O91" s="2">
        <v>650</v>
      </c>
      <c r="P91" s="34">
        <f t="shared" si="39"/>
        <v>7500</v>
      </c>
      <c r="Q91" s="2">
        <f>P91</f>
        <v>7500</v>
      </c>
      <c r="S91" s="28"/>
    </row>
    <row r="92" spans="1:19" x14ac:dyDescent="0.2">
      <c r="A92" s="5">
        <v>81</v>
      </c>
      <c r="B92" s="1" t="s">
        <v>41</v>
      </c>
      <c r="D92" s="2">
        <v>750</v>
      </c>
      <c r="E92" s="2">
        <v>750</v>
      </c>
      <c r="F92" s="2">
        <v>750</v>
      </c>
      <c r="G92" s="2">
        <v>675</v>
      </c>
      <c r="H92" s="2">
        <v>675</v>
      </c>
      <c r="I92" s="2">
        <v>675</v>
      </c>
      <c r="J92" s="2">
        <v>675</v>
      </c>
      <c r="K92" s="2">
        <v>675</v>
      </c>
      <c r="L92" s="2">
        <v>675</v>
      </c>
      <c r="M92" s="2">
        <v>750</v>
      </c>
      <c r="N92" s="2">
        <v>750</v>
      </c>
      <c r="O92" s="2">
        <v>750</v>
      </c>
      <c r="P92" s="34">
        <f t="shared" si="39"/>
        <v>8550</v>
      </c>
      <c r="Q92" s="2">
        <f>P92</f>
        <v>8550</v>
      </c>
      <c r="S92" s="28"/>
    </row>
    <row r="93" spans="1:19" x14ac:dyDescent="0.2">
      <c r="A93" s="5">
        <v>82</v>
      </c>
      <c r="B93" s="1" t="s">
        <v>42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34">
        <f t="shared" si="39"/>
        <v>0</v>
      </c>
      <c r="Q93" s="2">
        <f>P93</f>
        <v>0</v>
      </c>
      <c r="S93" s="28"/>
    </row>
    <row r="94" spans="1:19" x14ac:dyDescent="0.2">
      <c r="A94" s="5">
        <v>83</v>
      </c>
      <c r="B94" s="1" t="s">
        <v>52</v>
      </c>
      <c r="C94" s="40" t="s">
        <v>53</v>
      </c>
      <c r="D94" s="2">
        <v>1174024.8120000002</v>
      </c>
      <c r="E94" s="2">
        <v>1325397.4870000002</v>
      </c>
      <c r="F94" s="2">
        <v>1227574.175</v>
      </c>
      <c r="G94" s="2">
        <v>1095711.6499999999</v>
      </c>
      <c r="H94" s="2">
        <v>1171325.5090000001</v>
      </c>
      <c r="I94" s="2">
        <v>1223327.2750000001</v>
      </c>
      <c r="J94" s="2">
        <v>1296950.4989999998</v>
      </c>
      <c r="K94" s="2">
        <v>1535323.86</v>
      </c>
      <c r="L94" s="2">
        <v>1391759.6110000003</v>
      </c>
      <c r="M94" s="2">
        <v>1467400.6270000001</v>
      </c>
      <c r="N94" s="2">
        <v>1320463.8700000003</v>
      </c>
      <c r="O94" s="2">
        <v>1275922.6930000002</v>
      </c>
      <c r="P94" s="2">
        <f t="shared" si="39"/>
        <v>15505182.068</v>
      </c>
      <c r="Q94" s="2"/>
      <c r="S94" s="28"/>
    </row>
    <row r="95" spans="1:19" x14ac:dyDescent="0.2">
      <c r="A95" s="5">
        <v>84</v>
      </c>
      <c r="B95" s="1" t="s">
        <v>54</v>
      </c>
      <c r="C95" s="40"/>
      <c r="D95" s="2">
        <v>286516.53250000003</v>
      </c>
      <c r="E95" s="2">
        <v>265775.96250000002</v>
      </c>
      <c r="F95" s="2">
        <v>247311.05249999999</v>
      </c>
      <c r="G95" s="2">
        <v>216811.49249999999</v>
      </c>
      <c r="H95" s="2">
        <v>262739.41250000003</v>
      </c>
      <c r="I95" s="2">
        <v>233136.22249999997</v>
      </c>
      <c r="J95" s="2">
        <v>208199.06249999997</v>
      </c>
      <c r="K95" s="2">
        <v>248973.56250000003</v>
      </c>
      <c r="L95" s="2">
        <v>233157.4425</v>
      </c>
      <c r="M95" s="2">
        <v>250635.85250000001</v>
      </c>
      <c r="N95" s="2">
        <v>296593.69250000006</v>
      </c>
      <c r="O95" s="2">
        <v>272179.34250000003</v>
      </c>
      <c r="P95" s="34">
        <f t="shared" si="39"/>
        <v>3022029.63</v>
      </c>
      <c r="Q95" s="2">
        <f>P95</f>
        <v>3022029.63</v>
      </c>
      <c r="S95" s="28"/>
    </row>
    <row r="96" spans="1:19" x14ac:dyDescent="0.2">
      <c r="A96" s="5">
        <v>85</v>
      </c>
      <c r="B96" s="32" t="s">
        <v>29</v>
      </c>
      <c r="C96" s="32"/>
      <c r="D96" s="33">
        <f t="shared" ref="D96:P96" si="40">D94</f>
        <v>1174024.8120000002</v>
      </c>
      <c r="E96" s="33">
        <f t="shared" si="40"/>
        <v>1325397.4870000002</v>
      </c>
      <c r="F96" s="33">
        <f t="shared" si="40"/>
        <v>1227574.175</v>
      </c>
      <c r="G96" s="33">
        <f t="shared" si="40"/>
        <v>1095711.6499999999</v>
      </c>
      <c r="H96" s="33">
        <f t="shared" si="40"/>
        <v>1171325.5090000001</v>
      </c>
      <c r="I96" s="33">
        <f t="shared" si="40"/>
        <v>1223327.2750000001</v>
      </c>
      <c r="J96" s="33">
        <f t="shared" si="40"/>
        <v>1296950.4989999998</v>
      </c>
      <c r="K96" s="33">
        <f t="shared" si="40"/>
        <v>1535323.86</v>
      </c>
      <c r="L96" s="33">
        <f t="shared" si="40"/>
        <v>1391759.6110000003</v>
      </c>
      <c r="M96" s="33">
        <f t="shared" si="40"/>
        <v>1467400.6270000001</v>
      </c>
      <c r="N96" s="33">
        <f t="shared" si="40"/>
        <v>1320463.8700000003</v>
      </c>
      <c r="O96" s="33">
        <f t="shared" si="40"/>
        <v>1275922.6930000002</v>
      </c>
      <c r="P96" s="33">
        <f t="shared" si="40"/>
        <v>15505182.068</v>
      </c>
      <c r="Q96" s="33">
        <f>SUM(Q90:Q95)</f>
        <v>3118239.63</v>
      </c>
      <c r="S96" s="28"/>
    </row>
    <row r="97" spans="1:19" x14ac:dyDescent="0.2">
      <c r="A97" s="5">
        <v>86</v>
      </c>
      <c r="B97" s="1" t="s">
        <v>71</v>
      </c>
      <c r="D97" s="26">
        <f>+D89/D90</f>
        <v>22092.99667146974</v>
      </c>
      <c r="E97" s="26">
        <f t="shared" ref="E97:P97" si="41">+E89/E90</f>
        <v>20538.948198847262</v>
      </c>
      <c r="F97" s="26">
        <f t="shared" si="41"/>
        <v>19155.410273775215</v>
      </c>
      <c r="G97" s="26">
        <f t="shared" si="41"/>
        <v>18184.326495327103</v>
      </c>
      <c r="H97" s="26">
        <f t="shared" si="41"/>
        <v>21904.344937694706</v>
      </c>
      <c r="I97" s="26">
        <f t="shared" si="41"/>
        <v>19506.578769470401</v>
      </c>
      <c r="J97" s="26">
        <f t="shared" si="41"/>
        <v>17486.746495327101</v>
      </c>
      <c r="K97" s="26">
        <f t="shared" si="41"/>
        <v>20789.353971962617</v>
      </c>
      <c r="L97" s="26">
        <f t="shared" si="41"/>
        <v>19508.297523364487</v>
      </c>
      <c r="M97" s="26">
        <f t="shared" si="41"/>
        <v>19404.530734870317</v>
      </c>
      <c r="N97" s="26">
        <f t="shared" si="41"/>
        <v>22848.057651296833</v>
      </c>
      <c r="O97" s="26">
        <f t="shared" si="41"/>
        <v>21018.740360230549</v>
      </c>
      <c r="P97" s="26">
        <f t="shared" si="41"/>
        <v>20228.101392215576</v>
      </c>
      <c r="S97" s="28"/>
    </row>
    <row r="98" spans="1:19" x14ac:dyDescent="0.2">
      <c r="A98" s="5">
        <v>87</v>
      </c>
      <c r="B98" s="1" t="s">
        <v>55</v>
      </c>
      <c r="D98" s="34"/>
      <c r="S98" s="28"/>
    </row>
    <row r="99" spans="1:19" x14ac:dyDescent="0.2">
      <c r="A99" s="5">
        <v>88</v>
      </c>
      <c r="B99" s="1" t="s">
        <v>56</v>
      </c>
      <c r="D99" s="34">
        <v>3438</v>
      </c>
      <c r="E99" s="34">
        <v>3844</v>
      </c>
      <c r="F99" s="34">
        <v>3004</v>
      </c>
      <c r="G99" s="34">
        <v>3387</v>
      </c>
      <c r="H99" s="34">
        <v>3698</v>
      </c>
      <c r="I99" s="34">
        <v>4212</v>
      </c>
      <c r="J99" s="34">
        <v>9928</v>
      </c>
      <c r="K99" s="34">
        <v>8550</v>
      </c>
      <c r="L99" s="34">
        <v>4906</v>
      </c>
      <c r="M99" s="34">
        <v>5587</v>
      </c>
      <c r="N99" s="34">
        <v>4026</v>
      </c>
      <c r="O99" s="34">
        <v>4332</v>
      </c>
      <c r="P99" s="34">
        <f>SUM(D99:O99)</f>
        <v>58912</v>
      </c>
      <c r="Q99" s="34"/>
      <c r="S99" s="28"/>
    </row>
    <row r="100" spans="1:19" x14ac:dyDescent="0.2">
      <c r="A100" s="5">
        <v>89</v>
      </c>
      <c r="B100" s="1" t="s">
        <v>57</v>
      </c>
      <c r="D100" s="34">
        <v>55083.611568365552</v>
      </c>
      <c r="E100" s="34">
        <v>41250.526553897689</v>
      </c>
      <c r="F100" s="34">
        <v>30537.248218539877</v>
      </c>
      <c r="G100" s="34">
        <v>24483.669406425564</v>
      </c>
      <c r="H100" s="34">
        <v>23615.277627190524</v>
      </c>
      <c r="I100" s="34">
        <v>23934.25633101727</v>
      </c>
      <c r="J100" s="34">
        <v>24929.651392454798</v>
      </c>
      <c r="K100" s="34">
        <v>32774.759531089905</v>
      </c>
      <c r="L100" s="34">
        <v>51818.04371570611</v>
      </c>
      <c r="M100" s="34">
        <v>68896.290743224701</v>
      </c>
      <c r="N100" s="34">
        <v>77833.202255412849</v>
      </c>
      <c r="O100" s="34">
        <v>73701.644072748939</v>
      </c>
      <c r="P100" s="34">
        <f>SUM(D100:O100)</f>
        <v>528858.1814160737</v>
      </c>
      <c r="Q100" s="34"/>
      <c r="S100" s="28"/>
    </row>
    <row r="101" spans="1:19" x14ac:dyDescent="0.2">
      <c r="A101" s="5">
        <v>90</v>
      </c>
      <c r="S101" s="28"/>
    </row>
    <row r="102" spans="1:19" x14ac:dyDescent="0.2">
      <c r="A102" s="5">
        <v>91</v>
      </c>
      <c r="B102" s="41" t="s">
        <v>58</v>
      </c>
      <c r="D102" s="34">
        <f>D108+D99+D100</f>
        <v>8718865.0007315353</v>
      </c>
      <c r="E102" s="34">
        <f t="shared" ref="E102:O102" si="42">E108+E99+E100</f>
        <v>7526078.4226867789</v>
      </c>
      <c r="F102" s="34">
        <f t="shared" si="42"/>
        <v>6732953.443237884</v>
      </c>
      <c r="G102" s="34">
        <f t="shared" si="42"/>
        <v>6634124.7522050887</v>
      </c>
      <c r="H102" s="34">
        <f t="shared" si="42"/>
        <v>6916181.0684033604</v>
      </c>
      <c r="I102" s="34">
        <f t="shared" si="42"/>
        <v>6947915.5722944988</v>
      </c>
      <c r="J102" s="34">
        <f t="shared" si="42"/>
        <v>7330546.1137885572</v>
      </c>
      <c r="K102" s="34">
        <f t="shared" si="42"/>
        <v>9167601.904542027</v>
      </c>
      <c r="L102" s="34">
        <f t="shared" si="42"/>
        <v>10444124.463588303</v>
      </c>
      <c r="M102" s="34">
        <f t="shared" si="42"/>
        <v>11273584.588583475</v>
      </c>
      <c r="N102" s="34">
        <f t="shared" si="42"/>
        <v>11530482.6585414</v>
      </c>
      <c r="O102" s="34">
        <f t="shared" si="42"/>
        <v>9980183.7958098389</v>
      </c>
      <c r="P102" s="34">
        <f>SUM(D102:O102)</f>
        <v>103202641.78441274</v>
      </c>
      <c r="Q102" s="2"/>
      <c r="R102" s="42"/>
      <c r="S102" s="28"/>
    </row>
    <row r="103" spans="1:19" x14ac:dyDescent="0.2">
      <c r="A103" s="5">
        <v>92</v>
      </c>
      <c r="B103" s="1" t="s">
        <v>30</v>
      </c>
      <c r="D103" s="34">
        <f t="shared" ref="D103:O103" si="43">D62+D54+D46+D37+D28+D19</f>
        <v>0</v>
      </c>
      <c r="E103" s="34">
        <f t="shared" si="43"/>
        <v>0</v>
      </c>
      <c r="F103" s="34">
        <f t="shared" si="43"/>
        <v>0</v>
      </c>
      <c r="G103" s="34">
        <f t="shared" si="43"/>
        <v>0</v>
      </c>
      <c r="H103" s="34">
        <f t="shared" si="43"/>
        <v>0</v>
      </c>
      <c r="I103" s="34">
        <f t="shared" si="43"/>
        <v>0</v>
      </c>
      <c r="J103" s="34">
        <f t="shared" si="43"/>
        <v>0</v>
      </c>
      <c r="K103" s="34">
        <f t="shared" si="43"/>
        <v>0</v>
      </c>
      <c r="L103" s="34">
        <f t="shared" si="43"/>
        <v>0</v>
      </c>
      <c r="M103" s="34">
        <f t="shared" si="43"/>
        <v>0</v>
      </c>
      <c r="N103" s="34">
        <f t="shared" si="43"/>
        <v>0</v>
      </c>
      <c r="O103" s="34">
        <f t="shared" si="43"/>
        <v>0</v>
      </c>
      <c r="P103" s="34">
        <f>SUM(D103:O103)</f>
        <v>0</v>
      </c>
      <c r="Q103" s="2"/>
      <c r="S103" s="28"/>
    </row>
    <row r="104" spans="1:19" x14ac:dyDescent="0.2">
      <c r="A104" s="5">
        <v>93</v>
      </c>
      <c r="B104" s="41" t="s">
        <v>59</v>
      </c>
      <c r="D104" s="34">
        <f>D102+D103</f>
        <v>8718865.0007315353</v>
      </c>
      <c r="E104" s="34">
        <f t="shared" ref="E104:O104" si="44">E102+E103</f>
        <v>7526078.4226867789</v>
      </c>
      <c r="F104" s="34">
        <f t="shared" si="44"/>
        <v>6732953.443237884</v>
      </c>
      <c r="G104" s="34">
        <f t="shared" si="44"/>
        <v>6634124.7522050887</v>
      </c>
      <c r="H104" s="34">
        <f t="shared" si="44"/>
        <v>6916181.0684033604</v>
      </c>
      <c r="I104" s="34">
        <f t="shared" si="44"/>
        <v>6947915.5722944988</v>
      </c>
      <c r="J104" s="34">
        <f t="shared" si="44"/>
        <v>7330546.1137885572</v>
      </c>
      <c r="K104" s="34">
        <f t="shared" si="44"/>
        <v>9167601.904542027</v>
      </c>
      <c r="L104" s="34">
        <f t="shared" si="44"/>
        <v>10444124.463588303</v>
      </c>
      <c r="M104" s="34">
        <f t="shared" si="44"/>
        <v>11273584.588583475</v>
      </c>
      <c r="N104" s="34">
        <f t="shared" si="44"/>
        <v>11530482.6585414</v>
      </c>
      <c r="O104" s="34">
        <f t="shared" si="44"/>
        <v>9980183.7958098389</v>
      </c>
      <c r="P104" s="34">
        <f>SUM(D104:O104)</f>
        <v>103202641.78441274</v>
      </c>
      <c r="Q104" s="2"/>
      <c r="S104" s="28"/>
    </row>
    <row r="105" spans="1:19" x14ac:dyDescent="0.2">
      <c r="Q105" s="2"/>
    </row>
    <row r="106" spans="1:19" x14ac:dyDescent="0.2">
      <c r="A106" s="5"/>
      <c r="Q106" s="2"/>
    </row>
    <row r="107" spans="1:19" x14ac:dyDescent="0.2">
      <c r="A107" s="5"/>
      <c r="D107" s="2">
        <f t="shared" ref="D107:P107" si="45">D17+D26+D35+D44+D52+D60+D72+D87+D96</f>
        <v>3949013.2276285691</v>
      </c>
      <c r="E107" s="2">
        <f t="shared" si="45"/>
        <v>3356656.9341787314</v>
      </c>
      <c r="F107" s="2">
        <f t="shared" si="45"/>
        <v>2766078.2270126566</v>
      </c>
      <c r="G107" s="2">
        <f t="shared" si="45"/>
        <v>2641755.6318805488</v>
      </c>
      <c r="H107" s="2">
        <f t="shared" si="45"/>
        <v>2938388.4560630769</v>
      </c>
      <c r="I107" s="2">
        <f t="shared" si="45"/>
        <v>3078106.7590189362</v>
      </c>
      <c r="J107" s="2">
        <f t="shared" si="45"/>
        <v>3404159.1005430473</v>
      </c>
      <c r="K107" s="2">
        <f t="shared" si="45"/>
        <v>4850806.9602762721</v>
      </c>
      <c r="L107" s="2">
        <f t="shared" si="45"/>
        <v>5450053.3082100209</v>
      </c>
      <c r="M107" s="2">
        <f t="shared" si="45"/>
        <v>6034486.5438986626</v>
      </c>
      <c r="N107" s="2">
        <f t="shared" si="45"/>
        <v>5964347.4549069908</v>
      </c>
      <c r="O107" s="2">
        <f t="shared" si="45"/>
        <v>4889388.0623689126</v>
      </c>
      <c r="P107" s="2">
        <f t="shared" si="45"/>
        <v>49323246.502786428</v>
      </c>
      <c r="Q107" s="2"/>
    </row>
    <row r="108" spans="1:19" x14ac:dyDescent="0.2">
      <c r="A108" s="5"/>
      <c r="C108" s="2"/>
      <c r="D108" s="34">
        <f>D89+D80+D64+D56+D48+D39+D30+D21+D12+D74</f>
        <v>8660343.38916317</v>
      </c>
      <c r="E108" s="34">
        <f t="shared" ref="E108:O108" si="46">E89+E80+E64+E56+E48+E39+E30+E21+E12+E74</f>
        <v>7480983.8961328808</v>
      </c>
      <c r="F108" s="34">
        <f t="shared" si="46"/>
        <v>6699412.1950193439</v>
      </c>
      <c r="G108" s="34">
        <f t="shared" si="46"/>
        <v>6606254.0827986635</v>
      </c>
      <c r="H108" s="34">
        <f t="shared" si="46"/>
        <v>6888867.7907761699</v>
      </c>
      <c r="I108" s="34">
        <f t="shared" si="46"/>
        <v>6919769.3159634816</v>
      </c>
      <c r="J108" s="34">
        <f t="shared" si="46"/>
        <v>7295688.462396102</v>
      </c>
      <c r="K108" s="34">
        <f t="shared" si="46"/>
        <v>9126277.145010937</v>
      </c>
      <c r="L108" s="34">
        <f t="shared" si="46"/>
        <v>10387400.419872597</v>
      </c>
      <c r="M108" s="34">
        <f t="shared" si="46"/>
        <v>11199101.297840251</v>
      </c>
      <c r="N108" s="34">
        <f t="shared" si="46"/>
        <v>11448623.456285987</v>
      </c>
      <c r="O108" s="34">
        <f t="shared" si="46"/>
        <v>9902150.1517370902</v>
      </c>
      <c r="P108" s="34">
        <f>P89+P80+P64+P56+P48+P39+P30+P21+P12</f>
        <v>102614871.60299669</v>
      </c>
      <c r="Q108" s="2"/>
    </row>
    <row r="109" spans="1:19" x14ac:dyDescent="0.2">
      <c r="A109" s="5"/>
      <c r="C109" s="2"/>
      <c r="D109" s="34">
        <f>D62+D54+D46+D37+D28+D19</f>
        <v>0</v>
      </c>
      <c r="E109" s="34">
        <f>E62+E54+E46+E37+E28+E19</f>
        <v>0</v>
      </c>
      <c r="F109" s="34">
        <f>F62+F54+F46+F37+F28+F19</f>
        <v>0</v>
      </c>
      <c r="G109" s="34">
        <f>G62+G54+G46+G37+G28+G19</f>
        <v>0</v>
      </c>
      <c r="H109" s="34">
        <f t="shared" ref="H109:P109" si="47">H62+H54+H46+H37+H28+H19</f>
        <v>0</v>
      </c>
      <c r="I109" s="34">
        <f t="shared" si="47"/>
        <v>0</v>
      </c>
      <c r="J109" s="34">
        <f t="shared" si="47"/>
        <v>0</v>
      </c>
      <c r="K109" s="34">
        <f t="shared" si="47"/>
        <v>0</v>
      </c>
      <c r="L109" s="34">
        <f t="shared" si="47"/>
        <v>0</v>
      </c>
      <c r="M109" s="34">
        <f t="shared" si="47"/>
        <v>0</v>
      </c>
      <c r="N109" s="34">
        <f t="shared" si="47"/>
        <v>0</v>
      </c>
      <c r="O109" s="34">
        <f t="shared" si="47"/>
        <v>0</v>
      </c>
      <c r="P109" s="34">
        <f t="shared" si="47"/>
        <v>0</v>
      </c>
      <c r="Q109" s="2"/>
    </row>
    <row r="110" spans="1:19" x14ac:dyDescent="0.2">
      <c r="A110" s="5"/>
      <c r="D110" s="34"/>
      <c r="Q110" s="2"/>
    </row>
    <row r="111" spans="1:19" x14ac:dyDescent="0.2">
      <c r="A111" s="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43"/>
    </row>
    <row r="112" spans="1:19" x14ac:dyDescent="0.2">
      <c r="A112" s="5"/>
      <c r="B112" s="1" t="s">
        <v>60</v>
      </c>
      <c r="D112" s="2">
        <v>2185530.8774090242</v>
      </c>
      <c r="E112" s="2">
        <v>1665159.244804672</v>
      </c>
      <c r="F112" s="2">
        <v>1368310.5663047852</v>
      </c>
      <c r="G112" s="2">
        <v>1320368.2265086677</v>
      </c>
      <c r="H112" s="2">
        <v>1319281.0946847992</v>
      </c>
      <c r="I112" s="2">
        <v>1310304.5256639421</v>
      </c>
      <c r="J112" s="2">
        <v>1475611.4578802092</v>
      </c>
      <c r="K112" s="2">
        <v>2184614.2103205649</v>
      </c>
      <c r="L112" s="2">
        <v>2902818.6631048452</v>
      </c>
      <c r="M112" s="2">
        <v>3271554.6415787265</v>
      </c>
      <c r="N112" s="2">
        <v>3450018.0322594699</v>
      </c>
      <c r="O112" s="2">
        <v>2764597.4360782392</v>
      </c>
      <c r="P112" s="2"/>
    </row>
    <row r="114" spans="2:16" x14ac:dyDescent="0.2">
      <c r="B114" s="1" t="s">
        <v>61</v>
      </c>
      <c r="D114" s="2">
        <f>D17+D26+D35+D44</f>
        <v>1506710.8227619021</v>
      </c>
      <c r="E114" s="2">
        <f t="shared" ref="E114:O114" si="48">E17+E26+E35+E44</f>
        <v>818886.85352635011</v>
      </c>
      <c r="F114" s="2">
        <f t="shared" si="48"/>
        <v>395397.09832098981</v>
      </c>
      <c r="G114" s="2">
        <f t="shared" si="48"/>
        <v>344607.87736031122</v>
      </c>
      <c r="H114" s="2">
        <f t="shared" si="48"/>
        <v>349731.05274283863</v>
      </c>
      <c r="I114" s="2">
        <f t="shared" si="48"/>
        <v>352082.70689869771</v>
      </c>
      <c r="J114" s="2">
        <f t="shared" si="48"/>
        <v>575795.91692280897</v>
      </c>
      <c r="K114" s="2">
        <f t="shared" si="48"/>
        <v>1529674.2444560339</v>
      </c>
      <c r="L114" s="2">
        <f t="shared" si="48"/>
        <v>2520502.7481897827</v>
      </c>
      <c r="M114" s="2">
        <f t="shared" si="48"/>
        <v>3073860.1712784241</v>
      </c>
      <c r="N114" s="2">
        <f t="shared" si="48"/>
        <v>3300342.2415903243</v>
      </c>
      <c r="O114" s="2">
        <f t="shared" si="48"/>
        <v>2313202.0535355792</v>
      </c>
      <c r="P114" s="2">
        <f>SUM(D114:O114)</f>
        <v>17080793.787584044</v>
      </c>
    </row>
  </sheetData>
  <mergeCells count="5">
    <mergeCell ref="O3:P3"/>
    <mergeCell ref="A4:P4"/>
    <mergeCell ref="A5:P5"/>
    <mergeCell ref="A6:P6"/>
    <mergeCell ref="A7:P7"/>
  </mergeCells>
  <pageMargins left="0.7" right="0.7" top="0.75" bottom="0.75" header="0.3" footer="0.3"/>
  <pageSetup scale="60" orientation="landscape" horizontalDpi="1200" verticalDpi="1200" r:id="rId1"/>
  <headerFooter>
    <oddHeader>&amp;RCASE NO. 2024-00276
ATTACHMENT 1
TO STAFF DR 4-10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42C1-9E4B-4C0D-9B2E-76CA9C18A1DD}">
  <sheetPr transitionEvaluation="1" transitionEntry="1">
    <tabColor rgb="FF92D050"/>
  </sheetPr>
  <dimension ref="A1:CM114"/>
  <sheetViews>
    <sheetView zoomScaleNormal="100" workbookViewId="0"/>
  </sheetViews>
  <sheetFormatPr defaultColWidth="12.5703125" defaultRowHeight="12.75" x14ac:dyDescent="0.2"/>
  <cols>
    <col min="1" max="1" width="5.5703125" style="1" bestFit="1" customWidth="1"/>
    <col min="2" max="2" width="29.5703125" style="1" customWidth="1"/>
    <col min="3" max="3" width="8.5703125" style="1" customWidth="1"/>
    <col min="4" max="15" width="10.5703125" style="1" customWidth="1"/>
    <col min="16" max="16" width="12.28515625" style="1" bestFit="1" customWidth="1"/>
    <col min="17" max="17" width="10.5703125" style="1" customWidth="1"/>
    <col min="18" max="19" width="10.5703125" style="3" customWidth="1"/>
    <col min="20" max="20" width="16" bestFit="1" customWidth="1"/>
    <col min="21" max="29" width="10.5703125" style="3" customWidth="1"/>
    <col min="30" max="63" width="10.5703125" style="1" customWidth="1"/>
    <col min="64" max="67" width="9.5703125" style="1" customWidth="1"/>
    <col min="68" max="16384" width="12.5703125" style="1"/>
  </cols>
  <sheetData>
    <row r="1" spans="1:91" x14ac:dyDescent="0.2">
      <c r="P1" s="2"/>
      <c r="Q1" s="2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x14ac:dyDescent="0.2">
      <c r="P2" s="2"/>
      <c r="Q2" s="2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x14ac:dyDescent="0.2">
      <c r="O3" s="48" t="s">
        <v>62</v>
      </c>
      <c r="P3" s="48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x14ac:dyDescent="0.2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6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x14ac:dyDescent="0.2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7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">
      <c r="A6" s="49" t="s">
        <v>63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7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</row>
    <row r="7" spans="1:91" x14ac:dyDescent="0.2">
      <c r="A7" s="50" t="s">
        <v>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</row>
    <row r="8" spans="1:91" x14ac:dyDescent="0.2">
      <c r="A8" s="8" t="s">
        <v>3</v>
      </c>
      <c r="P8" s="5" t="s">
        <v>4</v>
      </c>
      <c r="Q8" s="5" t="s">
        <v>4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</row>
    <row r="9" spans="1:91" x14ac:dyDescent="0.2">
      <c r="A9" s="9" t="s">
        <v>5</v>
      </c>
      <c r="B9" s="10" t="s">
        <v>6</v>
      </c>
      <c r="C9" s="11" t="s">
        <v>7</v>
      </c>
      <c r="D9" s="12">
        <v>45777</v>
      </c>
      <c r="E9" s="12">
        <v>45808</v>
      </c>
      <c r="F9" s="12">
        <v>45838</v>
      </c>
      <c r="G9" s="12">
        <v>45869</v>
      </c>
      <c r="H9" s="12">
        <v>45900</v>
      </c>
      <c r="I9" s="12">
        <v>45930</v>
      </c>
      <c r="J9" s="12">
        <v>45961</v>
      </c>
      <c r="K9" s="12">
        <v>45991</v>
      </c>
      <c r="L9" s="12">
        <v>46022</v>
      </c>
      <c r="M9" s="12">
        <v>46053</v>
      </c>
      <c r="N9" s="12">
        <v>46081</v>
      </c>
      <c r="O9" s="12">
        <v>46112</v>
      </c>
      <c r="P9" s="12" t="s">
        <v>8</v>
      </c>
      <c r="Q9" s="12" t="s">
        <v>9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</row>
    <row r="10" spans="1:91" x14ac:dyDescent="0.2">
      <c r="B10" s="14"/>
      <c r="C10" s="14"/>
      <c r="D10" s="14" t="s">
        <v>10</v>
      </c>
      <c r="E10" s="14" t="s">
        <v>11</v>
      </c>
      <c r="F10" s="5" t="s">
        <v>12</v>
      </c>
      <c r="G10" s="15" t="s">
        <v>13</v>
      </c>
      <c r="H10" s="16" t="s">
        <v>14</v>
      </c>
      <c r="I10" s="16" t="s">
        <v>15</v>
      </c>
      <c r="J10" s="16" t="s">
        <v>16</v>
      </c>
      <c r="K10" s="16" t="s">
        <v>17</v>
      </c>
      <c r="L10" s="16" t="s">
        <v>18</v>
      </c>
      <c r="M10" s="16" t="s">
        <v>19</v>
      </c>
      <c r="N10" s="16" t="s">
        <v>20</v>
      </c>
      <c r="O10" s="16" t="s">
        <v>21</v>
      </c>
      <c r="P10" s="16" t="s">
        <v>22</v>
      </c>
      <c r="Q10" s="16" t="s">
        <v>23</v>
      </c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</row>
    <row r="11" spans="1:91" x14ac:dyDescent="0.2"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18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</row>
    <row r="12" spans="1:91" x14ac:dyDescent="0.2">
      <c r="A12" s="5">
        <v>1</v>
      </c>
      <c r="B12" s="21" t="s">
        <v>24</v>
      </c>
      <c r="C12" s="5"/>
      <c r="D12" s="22">
        <f>D13*$C$13+D14*$C$14+D15*$C$15+D16*$C$16</f>
        <v>6081538.1637589438</v>
      </c>
      <c r="E12" s="22">
        <f t="shared" ref="E12:O12" si="0">E13*$C$13+E14*$C$14+E15*$C$15+E16*$C$16</f>
        <v>5035683.2324800994</v>
      </c>
      <c r="F12" s="22">
        <f t="shared" si="0"/>
        <v>4434632.339970747</v>
      </c>
      <c r="G12" s="22">
        <f t="shared" si="0"/>
        <v>4324785.6711090161</v>
      </c>
      <c r="H12" s="22">
        <f t="shared" si="0"/>
        <v>4318905.2758845743</v>
      </c>
      <c r="I12" s="22">
        <f t="shared" si="0"/>
        <v>4297832.5585399466</v>
      </c>
      <c r="J12" s="22">
        <f t="shared" si="0"/>
        <v>4655017.683764955</v>
      </c>
      <c r="K12" s="22">
        <f t="shared" si="0"/>
        <v>6076926.3215256091</v>
      </c>
      <c r="L12" s="22">
        <f t="shared" si="0"/>
        <v>7530851.6788816964</v>
      </c>
      <c r="M12" s="22">
        <f t="shared" si="0"/>
        <v>8292518.2405610979</v>
      </c>
      <c r="N12" s="22">
        <f t="shared" si="0"/>
        <v>8653070.6278884485</v>
      </c>
      <c r="O12" s="22">
        <f t="shared" si="0"/>
        <v>7246377.5855947435</v>
      </c>
      <c r="P12" s="22">
        <f>SUM(D12:O12)</f>
        <v>70948139.379959881</v>
      </c>
      <c r="Q12" s="23"/>
      <c r="S12" s="24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5"/>
      <c r="BM12" s="25"/>
      <c r="BN12" s="25"/>
      <c r="BO12" s="25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</row>
    <row r="13" spans="1:91" x14ac:dyDescent="0.2">
      <c r="A13" s="5">
        <v>2</v>
      </c>
      <c r="B13" s="1" t="s">
        <v>25</v>
      </c>
      <c r="C13" s="26">
        <v>25</v>
      </c>
      <c r="D13" s="2">
        <v>162288</v>
      </c>
      <c r="E13" s="2">
        <v>161528</v>
      </c>
      <c r="F13" s="2">
        <v>160443</v>
      </c>
      <c r="G13" s="2">
        <v>158859</v>
      </c>
      <c r="H13" s="2">
        <v>158643</v>
      </c>
      <c r="I13" s="2">
        <v>157525</v>
      </c>
      <c r="J13" s="2">
        <v>158693</v>
      </c>
      <c r="K13" s="2">
        <v>160008</v>
      </c>
      <c r="L13" s="2">
        <v>161112</v>
      </c>
      <c r="M13" s="2">
        <v>162059</v>
      </c>
      <c r="N13" s="2">
        <v>162229</v>
      </c>
      <c r="O13" s="2">
        <v>162136</v>
      </c>
      <c r="P13" s="2">
        <f>ROUND((SUM(D13:O13)),0)</f>
        <v>1925523</v>
      </c>
      <c r="Q13" s="2">
        <f>ROUND(P13*C13,0)</f>
        <v>48138075</v>
      </c>
      <c r="S13" s="27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30"/>
      <c r="BM13" s="30"/>
      <c r="BN13" s="30"/>
      <c r="BO13" s="30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</row>
    <row r="14" spans="1:91" x14ac:dyDescent="0.2">
      <c r="A14" s="5">
        <v>3</v>
      </c>
      <c r="B14" s="1" t="s">
        <v>26</v>
      </c>
      <c r="C14" s="31">
        <v>2.2951000000000001</v>
      </c>
      <c r="D14" s="2">
        <v>882026.12686111452</v>
      </c>
      <c r="E14" s="2">
        <v>434614.2793255627</v>
      </c>
      <c r="F14" s="2">
        <v>184548.5338202024</v>
      </c>
      <c r="G14" s="2">
        <v>153941.29715873633</v>
      </c>
      <c r="H14" s="2">
        <v>153731.98374126368</v>
      </c>
      <c r="I14" s="2">
        <v>156728.49049712287</v>
      </c>
      <c r="J14" s="2">
        <v>299635.17222123418</v>
      </c>
      <c r="K14" s="2">
        <v>904852.21625445888</v>
      </c>
      <c r="L14" s="2">
        <v>1526317.6675882081</v>
      </c>
      <c r="M14" s="2">
        <v>1847868.6072768497</v>
      </c>
      <c r="N14" s="2">
        <v>2003113.4276887493</v>
      </c>
      <c r="O14" s="2">
        <v>1391215.0170340042</v>
      </c>
      <c r="P14" s="2">
        <f>SUM(D14:O14)</f>
        <v>9938592.8194675054</v>
      </c>
      <c r="Q14" s="2">
        <f t="shared" ref="Q14:Q16" si="1">ROUND(P14*C14,0)</f>
        <v>22810064</v>
      </c>
      <c r="S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</row>
    <row r="15" spans="1:91" x14ac:dyDescent="0.2">
      <c r="A15" s="5">
        <v>4</v>
      </c>
      <c r="B15" s="1" t="s">
        <v>27</v>
      </c>
      <c r="C15" s="31">
        <v>1.5952999999999999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>SUM(D15:O15)</f>
        <v>0</v>
      </c>
      <c r="Q15" s="2">
        <f t="shared" si="1"/>
        <v>0</v>
      </c>
      <c r="S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</row>
    <row r="16" spans="1:91" x14ac:dyDescent="0.2">
      <c r="A16" s="5">
        <v>5</v>
      </c>
      <c r="B16" s="1" t="s">
        <v>28</v>
      </c>
      <c r="C16" s="31">
        <v>1.3174999999999999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>SUM(D16:O16)</f>
        <v>0</v>
      </c>
      <c r="Q16" s="2">
        <f t="shared" si="1"/>
        <v>0</v>
      </c>
      <c r="S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</row>
    <row r="17" spans="1:19" x14ac:dyDescent="0.2">
      <c r="A17" s="5">
        <v>6</v>
      </c>
      <c r="B17" s="32" t="s">
        <v>29</v>
      </c>
      <c r="C17" s="32"/>
      <c r="D17" s="33">
        <f t="shared" ref="D17:P17" si="2">D14+D15+D16</f>
        <v>882026.12686111452</v>
      </c>
      <c r="E17" s="33">
        <f t="shared" si="2"/>
        <v>434614.2793255627</v>
      </c>
      <c r="F17" s="33">
        <f t="shared" si="2"/>
        <v>184548.5338202024</v>
      </c>
      <c r="G17" s="33">
        <f t="shared" si="2"/>
        <v>153941.29715873633</v>
      </c>
      <c r="H17" s="33">
        <f t="shared" si="2"/>
        <v>153731.98374126368</v>
      </c>
      <c r="I17" s="33">
        <f t="shared" si="2"/>
        <v>156728.49049712287</v>
      </c>
      <c r="J17" s="33">
        <f t="shared" si="2"/>
        <v>299635.17222123418</v>
      </c>
      <c r="K17" s="33">
        <f t="shared" si="2"/>
        <v>904852.21625445888</v>
      </c>
      <c r="L17" s="33">
        <f t="shared" si="2"/>
        <v>1526317.6675882081</v>
      </c>
      <c r="M17" s="33">
        <f t="shared" si="2"/>
        <v>1847868.6072768497</v>
      </c>
      <c r="N17" s="33">
        <f t="shared" si="2"/>
        <v>2003113.4276887493</v>
      </c>
      <c r="O17" s="33">
        <f t="shared" si="2"/>
        <v>1391215.0170340042</v>
      </c>
      <c r="P17" s="33">
        <f t="shared" si="2"/>
        <v>9938592.8194675054</v>
      </c>
      <c r="Q17" s="33">
        <f>SUM(Q13:Q16)</f>
        <v>70948139</v>
      </c>
    </row>
    <row r="18" spans="1:19" x14ac:dyDescent="0.2">
      <c r="A18" s="5">
        <v>7</v>
      </c>
      <c r="B18" s="1" t="s">
        <v>71</v>
      </c>
      <c r="D18" s="26">
        <f>D12/D13</f>
        <v>37.473739055006803</v>
      </c>
      <c r="E18" s="26">
        <f t="shared" ref="E18:P18" si="3">E12/E13</f>
        <v>31.175296125006806</v>
      </c>
      <c r="F18" s="26">
        <f t="shared" si="3"/>
        <v>27.639924085006808</v>
      </c>
      <c r="G18" s="26">
        <f t="shared" si="3"/>
        <v>27.224051965006804</v>
      </c>
      <c r="H18" s="26">
        <f t="shared" si="3"/>
        <v>27.224051965006804</v>
      </c>
      <c r="I18" s="26">
        <f t="shared" si="3"/>
        <v>27.283495055006803</v>
      </c>
      <c r="J18" s="26">
        <f t="shared" si="3"/>
        <v>29.333478375006806</v>
      </c>
      <c r="K18" s="26">
        <f t="shared" si="3"/>
        <v>37.978890565006807</v>
      </c>
      <c r="L18" s="26">
        <f t="shared" si="3"/>
        <v>46.742959425006802</v>
      </c>
      <c r="M18" s="26">
        <f t="shared" si="3"/>
        <v>51.169748305006806</v>
      </c>
      <c r="N18" s="26">
        <f t="shared" si="3"/>
        <v>53.338617805006805</v>
      </c>
      <c r="O18" s="26">
        <f t="shared" si="3"/>
        <v>44.693205615006804</v>
      </c>
      <c r="P18" s="26">
        <f t="shared" si="3"/>
        <v>36.846165628746</v>
      </c>
      <c r="Q18" s="26"/>
      <c r="S18" s="28"/>
    </row>
    <row r="19" spans="1:19" x14ac:dyDescent="0.2">
      <c r="A19" s="5">
        <v>8</v>
      </c>
      <c r="B19" s="1" t="s">
        <v>30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/>
      <c r="S19" s="28"/>
    </row>
    <row r="20" spans="1:19" x14ac:dyDescent="0.2">
      <c r="A20" s="5">
        <v>9</v>
      </c>
      <c r="C20" s="2"/>
      <c r="D20" s="35"/>
      <c r="P20" s="2"/>
      <c r="Q20" s="2"/>
      <c r="S20" s="28"/>
    </row>
    <row r="21" spans="1:19" x14ac:dyDescent="0.2">
      <c r="A21" s="5">
        <v>10</v>
      </c>
      <c r="B21" s="21" t="s">
        <v>31</v>
      </c>
      <c r="D21" s="22">
        <f t="shared" ref="D21:O21" si="4">D22*$C$22+D23*$C$23+D24*$C$24+D25*$C$25</f>
        <v>2523401.5912431022</v>
      </c>
      <c r="E21" s="22">
        <f t="shared" si="4"/>
        <v>2027425.0156753755</v>
      </c>
      <c r="F21" s="22">
        <f t="shared" si="4"/>
        <v>1734862.7842760507</v>
      </c>
      <c r="G21" s="22">
        <f t="shared" si="4"/>
        <v>1674756.6713403068</v>
      </c>
      <c r="H21" s="22">
        <f t="shared" si="4"/>
        <v>1672898.7657461951</v>
      </c>
      <c r="I21" s="22">
        <f t="shared" si="4"/>
        <v>1650084.6531864449</v>
      </c>
      <c r="J21" s="22">
        <f t="shared" si="4"/>
        <v>1795549.955763049</v>
      </c>
      <c r="K21" s="22">
        <f t="shared" si="4"/>
        <v>2478596.1542428415</v>
      </c>
      <c r="L21" s="22">
        <f t="shared" si="4"/>
        <v>3147650.3996687569</v>
      </c>
      <c r="M21" s="22">
        <f t="shared" si="4"/>
        <v>3491368.0374248787</v>
      </c>
      <c r="N21" s="22">
        <f t="shared" si="4"/>
        <v>3656809.7964829011</v>
      </c>
      <c r="O21" s="22">
        <f t="shared" si="4"/>
        <v>3051273.8207761939</v>
      </c>
      <c r="P21" s="22">
        <f>SUM(D21:O21)</f>
        <v>28904677.645826098</v>
      </c>
      <c r="Q21" s="23"/>
      <c r="S21" s="24"/>
    </row>
    <row r="22" spans="1:19" x14ac:dyDescent="0.2">
      <c r="A22" s="5">
        <v>11</v>
      </c>
      <c r="B22" s="1" t="s">
        <v>25</v>
      </c>
      <c r="C22" s="36">
        <v>75</v>
      </c>
      <c r="D22" s="2">
        <v>18884</v>
      </c>
      <c r="E22" s="2">
        <v>18586</v>
      </c>
      <c r="F22" s="2">
        <v>18217</v>
      </c>
      <c r="G22" s="2">
        <v>17906</v>
      </c>
      <c r="H22" s="2">
        <v>17852</v>
      </c>
      <c r="I22" s="2">
        <v>17731</v>
      </c>
      <c r="J22" s="2">
        <v>17935</v>
      </c>
      <c r="K22" s="2">
        <v>18360</v>
      </c>
      <c r="L22" s="2">
        <v>18636</v>
      </c>
      <c r="M22" s="2">
        <v>18899</v>
      </c>
      <c r="N22" s="2">
        <v>18881</v>
      </c>
      <c r="O22" s="2">
        <v>18894</v>
      </c>
      <c r="P22" s="2">
        <f>ROUND((SUM(D22:O22)),0)</f>
        <v>220781</v>
      </c>
      <c r="Q22" s="2">
        <f t="shared" ref="Q22:Q25" si="5">ROUND(P22*C22,0)</f>
        <v>16558575</v>
      </c>
      <c r="S22" s="28"/>
    </row>
    <row r="23" spans="1:19" x14ac:dyDescent="0.2">
      <c r="A23" s="5">
        <v>12</v>
      </c>
      <c r="B23" s="1" t="s">
        <v>26</v>
      </c>
      <c r="C23" s="31">
        <v>2.2951000000000001</v>
      </c>
      <c r="D23" s="2">
        <v>450438.39086677105</v>
      </c>
      <c r="E23" s="2">
        <v>256777.33183943888</v>
      </c>
      <c r="F23" s="2">
        <v>147122.54030253537</v>
      </c>
      <c r="G23" s="2">
        <v>130646.31892965757</v>
      </c>
      <c r="H23" s="2">
        <v>134814.39468582821</v>
      </c>
      <c r="I23" s="2">
        <v>113316.03222846896</v>
      </c>
      <c r="J23" s="2">
        <v>149214.90200769715</v>
      </c>
      <c r="K23" s="2">
        <v>437071.41059518291</v>
      </c>
      <c r="L23" s="2">
        <v>697238.14561079466</v>
      </c>
      <c r="M23" s="2">
        <v>802225.24254819378</v>
      </c>
      <c r="N23" s="2">
        <v>879856.95446737448</v>
      </c>
      <c r="O23" s="2">
        <v>660855.73601369164</v>
      </c>
      <c r="P23" s="2">
        <f>SUM(D23:O23)</f>
        <v>4859577.4000956351</v>
      </c>
      <c r="Q23" s="2">
        <f t="shared" si="5"/>
        <v>11153216</v>
      </c>
      <c r="S23" s="28"/>
    </row>
    <row r="24" spans="1:19" x14ac:dyDescent="0.2">
      <c r="A24" s="5">
        <v>13</v>
      </c>
      <c r="B24" s="1" t="s">
        <v>27</v>
      </c>
      <c r="C24" s="31">
        <v>1.5952999999999999</v>
      </c>
      <c r="D24" s="2">
        <v>45947.746734016335</v>
      </c>
      <c r="E24" s="2">
        <v>27672.137761348546</v>
      </c>
      <c r="F24" s="2">
        <v>19386.223298252091</v>
      </c>
      <c r="G24" s="2">
        <v>20034.040471917302</v>
      </c>
      <c r="H24" s="2">
        <v>15411.677115746692</v>
      </c>
      <c r="I24" s="2">
        <v>37728.344273105904</v>
      </c>
      <c r="J24" s="2">
        <v>67674.941493877734</v>
      </c>
      <c r="K24" s="2">
        <v>61727.298806392049</v>
      </c>
      <c r="L24" s="2">
        <v>93850.142090780355</v>
      </c>
      <c r="M24" s="2">
        <v>145901.01125338109</v>
      </c>
      <c r="N24" s="2">
        <v>138767.06593420039</v>
      </c>
      <c r="O24" s="2">
        <v>73649.984987883261</v>
      </c>
      <c r="P24" s="2">
        <f>SUM(D24:O24)</f>
        <v>747750.61422090186</v>
      </c>
      <c r="Q24" s="2">
        <f t="shared" si="5"/>
        <v>1192887</v>
      </c>
      <c r="S24" s="28"/>
    </row>
    <row r="25" spans="1:19" x14ac:dyDescent="0.2">
      <c r="A25" s="5">
        <v>14</v>
      </c>
      <c r="B25" s="1" t="s">
        <v>28</v>
      </c>
      <c r="C25" s="31">
        <v>1.3174999999999999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>SUM(D25:O25)</f>
        <v>0</v>
      </c>
      <c r="Q25" s="2">
        <f t="shared" si="5"/>
        <v>0</v>
      </c>
      <c r="S25" s="28"/>
    </row>
    <row r="26" spans="1:19" x14ac:dyDescent="0.2">
      <c r="A26" s="5">
        <v>15</v>
      </c>
      <c r="B26" s="32" t="s">
        <v>29</v>
      </c>
      <c r="C26" s="32"/>
      <c r="D26" s="33">
        <f t="shared" ref="D26:P26" si="6">D23+D24+D25</f>
        <v>496386.13760078739</v>
      </c>
      <c r="E26" s="33">
        <f t="shared" si="6"/>
        <v>284449.46960078744</v>
      </c>
      <c r="F26" s="33">
        <f t="shared" si="6"/>
        <v>166508.76360078747</v>
      </c>
      <c r="G26" s="33">
        <f t="shared" si="6"/>
        <v>150680.35940157488</v>
      </c>
      <c r="H26" s="33">
        <f t="shared" si="6"/>
        <v>150226.0718015749</v>
      </c>
      <c r="I26" s="33">
        <f t="shared" si="6"/>
        <v>151044.37650157488</v>
      </c>
      <c r="J26" s="33">
        <f t="shared" si="6"/>
        <v>216889.84350157488</v>
      </c>
      <c r="K26" s="33">
        <f t="shared" si="6"/>
        <v>498798.70940157498</v>
      </c>
      <c r="L26" s="33">
        <f t="shared" si="6"/>
        <v>791088.28770157497</v>
      </c>
      <c r="M26" s="33">
        <f t="shared" si="6"/>
        <v>948126.25380157493</v>
      </c>
      <c r="N26" s="33">
        <f t="shared" si="6"/>
        <v>1018624.0204015749</v>
      </c>
      <c r="O26" s="33">
        <f t="shared" si="6"/>
        <v>734505.72100157489</v>
      </c>
      <c r="P26" s="33">
        <f t="shared" si="6"/>
        <v>5607328.0143165365</v>
      </c>
      <c r="Q26" s="33">
        <f>SUM(Q22:Q25)</f>
        <v>28904678</v>
      </c>
      <c r="S26" s="28"/>
    </row>
    <row r="27" spans="1:19" x14ac:dyDescent="0.2">
      <c r="A27" s="5">
        <v>16</v>
      </c>
      <c r="B27" s="1" t="s">
        <v>71</v>
      </c>
      <c r="D27" s="26">
        <f>D21/D22</f>
        <v>133.62643461359363</v>
      </c>
      <c r="E27" s="26">
        <f t="shared" ref="E27:P27" si="7">E21/E22</f>
        <v>109.08345075193024</v>
      </c>
      <c r="F27" s="26">
        <f t="shared" si="7"/>
        <v>95.233176937808139</v>
      </c>
      <c r="G27" s="26">
        <f t="shared" si="7"/>
        <v>93.530474217597828</v>
      </c>
      <c r="H27" s="26">
        <f t="shared" si="7"/>
        <v>93.709319165706646</v>
      </c>
      <c r="I27" s="26">
        <f t="shared" si="7"/>
        <v>93.062131475181602</v>
      </c>
      <c r="J27" s="26">
        <f t="shared" si="7"/>
        <v>100.1142991783133</v>
      </c>
      <c r="K27" s="26">
        <f t="shared" si="7"/>
        <v>134.99979053610247</v>
      </c>
      <c r="L27" s="26">
        <f t="shared" si="7"/>
        <v>168.90160976973368</v>
      </c>
      <c r="M27" s="26">
        <f t="shared" si="7"/>
        <v>184.73824209878188</v>
      </c>
      <c r="N27" s="26">
        <f t="shared" si="7"/>
        <v>193.67670125962084</v>
      </c>
      <c r="O27" s="26">
        <f t="shared" si="7"/>
        <v>161.49432734075336</v>
      </c>
      <c r="P27" s="26">
        <f t="shared" si="7"/>
        <v>130.92013192179624</v>
      </c>
      <c r="Q27" s="26"/>
      <c r="S27" s="28"/>
    </row>
    <row r="28" spans="1:19" x14ac:dyDescent="0.2">
      <c r="A28" s="5">
        <v>17</v>
      </c>
      <c r="B28" s="1" t="s">
        <v>30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/>
      <c r="S28" s="28"/>
    </row>
    <row r="29" spans="1:19" x14ac:dyDescent="0.2">
      <c r="A29" s="5">
        <v>18</v>
      </c>
      <c r="D29" s="35"/>
      <c r="P29" s="2"/>
      <c r="Q29" s="2"/>
      <c r="S29" s="28"/>
    </row>
    <row r="30" spans="1:19" x14ac:dyDescent="0.2">
      <c r="A30" s="5">
        <v>19</v>
      </c>
      <c r="B30" s="21" t="s">
        <v>32</v>
      </c>
      <c r="C30" s="31"/>
      <c r="D30" s="22">
        <f t="shared" ref="D30:O30" si="8">D31*$C$31+D32*$C$32+D33*$C$33+D34*$C$34</f>
        <v>112144.98748863999</v>
      </c>
      <c r="E30" s="22">
        <f t="shared" si="8"/>
        <v>113143.15940430001</v>
      </c>
      <c r="F30" s="22">
        <f t="shared" si="8"/>
        <v>51350.933780010004</v>
      </c>
      <c r="G30" s="22">
        <f t="shared" si="8"/>
        <v>46470.873864970003</v>
      </c>
      <c r="H30" s="22">
        <f t="shared" si="8"/>
        <v>56662.627369760005</v>
      </c>
      <c r="I30" s="22">
        <f t="shared" si="8"/>
        <v>53628.81547655</v>
      </c>
      <c r="J30" s="22">
        <f t="shared" si="8"/>
        <v>60776.678999169992</v>
      </c>
      <c r="K30" s="22">
        <f t="shared" si="8"/>
        <v>101622.58600526999</v>
      </c>
      <c r="L30" s="22">
        <f t="shared" si="8"/>
        <v>155077.61723365</v>
      </c>
      <c r="M30" s="22">
        <f t="shared" si="8"/>
        <v>241098.28705468</v>
      </c>
      <c r="N30" s="22">
        <f t="shared" si="8"/>
        <v>226891.86246589004</v>
      </c>
      <c r="O30" s="22">
        <f t="shared" si="8"/>
        <v>148720.31772607</v>
      </c>
      <c r="P30" s="22">
        <f>SUM(D30:O30)</f>
        <v>1367588.7468689603</v>
      </c>
      <c r="Q30" s="23"/>
      <c r="S30" s="24"/>
    </row>
    <row r="31" spans="1:19" x14ac:dyDescent="0.2">
      <c r="A31" s="5">
        <v>20</v>
      </c>
      <c r="B31" s="1" t="s">
        <v>25</v>
      </c>
      <c r="C31" s="26">
        <f>C22</f>
        <v>75</v>
      </c>
      <c r="D31" s="2">
        <v>213</v>
      </c>
      <c r="E31" s="2">
        <v>212</v>
      </c>
      <c r="F31" s="2">
        <v>210</v>
      </c>
      <c r="G31" s="2">
        <v>203</v>
      </c>
      <c r="H31" s="2">
        <v>215</v>
      </c>
      <c r="I31" s="2">
        <v>208</v>
      </c>
      <c r="J31" s="2">
        <v>210</v>
      </c>
      <c r="K31" s="2">
        <v>213</v>
      </c>
      <c r="L31" s="2">
        <v>208</v>
      </c>
      <c r="M31" s="2">
        <v>205</v>
      </c>
      <c r="N31" s="2">
        <v>212</v>
      </c>
      <c r="O31" s="2">
        <v>215</v>
      </c>
      <c r="P31" s="2">
        <f>ROUND((SUM(D31:O31)),0)</f>
        <v>2524</v>
      </c>
      <c r="Q31" s="2">
        <f t="shared" ref="Q31:Q34" si="9">ROUND(P31*C31,0)</f>
        <v>189300</v>
      </c>
      <c r="S31" s="28"/>
    </row>
    <row r="32" spans="1:19" x14ac:dyDescent="0.2">
      <c r="A32" s="5">
        <v>21</v>
      </c>
      <c r="B32" s="1" t="s">
        <v>26</v>
      </c>
      <c r="C32" s="31">
        <f>C23</f>
        <v>2.2951000000000001</v>
      </c>
      <c r="D32" s="2">
        <v>27357.7264</v>
      </c>
      <c r="E32" s="2">
        <v>16429.903000000002</v>
      </c>
      <c r="F32" s="2">
        <v>9573.3551000000007</v>
      </c>
      <c r="G32" s="2">
        <v>8454.1347000000005</v>
      </c>
      <c r="H32" s="2">
        <v>8648.4575999999997</v>
      </c>
      <c r="I32" s="2">
        <v>9242.5805</v>
      </c>
      <c r="J32" s="2">
        <v>10822.866699999995</v>
      </c>
      <c r="K32" s="2">
        <v>23510.049699999996</v>
      </c>
      <c r="L32" s="2">
        <v>34112.761500000008</v>
      </c>
      <c r="M32" s="2">
        <v>43948.126800000005</v>
      </c>
      <c r="N32" s="2">
        <v>45008.453900000015</v>
      </c>
      <c r="O32" s="2">
        <v>34440.155699999996</v>
      </c>
      <c r="P32" s="2">
        <f>SUM(D32:O32)</f>
        <v>271548.57160000002</v>
      </c>
      <c r="Q32" s="2">
        <f t="shared" si="9"/>
        <v>623231</v>
      </c>
      <c r="S32" s="28"/>
    </row>
    <row r="33" spans="1:19" x14ac:dyDescent="0.2">
      <c r="A33" s="5">
        <v>22</v>
      </c>
      <c r="B33" s="1" t="s">
        <v>27</v>
      </c>
      <c r="C33" s="31">
        <f>C24</f>
        <v>1.5952999999999999</v>
      </c>
      <c r="D33" s="2">
        <v>20924.759999999998</v>
      </c>
      <c r="E33" s="2">
        <v>37318.93</v>
      </c>
      <c r="F33" s="2">
        <v>8543.2999999999993</v>
      </c>
      <c r="G33" s="2">
        <v>7423.55</v>
      </c>
      <c r="H33" s="2">
        <v>12968.44</v>
      </c>
      <c r="I33" s="2">
        <v>10541.07</v>
      </c>
      <c r="J33" s="2">
        <v>12654.12</v>
      </c>
      <c r="K33" s="2">
        <v>19864.396000000001</v>
      </c>
      <c r="L33" s="2">
        <v>38353.549999999996</v>
      </c>
      <c r="M33" s="2">
        <v>78266.12</v>
      </c>
      <c r="N33" s="2">
        <v>67506.399999999994</v>
      </c>
      <c r="O33" s="2">
        <v>33568.43</v>
      </c>
      <c r="P33" s="2">
        <f>SUM(D33:O33)</f>
        <v>347933.06599999999</v>
      </c>
      <c r="Q33" s="2">
        <f t="shared" si="9"/>
        <v>555058</v>
      </c>
      <c r="S33" s="28"/>
    </row>
    <row r="34" spans="1:19" x14ac:dyDescent="0.2">
      <c r="A34" s="5">
        <v>23</v>
      </c>
      <c r="B34" s="1" t="s">
        <v>28</v>
      </c>
      <c r="C34" s="31">
        <f>C25</f>
        <v>1.3174999999999999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f>SUM(D34:O34)</f>
        <v>0</v>
      </c>
      <c r="Q34" s="2">
        <f t="shared" si="9"/>
        <v>0</v>
      </c>
      <c r="S34" s="28"/>
    </row>
    <row r="35" spans="1:19" x14ac:dyDescent="0.2">
      <c r="A35" s="5">
        <v>24</v>
      </c>
      <c r="B35" s="32" t="s">
        <v>29</v>
      </c>
      <c r="C35" s="32"/>
      <c r="D35" s="33">
        <f t="shared" ref="D35:P35" si="10">D32+D33+D34</f>
        <v>48282.486399999994</v>
      </c>
      <c r="E35" s="33">
        <f t="shared" si="10"/>
        <v>53748.832999999999</v>
      </c>
      <c r="F35" s="33">
        <f t="shared" si="10"/>
        <v>18116.6551</v>
      </c>
      <c r="G35" s="33">
        <f t="shared" si="10"/>
        <v>15877.684700000002</v>
      </c>
      <c r="H35" s="33">
        <f t="shared" si="10"/>
        <v>21616.8976</v>
      </c>
      <c r="I35" s="33">
        <f t="shared" si="10"/>
        <v>19783.6505</v>
      </c>
      <c r="J35" s="33">
        <f t="shared" si="10"/>
        <v>23476.986699999994</v>
      </c>
      <c r="K35" s="33">
        <f t="shared" si="10"/>
        <v>43374.445699999997</v>
      </c>
      <c r="L35" s="33">
        <f t="shared" si="10"/>
        <v>72466.311500000011</v>
      </c>
      <c r="M35" s="33">
        <f t="shared" si="10"/>
        <v>122214.24679999999</v>
      </c>
      <c r="N35" s="33">
        <f t="shared" si="10"/>
        <v>112514.85390000002</v>
      </c>
      <c r="O35" s="33">
        <f t="shared" si="10"/>
        <v>68008.585699999996</v>
      </c>
      <c r="P35" s="33">
        <f t="shared" si="10"/>
        <v>619481.63760000002</v>
      </c>
      <c r="Q35" s="33">
        <f>SUM(Q31:Q34)</f>
        <v>1367589</v>
      </c>
      <c r="S35" s="28"/>
    </row>
    <row r="36" spans="1:19" x14ac:dyDescent="0.2">
      <c r="A36" s="5">
        <v>25</v>
      </c>
      <c r="B36" s="1" t="s">
        <v>71</v>
      </c>
      <c r="D36" s="26">
        <f>D30/D31</f>
        <v>526.50228867906094</v>
      </c>
      <c r="E36" s="26">
        <f t="shared" ref="E36:P36" si="11">E30/E31</f>
        <v>533.69414813349056</v>
      </c>
      <c r="F36" s="26">
        <f t="shared" si="11"/>
        <v>244.52825609528574</v>
      </c>
      <c r="G36" s="26">
        <f t="shared" si="11"/>
        <v>228.92056091118229</v>
      </c>
      <c r="H36" s="26">
        <f t="shared" si="11"/>
        <v>263.54710404539537</v>
      </c>
      <c r="I36" s="26">
        <f t="shared" si="11"/>
        <v>257.83084363725959</v>
      </c>
      <c r="J36" s="26">
        <f t="shared" si="11"/>
        <v>289.41275713890474</v>
      </c>
      <c r="K36" s="26">
        <f t="shared" si="11"/>
        <v>477.1013427477464</v>
      </c>
      <c r="L36" s="26">
        <f t="shared" si="11"/>
        <v>745.56546746947117</v>
      </c>
      <c r="M36" s="26">
        <f t="shared" si="11"/>
        <v>1176.0892051447804</v>
      </c>
      <c r="N36" s="26">
        <f t="shared" si="11"/>
        <v>1070.2446342730661</v>
      </c>
      <c r="O36" s="26">
        <f t="shared" si="11"/>
        <v>691.72240802823262</v>
      </c>
      <c r="P36" s="26">
        <f t="shared" si="11"/>
        <v>541.83389337122037</v>
      </c>
      <c r="Q36" s="26"/>
      <c r="S36" s="28"/>
    </row>
    <row r="37" spans="1:19" x14ac:dyDescent="0.2">
      <c r="A37" s="5">
        <v>26</v>
      </c>
      <c r="B37" s="1" t="s">
        <v>30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/>
      <c r="S37" s="28"/>
    </row>
    <row r="38" spans="1:19" x14ac:dyDescent="0.2">
      <c r="A38" s="5">
        <v>27</v>
      </c>
      <c r="D38" s="35"/>
      <c r="S38" s="28"/>
    </row>
    <row r="39" spans="1:19" x14ac:dyDescent="0.2">
      <c r="A39" s="5">
        <v>28</v>
      </c>
      <c r="B39" s="21" t="s">
        <v>33</v>
      </c>
      <c r="C39" s="31"/>
      <c r="D39" s="22">
        <f>D40*$C$40+D41*$C$41+D42*$C$42+D43*$C$43</f>
        <v>291236.4868028193</v>
      </c>
      <c r="E39" s="22">
        <f t="shared" ref="E39:O39" si="12">E40*$C$40+E41*$C$41+E42*$C$42+E43*$C$43</f>
        <v>214470.26227453584</v>
      </c>
      <c r="F39" s="22">
        <f t="shared" si="12"/>
        <v>168787.18027333054</v>
      </c>
      <c r="G39" s="22">
        <f t="shared" si="12"/>
        <v>165157.49574791756</v>
      </c>
      <c r="H39" s="22">
        <f t="shared" si="12"/>
        <v>165524.27568018041</v>
      </c>
      <c r="I39" s="22">
        <f t="shared" si="12"/>
        <v>167871.80638548156</v>
      </c>
      <c r="J39" s="22">
        <f t="shared" si="12"/>
        <v>192025.29847674616</v>
      </c>
      <c r="K39" s="22">
        <f t="shared" si="12"/>
        <v>295874.88643895119</v>
      </c>
      <c r="L39" s="22">
        <f t="shared" si="12"/>
        <v>401676.7254210083</v>
      </c>
      <c r="M39" s="22">
        <f t="shared" si="12"/>
        <v>449469.9977848077</v>
      </c>
      <c r="N39" s="22">
        <f t="shared" si="12"/>
        <v>471742.32047204074</v>
      </c>
      <c r="O39" s="22">
        <f t="shared" si="12"/>
        <v>377616.07843574818</v>
      </c>
      <c r="P39" s="22">
        <f>SUM(D39:O39)</f>
        <v>3361452.8141935677</v>
      </c>
      <c r="Q39" s="23"/>
      <c r="S39" s="24"/>
    </row>
    <row r="40" spans="1:19" x14ac:dyDescent="0.2">
      <c r="A40" s="5">
        <v>29</v>
      </c>
      <c r="B40" s="1" t="s">
        <v>25</v>
      </c>
      <c r="C40" s="26">
        <f>C31</f>
        <v>75</v>
      </c>
      <c r="D40" s="2">
        <v>1504</v>
      </c>
      <c r="E40" s="2">
        <v>1513</v>
      </c>
      <c r="F40" s="2">
        <v>1483</v>
      </c>
      <c r="G40" s="2">
        <v>1490</v>
      </c>
      <c r="H40" s="2">
        <v>1493</v>
      </c>
      <c r="I40" s="2">
        <v>1496</v>
      </c>
      <c r="J40" s="2">
        <v>1504</v>
      </c>
      <c r="K40" s="2">
        <v>1502</v>
      </c>
      <c r="L40" s="2">
        <v>1507</v>
      </c>
      <c r="M40" s="2">
        <v>1516</v>
      </c>
      <c r="N40" s="2">
        <v>1503</v>
      </c>
      <c r="O40" s="2">
        <v>1507</v>
      </c>
      <c r="P40" s="2">
        <f>ROUND((SUM(D40:O40)),0)</f>
        <v>18018</v>
      </c>
      <c r="Q40" s="2">
        <f t="shared" ref="Q40:Q43" si="13">ROUND(P40*C40,0)</f>
        <v>1351350</v>
      </c>
      <c r="S40" s="28"/>
    </row>
    <row r="41" spans="1:19" x14ac:dyDescent="0.2">
      <c r="A41" s="5">
        <v>30</v>
      </c>
      <c r="B41" s="1" t="s">
        <v>26</v>
      </c>
      <c r="C41" s="31">
        <f>C32</f>
        <v>2.2951000000000001</v>
      </c>
      <c r="D41" s="2">
        <v>72573.374250856432</v>
      </c>
      <c r="E41" s="2">
        <v>39286.905960354146</v>
      </c>
      <c r="F41" s="2">
        <v>22475.558414676387</v>
      </c>
      <c r="G41" s="2">
        <v>21359.171345509516</v>
      </c>
      <c r="H41" s="2">
        <v>21453.343795799363</v>
      </c>
      <c r="I41" s="2">
        <v>23642.721399916503</v>
      </c>
      <c r="J41" s="2">
        <v>31613.699163898465</v>
      </c>
      <c r="K41" s="2">
        <v>73414.031412576674</v>
      </c>
      <c r="L41" s="2">
        <v>114685.50792167516</v>
      </c>
      <c r="M41" s="2">
        <v>124978.36002113133</v>
      </c>
      <c r="N41" s="2">
        <v>134401.31441577696</v>
      </c>
      <c r="O41" s="2">
        <v>105739.11486968872</v>
      </c>
      <c r="P41" s="2">
        <f>SUM(D41:O41)</f>
        <v>785623.10297185974</v>
      </c>
      <c r="Q41" s="2">
        <f t="shared" si="13"/>
        <v>1803084</v>
      </c>
      <c r="S41" s="28"/>
    </row>
    <row r="42" spans="1:19" x14ac:dyDescent="0.2">
      <c r="A42" s="5">
        <v>31</v>
      </c>
      <c r="B42" s="1" t="s">
        <v>27</v>
      </c>
      <c r="C42" s="31">
        <f>C33</f>
        <v>1.5952999999999999</v>
      </c>
      <c r="D42" s="2">
        <v>7442.6976491435726</v>
      </c>
      <c r="E42" s="2">
        <v>6787.3656396458537</v>
      </c>
      <c r="F42" s="2">
        <v>3747.5873853236103</v>
      </c>
      <c r="G42" s="2">
        <v>2749.3647544904838</v>
      </c>
      <c r="H42" s="2">
        <v>2702.7558042006376</v>
      </c>
      <c r="I42" s="2">
        <v>883.46800008349476</v>
      </c>
      <c r="J42" s="2">
        <v>4180.2153361015362</v>
      </c>
      <c r="K42" s="2">
        <v>9234.8416874233153</v>
      </c>
      <c r="L42" s="2">
        <v>15944.973478324855</v>
      </c>
      <c r="M42" s="2">
        <v>30672.703378868671</v>
      </c>
      <c r="N42" s="2">
        <v>31688.625184223063</v>
      </c>
      <c r="O42" s="2">
        <v>13733.614930311276</v>
      </c>
      <c r="P42" s="2">
        <f>SUM(D42:O42)</f>
        <v>129768.21322814038</v>
      </c>
      <c r="Q42" s="2">
        <f t="shared" si="13"/>
        <v>207019</v>
      </c>
      <c r="S42" s="28"/>
    </row>
    <row r="43" spans="1:19" x14ac:dyDescent="0.2">
      <c r="A43" s="5">
        <v>32</v>
      </c>
      <c r="B43" s="1" t="s">
        <v>28</v>
      </c>
      <c r="C43" s="31">
        <f>C34</f>
        <v>1.3174999999999999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f>SUM(D43:O43)</f>
        <v>0</v>
      </c>
      <c r="Q43" s="2">
        <f t="shared" si="13"/>
        <v>0</v>
      </c>
      <c r="S43" s="28"/>
    </row>
    <row r="44" spans="1:19" x14ac:dyDescent="0.2">
      <c r="A44" s="5">
        <v>33</v>
      </c>
      <c r="B44" s="32" t="s">
        <v>29</v>
      </c>
      <c r="C44" s="32"/>
      <c r="D44" s="33">
        <f t="shared" ref="D44:P44" si="14">D41+D42+D43</f>
        <v>80016.07190000001</v>
      </c>
      <c r="E44" s="33">
        <f t="shared" si="14"/>
        <v>46074.2716</v>
      </c>
      <c r="F44" s="33">
        <f t="shared" si="14"/>
        <v>26223.145799999998</v>
      </c>
      <c r="G44" s="33">
        <f t="shared" si="14"/>
        <v>24108.536100000001</v>
      </c>
      <c r="H44" s="33">
        <f t="shared" si="14"/>
        <v>24156.099600000001</v>
      </c>
      <c r="I44" s="33">
        <f t="shared" si="14"/>
        <v>24526.189399999999</v>
      </c>
      <c r="J44" s="33">
        <f t="shared" si="14"/>
        <v>35793.914499999999</v>
      </c>
      <c r="K44" s="33">
        <f t="shared" si="14"/>
        <v>82648.873099999997</v>
      </c>
      <c r="L44" s="33">
        <f t="shared" si="14"/>
        <v>130630.48140000002</v>
      </c>
      <c r="M44" s="33">
        <f t="shared" si="14"/>
        <v>155651.06340000001</v>
      </c>
      <c r="N44" s="33">
        <f t="shared" si="14"/>
        <v>166089.93960000001</v>
      </c>
      <c r="O44" s="33">
        <f t="shared" si="14"/>
        <v>119472.7298</v>
      </c>
      <c r="P44" s="33">
        <f t="shared" si="14"/>
        <v>915391.31620000012</v>
      </c>
      <c r="Q44" s="33">
        <f>SUM(Q40:Q43)</f>
        <v>3361453</v>
      </c>
      <c r="S44" s="28"/>
    </row>
    <row r="45" spans="1:19" x14ac:dyDescent="0.2">
      <c r="A45" s="5">
        <v>34</v>
      </c>
      <c r="B45" s="1" t="s">
        <v>71</v>
      </c>
      <c r="D45" s="26">
        <f>D39/D40</f>
        <v>193.64128111889582</v>
      </c>
      <c r="E45" s="26">
        <f t="shared" ref="E45:P45" si="15">E39/E40</f>
        <v>141.7516604590455</v>
      </c>
      <c r="F45" s="26">
        <f t="shared" si="15"/>
        <v>113.81468663070164</v>
      </c>
      <c r="G45" s="26">
        <f t="shared" si="15"/>
        <v>110.84395687779703</v>
      </c>
      <c r="H45" s="26">
        <f t="shared" si="15"/>
        <v>110.86689596797081</v>
      </c>
      <c r="I45" s="26">
        <f t="shared" si="15"/>
        <v>112.21377432184596</v>
      </c>
      <c r="J45" s="26">
        <f t="shared" si="15"/>
        <v>127.67639526379399</v>
      </c>
      <c r="K45" s="26">
        <f t="shared" si="15"/>
        <v>196.98727459317655</v>
      </c>
      <c r="L45" s="26">
        <f t="shared" si="15"/>
        <v>266.54062735302477</v>
      </c>
      <c r="M45" s="26">
        <f t="shared" si="15"/>
        <v>296.4841674042267</v>
      </c>
      <c r="N45" s="26">
        <f t="shared" si="15"/>
        <v>313.86714602264851</v>
      </c>
      <c r="O45" s="26">
        <f t="shared" si="15"/>
        <v>250.57470367335645</v>
      </c>
      <c r="P45" s="26">
        <f t="shared" si="15"/>
        <v>186.56081774856077</v>
      </c>
      <c r="Q45" s="26"/>
      <c r="S45" s="28"/>
    </row>
    <row r="46" spans="1:19" x14ac:dyDescent="0.2">
      <c r="A46" s="5">
        <v>35</v>
      </c>
      <c r="B46" s="1" t="s">
        <v>30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/>
      <c r="S46" s="28"/>
    </row>
    <row r="47" spans="1:19" x14ac:dyDescent="0.2">
      <c r="A47" s="5">
        <v>36</v>
      </c>
      <c r="D47" s="35"/>
      <c r="S47" s="28"/>
    </row>
    <row r="48" spans="1:19" x14ac:dyDescent="0.2">
      <c r="A48" s="5">
        <v>37</v>
      </c>
      <c r="B48" s="21" t="s">
        <v>34</v>
      </c>
      <c r="D48" s="22">
        <f t="shared" ref="D48:O48" si="16">D49*$C$49+D50*$C$50+D51*$C$51</f>
        <v>2758.91139952</v>
      </c>
      <c r="E48" s="22">
        <f t="shared" si="16"/>
        <v>3255.2066117200002</v>
      </c>
      <c r="F48" s="22">
        <f t="shared" si="16"/>
        <v>1446.83089384</v>
      </c>
      <c r="G48" s="22">
        <f t="shared" si="16"/>
        <v>1394.7003548800001</v>
      </c>
      <c r="H48" s="22">
        <f t="shared" si="16"/>
        <v>1407.1806105600001</v>
      </c>
      <c r="I48" s="22">
        <f t="shared" si="16"/>
        <v>1528.60268784</v>
      </c>
      <c r="J48" s="22">
        <f t="shared" si="16"/>
        <v>1427.46102604</v>
      </c>
      <c r="K48" s="22">
        <f t="shared" si="16"/>
        <v>2275.16921116</v>
      </c>
      <c r="L48" s="22">
        <f t="shared" si="16"/>
        <v>3312.2907922799996</v>
      </c>
      <c r="M48" s="22">
        <f t="shared" si="16"/>
        <v>3983.2581932399999</v>
      </c>
      <c r="N48" s="22">
        <f t="shared" si="16"/>
        <v>4475.0750790399998</v>
      </c>
      <c r="O48" s="22">
        <f t="shared" si="16"/>
        <v>3478.9382492</v>
      </c>
      <c r="P48" s="22">
        <f>SUM(D48:O48)</f>
        <v>30743.625109320004</v>
      </c>
      <c r="Q48" s="23"/>
      <c r="S48" s="28"/>
    </row>
    <row r="49" spans="1:19" x14ac:dyDescent="0.2">
      <c r="A49" s="5">
        <v>38</v>
      </c>
      <c r="B49" s="1" t="s">
        <v>35</v>
      </c>
      <c r="C49" s="36">
        <v>685</v>
      </c>
      <c r="D49" s="2">
        <v>3</v>
      </c>
      <c r="E49" s="2">
        <v>4</v>
      </c>
      <c r="F49" s="2">
        <v>2</v>
      </c>
      <c r="G49" s="2">
        <v>2</v>
      </c>
      <c r="H49" s="2">
        <v>2</v>
      </c>
      <c r="I49" s="2">
        <v>2</v>
      </c>
      <c r="J49" s="2">
        <v>2</v>
      </c>
      <c r="K49" s="2">
        <v>3</v>
      </c>
      <c r="L49" s="2">
        <v>3</v>
      </c>
      <c r="M49" s="2">
        <v>3</v>
      </c>
      <c r="N49" s="2">
        <v>3</v>
      </c>
      <c r="O49" s="2">
        <v>3</v>
      </c>
      <c r="P49" s="2">
        <f>SUM(D49:O49)</f>
        <v>32</v>
      </c>
      <c r="Q49" s="2">
        <f t="shared" ref="Q49:Q51" si="17">ROUND(P49*C49,0)</f>
        <v>21920</v>
      </c>
      <c r="S49" s="28"/>
    </row>
    <row r="50" spans="1:19" x14ac:dyDescent="0.2">
      <c r="A50" s="5">
        <v>39</v>
      </c>
      <c r="B50" s="1" t="s">
        <v>36</v>
      </c>
      <c r="C50" s="31">
        <v>1.2955999999999999</v>
      </c>
      <c r="D50" s="2">
        <v>543.30920000000003</v>
      </c>
      <c r="E50" s="2">
        <v>397.65870000000001</v>
      </c>
      <c r="F50" s="2">
        <v>59.301400000000001</v>
      </c>
      <c r="G50" s="2">
        <v>19.064800000000002</v>
      </c>
      <c r="H50" s="2">
        <v>28.697600000000001</v>
      </c>
      <c r="I50" s="2">
        <v>122.4164</v>
      </c>
      <c r="J50" s="2">
        <v>44.350900000000003</v>
      </c>
      <c r="K50" s="2">
        <v>169.93610000000001</v>
      </c>
      <c r="L50" s="2">
        <v>970.43129999999996</v>
      </c>
      <c r="M50" s="2">
        <v>1488.3128999999999</v>
      </c>
      <c r="N50" s="2">
        <v>1867.9184</v>
      </c>
      <c r="O50" s="2">
        <v>1099.057</v>
      </c>
      <c r="P50" s="2">
        <f>SUM(C50:O50)</f>
        <v>6811.7503000000006</v>
      </c>
      <c r="Q50" s="2">
        <f t="shared" si="17"/>
        <v>8825</v>
      </c>
      <c r="S50" s="28"/>
    </row>
    <row r="51" spans="1:19" x14ac:dyDescent="0.2">
      <c r="A51" s="5">
        <v>40</v>
      </c>
      <c r="B51" s="1" t="s">
        <v>28</v>
      </c>
      <c r="C51" s="31">
        <v>1.0624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f>SUM(C51:O51)</f>
        <v>1.0624</v>
      </c>
      <c r="Q51" s="2">
        <f t="shared" si="17"/>
        <v>1</v>
      </c>
      <c r="S51" s="28"/>
    </row>
    <row r="52" spans="1:19" x14ac:dyDescent="0.2">
      <c r="A52" s="5">
        <v>41</v>
      </c>
      <c r="B52" s="32" t="s">
        <v>29</v>
      </c>
      <c r="C52" s="32"/>
      <c r="D52" s="33">
        <f t="shared" ref="D52:P52" si="18">D50+D51</f>
        <v>543.30920000000003</v>
      </c>
      <c r="E52" s="33">
        <f t="shared" si="18"/>
        <v>397.65870000000001</v>
      </c>
      <c r="F52" s="33">
        <f t="shared" si="18"/>
        <v>59.301400000000001</v>
      </c>
      <c r="G52" s="33">
        <f t="shared" si="18"/>
        <v>19.064800000000002</v>
      </c>
      <c r="H52" s="33">
        <f t="shared" si="18"/>
        <v>28.697600000000001</v>
      </c>
      <c r="I52" s="33">
        <f t="shared" si="18"/>
        <v>122.4164</v>
      </c>
      <c r="J52" s="33">
        <f t="shared" si="18"/>
        <v>44.350900000000003</v>
      </c>
      <c r="K52" s="33">
        <f t="shared" si="18"/>
        <v>169.93610000000001</v>
      </c>
      <c r="L52" s="33">
        <f t="shared" si="18"/>
        <v>970.43129999999996</v>
      </c>
      <c r="M52" s="33">
        <f t="shared" si="18"/>
        <v>1488.3128999999999</v>
      </c>
      <c r="N52" s="33">
        <f t="shared" si="18"/>
        <v>1867.9184</v>
      </c>
      <c r="O52" s="33">
        <f t="shared" si="18"/>
        <v>1099.057</v>
      </c>
      <c r="P52" s="33">
        <f t="shared" si="18"/>
        <v>6812.8127000000004</v>
      </c>
      <c r="Q52" s="33">
        <f>SUM(Q49:Q51)</f>
        <v>30746</v>
      </c>
      <c r="S52" s="28"/>
    </row>
    <row r="53" spans="1:19" x14ac:dyDescent="0.2">
      <c r="A53" s="5">
        <v>42</v>
      </c>
      <c r="B53" s="1" t="s">
        <v>71</v>
      </c>
      <c r="D53" s="26">
        <f>D48/D49</f>
        <v>919.63713317333338</v>
      </c>
      <c r="E53" s="26">
        <f t="shared" ref="E53:P53" si="19">E48/E49</f>
        <v>813.80165293000005</v>
      </c>
      <c r="F53" s="26">
        <f t="shared" si="19"/>
        <v>723.41544692000002</v>
      </c>
      <c r="G53" s="26">
        <f t="shared" si="19"/>
        <v>697.35017744000004</v>
      </c>
      <c r="H53" s="26">
        <f t="shared" si="19"/>
        <v>703.59030528000005</v>
      </c>
      <c r="I53" s="26">
        <f t="shared" si="19"/>
        <v>764.30134392000002</v>
      </c>
      <c r="J53" s="26">
        <f t="shared" si="19"/>
        <v>713.73051301999999</v>
      </c>
      <c r="K53" s="26">
        <f t="shared" si="19"/>
        <v>758.38973705333331</v>
      </c>
      <c r="L53" s="26">
        <f t="shared" si="19"/>
        <v>1104.0969307599999</v>
      </c>
      <c r="M53" s="26">
        <f t="shared" si="19"/>
        <v>1327.7527310799999</v>
      </c>
      <c r="N53" s="26">
        <f t="shared" si="19"/>
        <v>1491.6916930133332</v>
      </c>
      <c r="O53" s="26">
        <f t="shared" si="19"/>
        <v>1159.6460830666667</v>
      </c>
      <c r="P53" s="26">
        <f t="shared" si="19"/>
        <v>960.73828466625014</v>
      </c>
      <c r="Q53" s="26"/>
      <c r="S53" s="28"/>
    </row>
    <row r="54" spans="1:19" x14ac:dyDescent="0.2">
      <c r="A54" s="5">
        <v>43</v>
      </c>
      <c r="B54" s="1" t="s">
        <v>30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/>
      <c r="S54" s="28"/>
    </row>
    <row r="55" spans="1:19" x14ac:dyDescent="0.2">
      <c r="A55" s="5">
        <v>44</v>
      </c>
      <c r="D55" s="35"/>
      <c r="S55" s="28"/>
    </row>
    <row r="56" spans="1:19" x14ac:dyDescent="0.2">
      <c r="A56" s="5">
        <v>45</v>
      </c>
      <c r="B56" s="21" t="s">
        <v>37</v>
      </c>
      <c r="D56" s="22">
        <f t="shared" ref="D56:O56" si="20">D57*$C$57+D58*$C$58+D59*$C$59</f>
        <v>28290.134822399999</v>
      </c>
      <c r="E56" s="22">
        <f t="shared" si="20"/>
        <v>24411.9259232</v>
      </c>
      <c r="F56" s="22">
        <f t="shared" si="20"/>
        <v>23607.671430399998</v>
      </c>
      <c r="G56" s="22">
        <f t="shared" si="20"/>
        <v>13275.858915999999</v>
      </c>
      <c r="H56" s="22">
        <f t="shared" si="20"/>
        <v>14628.117904000001</v>
      </c>
      <c r="I56" s="22">
        <f t="shared" si="20"/>
        <v>18181.620894399999</v>
      </c>
      <c r="J56" s="22">
        <f t="shared" si="20"/>
        <v>16775.3689744</v>
      </c>
      <c r="K56" s="22">
        <f t="shared" si="20"/>
        <v>21413.750180800002</v>
      </c>
      <c r="L56" s="22">
        <f t="shared" si="20"/>
        <v>27571.254001199995</v>
      </c>
      <c r="M56" s="22">
        <f t="shared" si="20"/>
        <v>29257.027619200002</v>
      </c>
      <c r="N56" s="22">
        <f t="shared" si="20"/>
        <v>26534.034609599999</v>
      </c>
      <c r="O56" s="22">
        <f t="shared" si="20"/>
        <v>29929.782244799997</v>
      </c>
      <c r="P56" s="22">
        <f>SUM(D56:O56)</f>
        <v>273876.54752039997</v>
      </c>
      <c r="Q56" s="23"/>
      <c r="S56" s="28"/>
    </row>
    <row r="57" spans="1:19" x14ac:dyDescent="0.2">
      <c r="A57" s="5">
        <v>46</v>
      </c>
      <c r="B57" s="1" t="s">
        <v>35</v>
      </c>
      <c r="C57" s="36">
        <f>C49</f>
        <v>685</v>
      </c>
      <c r="D57" s="2">
        <v>6</v>
      </c>
      <c r="E57" s="2">
        <v>6</v>
      </c>
      <c r="F57" s="2">
        <v>6</v>
      </c>
      <c r="G57" s="2">
        <v>5</v>
      </c>
      <c r="H57" s="2">
        <v>5</v>
      </c>
      <c r="I57" s="2">
        <v>6</v>
      </c>
      <c r="J57" s="2">
        <v>6</v>
      </c>
      <c r="K57" s="2">
        <v>6</v>
      </c>
      <c r="L57" s="2">
        <v>5</v>
      </c>
      <c r="M57" s="2">
        <v>8</v>
      </c>
      <c r="N57" s="2">
        <v>8</v>
      </c>
      <c r="O57" s="2">
        <v>6</v>
      </c>
      <c r="P57" s="2">
        <f>ROUND((SUM(D57:O57)),0)</f>
        <v>73</v>
      </c>
      <c r="Q57" s="2">
        <f t="shared" ref="Q57:Q59" si="21">ROUND(P57*C57,0)</f>
        <v>50005</v>
      </c>
      <c r="S57" s="28"/>
    </row>
    <row r="58" spans="1:19" x14ac:dyDescent="0.2">
      <c r="A58" s="5">
        <v>47</v>
      </c>
      <c r="B58" s="1" t="s">
        <v>36</v>
      </c>
      <c r="C58" s="31">
        <f>C50</f>
        <v>1.2955999999999999</v>
      </c>
      <c r="D58" s="2">
        <v>2078.4</v>
      </c>
      <c r="E58" s="2">
        <v>2200.1999999999998</v>
      </c>
      <c r="F58" s="2">
        <v>1286</v>
      </c>
      <c r="G58" s="2">
        <v>1620.8219999999999</v>
      </c>
      <c r="H58" s="2">
        <v>2041.4</v>
      </c>
      <c r="I58" s="2">
        <v>2038.1</v>
      </c>
      <c r="J58" s="2">
        <v>1556.636</v>
      </c>
      <c r="K58" s="2">
        <v>1833.412</v>
      </c>
      <c r="L58" s="2">
        <v>1436.077</v>
      </c>
      <c r="M58" s="2">
        <v>1910.44</v>
      </c>
      <c r="N58" s="2">
        <v>1860.9</v>
      </c>
      <c r="O58" s="2">
        <v>2104.9</v>
      </c>
      <c r="P58" s="2">
        <f>SUM(C58:O58)</f>
        <v>21968.582600000002</v>
      </c>
      <c r="Q58" s="2">
        <f t="shared" si="21"/>
        <v>28462</v>
      </c>
      <c r="S58" s="28"/>
    </row>
    <row r="59" spans="1:19" x14ac:dyDescent="0.2">
      <c r="A59" s="5">
        <v>48</v>
      </c>
      <c r="B59" s="1" t="s">
        <v>28</v>
      </c>
      <c r="C59" s="31">
        <f>C51</f>
        <v>1.0624</v>
      </c>
      <c r="D59" s="2">
        <v>20225.300999999999</v>
      </c>
      <c r="E59" s="2">
        <v>16426.343000000001</v>
      </c>
      <c r="F59" s="2">
        <v>16784.196</v>
      </c>
      <c r="G59" s="2">
        <v>7295.6719999999996</v>
      </c>
      <c r="H59" s="2">
        <v>8055.6100000000006</v>
      </c>
      <c r="I59" s="2">
        <v>10759.655999999999</v>
      </c>
      <c r="J59" s="2">
        <v>10023.146999999999</v>
      </c>
      <c r="K59" s="2">
        <v>14051.564</v>
      </c>
      <c r="L59" s="2">
        <v>20976.724999999999</v>
      </c>
      <c r="M59" s="2">
        <v>20050.698</v>
      </c>
      <c r="N59" s="2">
        <v>17548.054</v>
      </c>
      <c r="O59" s="2">
        <v>21736.326999999997</v>
      </c>
      <c r="P59" s="2">
        <f>SUM(C59:O59)</f>
        <v>183934.3554</v>
      </c>
      <c r="Q59" s="2">
        <f t="shared" si="21"/>
        <v>195412</v>
      </c>
      <c r="S59" s="28"/>
    </row>
    <row r="60" spans="1:19" x14ac:dyDescent="0.2">
      <c r="A60" s="5">
        <v>49</v>
      </c>
      <c r="B60" s="32" t="s">
        <v>29</v>
      </c>
      <c r="C60" s="32"/>
      <c r="D60" s="33">
        <f t="shared" ref="D60:P60" si="22">D58+D59</f>
        <v>22303.701000000001</v>
      </c>
      <c r="E60" s="33">
        <f t="shared" si="22"/>
        <v>18626.543000000001</v>
      </c>
      <c r="F60" s="33">
        <f t="shared" si="22"/>
        <v>18070.196</v>
      </c>
      <c r="G60" s="33">
        <f t="shared" si="22"/>
        <v>8916.4939999999988</v>
      </c>
      <c r="H60" s="33">
        <f t="shared" si="22"/>
        <v>10097.01</v>
      </c>
      <c r="I60" s="33">
        <f t="shared" si="22"/>
        <v>12797.755999999999</v>
      </c>
      <c r="J60" s="33">
        <f t="shared" si="22"/>
        <v>11579.782999999999</v>
      </c>
      <c r="K60" s="33">
        <f t="shared" si="22"/>
        <v>15884.976000000001</v>
      </c>
      <c r="L60" s="33">
        <f t="shared" si="22"/>
        <v>22412.802</v>
      </c>
      <c r="M60" s="33">
        <f t="shared" si="22"/>
        <v>21961.137999999999</v>
      </c>
      <c r="N60" s="33">
        <f t="shared" si="22"/>
        <v>19408.954000000002</v>
      </c>
      <c r="O60" s="33">
        <f t="shared" si="22"/>
        <v>23841.226999999999</v>
      </c>
      <c r="P60" s="33">
        <f t="shared" si="22"/>
        <v>205902.93799999999</v>
      </c>
      <c r="Q60" s="33">
        <f>SUM(Q57:Q59)</f>
        <v>273879</v>
      </c>
      <c r="S60" s="28"/>
    </row>
    <row r="61" spans="1:19" x14ac:dyDescent="0.2">
      <c r="A61" s="5">
        <v>50</v>
      </c>
      <c r="B61" s="1" t="s">
        <v>71</v>
      </c>
      <c r="D61" s="26">
        <f>D56/D57</f>
        <v>4715.0224704000002</v>
      </c>
      <c r="E61" s="26">
        <f t="shared" ref="E61:P61" si="23">E56/E57</f>
        <v>4068.6543205333332</v>
      </c>
      <c r="F61" s="26">
        <f t="shared" si="23"/>
        <v>3934.6119050666662</v>
      </c>
      <c r="G61" s="26">
        <f t="shared" si="23"/>
        <v>2655.1717831999999</v>
      </c>
      <c r="H61" s="26">
        <f t="shared" si="23"/>
        <v>2925.6235808000001</v>
      </c>
      <c r="I61" s="26">
        <f t="shared" si="23"/>
        <v>3030.2701490666664</v>
      </c>
      <c r="J61" s="26">
        <f t="shared" si="23"/>
        <v>2795.8948290666667</v>
      </c>
      <c r="K61" s="26">
        <f t="shared" si="23"/>
        <v>3568.9583634666669</v>
      </c>
      <c r="L61" s="26">
        <f t="shared" si="23"/>
        <v>5514.2508002399991</v>
      </c>
      <c r="M61" s="26">
        <f t="shared" si="23"/>
        <v>3657.1284524000002</v>
      </c>
      <c r="N61" s="26">
        <f t="shared" si="23"/>
        <v>3316.7543261999999</v>
      </c>
      <c r="O61" s="26">
        <f t="shared" si="23"/>
        <v>4988.2970407999992</v>
      </c>
      <c r="P61" s="26">
        <f t="shared" si="23"/>
        <v>3751.7335276767117</v>
      </c>
      <c r="Q61" s="26"/>
      <c r="S61" s="28"/>
    </row>
    <row r="62" spans="1:19" x14ac:dyDescent="0.2">
      <c r="A62" s="5">
        <v>51</v>
      </c>
      <c r="B62" s="1" t="s">
        <v>30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/>
      <c r="S62" s="28"/>
    </row>
    <row r="63" spans="1:19" x14ac:dyDescent="0.2">
      <c r="A63" s="5">
        <v>52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S63" s="28"/>
    </row>
    <row r="64" spans="1:19" x14ac:dyDescent="0.2">
      <c r="A64" s="5">
        <v>53</v>
      </c>
      <c r="B64" s="21" t="s">
        <v>38</v>
      </c>
      <c r="D64" s="22">
        <f>D65*$C$65+D69*$C$69+D70*$C$70+D71*$C$71+D66+D67+D68</f>
        <v>972217.92238354858</v>
      </c>
      <c r="E64" s="22">
        <f t="shared" ref="E64:O64" si="24">E65*$C$65+E69*$C$69+E70*$C$70+E71*$C$71+E66+E67+E68</f>
        <v>957239.05361144897</v>
      </c>
      <c r="F64" s="22">
        <f t="shared" si="24"/>
        <v>980856.7361030113</v>
      </c>
      <c r="G64" s="22">
        <f t="shared" si="24"/>
        <v>954812.73772801098</v>
      </c>
      <c r="H64" s="22">
        <f t="shared" si="24"/>
        <v>1114174.7927085108</v>
      </c>
      <c r="I64" s="22">
        <f t="shared" si="24"/>
        <v>1214520.6969351114</v>
      </c>
      <c r="J64" s="22">
        <f t="shared" si="24"/>
        <v>1260925.0936006117</v>
      </c>
      <c r="K64" s="22">
        <f t="shared" si="24"/>
        <v>1538075.9416501115</v>
      </c>
      <c r="L64" s="22">
        <f t="shared" si="24"/>
        <v>1281252.3531227109</v>
      </c>
      <c r="M64" s="22">
        <f t="shared" si="24"/>
        <v>1208352.5969193112</v>
      </c>
      <c r="N64" s="22">
        <f t="shared" si="24"/>
        <v>1064572.5149518736</v>
      </c>
      <c r="O64" s="22">
        <f t="shared" si="24"/>
        <v>1003069.927688932</v>
      </c>
      <c r="P64" s="22">
        <f>SUM(D64:O64)</f>
        <v>13550070.367403192</v>
      </c>
      <c r="Q64" s="23"/>
      <c r="S64" s="28"/>
    </row>
    <row r="65" spans="1:19" x14ac:dyDescent="0.2">
      <c r="A65" s="5">
        <v>54</v>
      </c>
      <c r="B65" s="1" t="s">
        <v>39</v>
      </c>
      <c r="C65" s="36">
        <v>685</v>
      </c>
      <c r="D65" s="2">
        <v>118.34615384615384</v>
      </c>
      <c r="E65" s="2">
        <v>118.34615384615384</v>
      </c>
      <c r="F65" s="2">
        <v>118.34615384615384</v>
      </c>
      <c r="G65" s="2">
        <v>117.34615384615384</v>
      </c>
      <c r="H65" s="2">
        <v>117.34615384615384</v>
      </c>
      <c r="I65" s="2">
        <v>117.34615384615384</v>
      </c>
      <c r="J65" s="2">
        <v>117.34615384615384</v>
      </c>
      <c r="K65" s="2">
        <v>117.34615384615384</v>
      </c>
      <c r="L65" s="2">
        <v>118.34615384615384</v>
      </c>
      <c r="M65" s="2">
        <v>118.34615384615384</v>
      </c>
      <c r="N65" s="2">
        <v>118.34615384615384</v>
      </c>
      <c r="O65" s="2">
        <v>118.34615384615384</v>
      </c>
      <c r="P65" s="2">
        <f>SUM(D65:O65)</f>
        <v>1415.153846153846</v>
      </c>
      <c r="Q65" s="2">
        <f>ROUND(P65*C65,0)</f>
        <v>969380</v>
      </c>
      <c r="R65" s="28">
        <v>-233500.00000000012</v>
      </c>
      <c r="S65" s="28"/>
    </row>
    <row r="66" spans="1:19" x14ac:dyDescent="0.2">
      <c r="A66" s="5">
        <v>55</v>
      </c>
      <c r="B66" s="1" t="s">
        <v>40</v>
      </c>
      <c r="D66" s="2">
        <v>5900</v>
      </c>
      <c r="E66" s="2">
        <v>5900</v>
      </c>
      <c r="F66" s="2">
        <v>5900</v>
      </c>
      <c r="G66" s="2">
        <v>5850</v>
      </c>
      <c r="H66" s="2">
        <v>5850</v>
      </c>
      <c r="I66" s="2">
        <v>5850</v>
      </c>
      <c r="J66" s="2">
        <v>5850</v>
      </c>
      <c r="K66" s="2">
        <v>5850</v>
      </c>
      <c r="L66" s="2">
        <v>5900</v>
      </c>
      <c r="M66" s="2">
        <v>5900</v>
      </c>
      <c r="N66" s="2">
        <v>5900</v>
      </c>
      <c r="O66" s="2">
        <v>5950</v>
      </c>
      <c r="P66" s="34">
        <f t="shared" ref="P66:P71" si="25">SUM(D66:O66)</f>
        <v>70600</v>
      </c>
      <c r="Q66" s="2">
        <f>P66</f>
        <v>70600</v>
      </c>
      <c r="R66" s="28">
        <v>0</v>
      </c>
      <c r="S66" s="28"/>
    </row>
    <row r="67" spans="1:19" x14ac:dyDescent="0.2">
      <c r="A67" s="5">
        <v>56</v>
      </c>
      <c r="B67" s="1" t="s">
        <v>41</v>
      </c>
      <c r="D67" s="2">
        <v>7050</v>
      </c>
      <c r="E67" s="2">
        <v>7050</v>
      </c>
      <c r="F67" s="2">
        <v>7125</v>
      </c>
      <c r="G67" s="2">
        <v>6750</v>
      </c>
      <c r="H67" s="2">
        <v>6900</v>
      </c>
      <c r="I67" s="2">
        <v>6750</v>
      </c>
      <c r="J67" s="2">
        <v>6900</v>
      </c>
      <c r="K67" s="2">
        <v>6900</v>
      </c>
      <c r="L67" s="2">
        <v>6975</v>
      </c>
      <c r="M67" s="2">
        <v>7050</v>
      </c>
      <c r="N67" s="2">
        <v>7200</v>
      </c>
      <c r="O67" s="2">
        <v>6975</v>
      </c>
      <c r="P67" s="34">
        <f t="shared" si="25"/>
        <v>83625</v>
      </c>
      <c r="Q67" s="2">
        <f>P67</f>
        <v>83625</v>
      </c>
      <c r="R67" s="28">
        <v>0</v>
      </c>
      <c r="S67" s="28"/>
    </row>
    <row r="68" spans="1:19" x14ac:dyDescent="0.2">
      <c r="A68" s="5">
        <v>57</v>
      </c>
      <c r="B68" s="1" t="s">
        <v>42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34">
        <f t="shared" si="25"/>
        <v>0</v>
      </c>
      <c r="Q68" s="2">
        <f>P68</f>
        <v>0</v>
      </c>
      <c r="R68" s="28">
        <v>0</v>
      </c>
      <c r="S68" s="28"/>
    </row>
    <row r="69" spans="1:19" x14ac:dyDescent="0.2">
      <c r="A69" s="5">
        <v>58</v>
      </c>
      <c r="B69" s="1" t="s">
        <v>43</v>
      </c>
      <c r="C69" s="31">
        <v>2.2951000000000001</v>
      </c>
      <c r="D69" s="2">
        <v>31740.676000000003</v>
      </c>
      <c r="E69" s="2">
        <v>31401.204000000005</v>
      </c>
      <c r="F69" s="2">
        <v>31572.666000000005</v>
      </c>
      <c r="G69" s="2">
        <v>31784.461999999996</v>
      </c>
      <c r="H69" s="2">
        <v>34534.737000000001</v>
      </c>
      <c r="I69" s="2">
        <v>36151.909999999996</v>
      </c>
      <c r="J69" s="2">
        <v>36243.234000000004</v>
      </c>
      <c r="K69" s="2">
        <v>35897.127</v>
      </c>
      <c r="L69" s="2">
        <v>35221.706000000006</v>
      </c>
      <c r="M69" s="2">
        <v>35440.599000000002</v>
      </c>
      <c r="N69" s="2">
        <v>34241.104999999996</v>
      </c>
      <c r="O69" s="2">
        <v>32255.929</v>
      </c>
      <c r="P69" s="2">
        <f t="shared" si="25"/>
        <v>406485.35499999998</v>
      </c>
      <c r="Q69" s="2">
        <f t="shared" ref="Q69:Q71" si="26">ROUND(P69*C69,0)</f>
        <v>932925</v>
      </c>
      <c r="R69" s="28">
        <v>-303563.72485350003</v>
      </c>
      <c r="S69" s="28"/>
    </row>
    <row r="70" spans="1:19" x14ac:dyDescent="0.2">
      <c r="A70" s="5">
        <v>59</v>
      </c>
      <c r="B70" s="1" t="s">
        <v>44</v>
      </c>
      <c r="C70" s="31">
        <v>1.5952999999999999</v>
      </c>
      <c r="D70" s="2">
        <v>412964.15166666661</v>
      </c>
      <c r="E70" s="2">
        <v>406840.55795238109</v>
      </c>
      <c r="F70" s="2">
        <v>413844.60529166675</v>
      </c>
      <c r="G70" s="2">
        <v>404806.89472023799</v>
      </c>
      <c r="H70" s="2">
        <v>471919.80472023779</v>
      </c>
      <c r="I70" s="2">
        <v>525332.28572023823</v>
      </c>
      <c r="J70" s="2">
        <v>567791.31272023835</v>
      </c>
      <c r="K70" s="2">
        <v>676762.24672023824</v>
      </c>
      <c r="L70" s="2">
        <v>551046.99572023796</v>
      </c>
      <c r="M70" s="2">
        <v>503579.26172023814</v>
      </c>
      <c r="N70" s="2">
        <v>440323.09891666664</v>
      </c>
      <c r="O70" s="2">
        <v>411568.39083333343</v>
      </c>
      <c r="P70" s="2">
        <f t="shared" si="25"/>
        <v>5786779.6067023808</v>
      </c>
      <c r="Q70" s="2">
        <f t="shared" si="26"/>
        <v>9231650</v>
      </c>
      <c r="R70" s="28">
        <v>-3003917.787266898</v>
      </c>
      <c r="S70" s="28"/>
    </row>
    <row r="71" spans="1:19" x14ac:dyDescent="0.2">
      <c r="A71" s="5">
        <v>60</v>
      </c>
      <c r="B71" s="1" t="s">
        <v>45</v>
      </c>
      <c r="C71" s="31">
        <v>1.3174999999999999</v>
      </c>
      <c r="D71" s="2">
        <v>111234.209</v>
      </c>
      <c r="E71" s="2">
        <v>107871.19000000002</v>
      </c>
      <c r="F71" s="2">
        <v>116960.83199999999</v>
      </c>
      <c r="G71" s="2">
        <v>108609.992</v>
      </c>
      <c r="H71" s="2">
        <v>143399.11800000002</v>
      </c>
      <c r="I71" s="2">
        <v>152185</v>
      </c>
      <c r="J71" s="2">
        <v>135721.93599999999</v>
      </c>
      <c r="K71" s="2">
        <v>214738.15400000001</v>
      </c>
      <c r="L71" s="2">
        <v>172590.22999999995</v>
      </c>
      <c r="M71" s="2">
        <v>174296.59700000001</v>
      </c>
      <c r="N71" s="2">
        <v>143735.25599999999</v>
      </c>
      <c r="O71" s="2">
        <v>135462.75199999998</v>
      </c>
      <c r="P71" s="2">
        <f t="shared" si="25"/>
        <v>1716805.2660000003</v>
      </c>
      <c r="Q71" s="2">
        <f t="shared" si="26"/>
        <v>2261891</v>
      </c>
      <c r="R71" s="28">
        <v>-735994.47957919957</v>
      </c>
      <c r="S71" s="28"/>
    </row>
    <row r="72" spans="1:19" x14ac:dyDescent="0.2">
      <c r="A72" s="5">
        <v>61</v>
      </c>
      <c r="B72" s="32" t="s">
        <v>29</v>
      </c>
      <c r="C72" s="32"/>
      <c r="D72" s="33">
        <f t="shared" ref="D72:O72" si="27">D69+D70+D71</f>
        <v>555939.03666666662</v>
      </c>
      <c r="E72" s="33">
        <f t="shared" si="27"/>
        <v>546112.95195238118</v>
      </c>
      <c r="F72" s="33">
        <f t="shared" si="27"/>
        <v>562378.10329166683</v>
      </c>
      <c r="G72" s="33">
        <f t="shared" si="27"/>
        <v>545201.34872023796</v>
      </c>
      <c r="H72" s="33">
        <f t="shared" si="27"/>
        <v>649853.65972023783</v>
      </c>
      <c r="I72" s="33">
        <f t="shared" si="27"/>
        <v>713669.19572023826</v>
      </c>
      <c r="J72" s="33">
        <f t="shared" si="27"/>
        <v>739756.48272023839</v>
      </c>
      <c r="K72" s="33">
        <f t="shared" si="27"/>
        <v>927397.5277202382</v>
      </c>
      <c r="L72" s="33">
        <f t="shared" si="27"/>
        <v>758858.93172023795</v>
      </c>
      <c r="M72" s="33">
        <f t="shared" si="27"/>
        <v>713316.45772023825</v>
      </c>
      <c r="N72" s="33">
        <f t="shared" si="27"/>
        <v>618299.45991666662</v>
      </c>
      <c r="O72" s="33">
        <f t="shared" si="27"/>
        <v>579287.07183333347</v>
      </c>
      <c r="P72" s="33">
        <f>SUM(C72:O72)</f>
        <v>7910070.2277023811</v>
      </c>
      <c r="Q72" s="33">
        <f>SUM(Q65:Q71)</f>
        <v>13550071</v>
      </c>
      <c r="S72" s="28"/>
    </row>
    <row r="73" spans="1:19" x14ac:dyDescent="0.2">
      <c r="A73" s="5">
        <v>62</v>
      </c>
      <c r="B73" s="1" t="s">
        <v>71</v>
      </c>
      <c r="D73" s="26">
        <f>D64/D65</f>
        <v>8215.0360682392802</v>
      </c>
      <c r="E73" s="26">
        <f t="shared" ref="E73:P73" si="28">E64/E65</f>
        <v>8088.4677913219612</v>
      </c>
      <c r="F73" s="26">
        <f t="shared" si="28"/>
        <v>8288.0322192649637</v>
      </c>
      <c r="G73" s="26">
        <f t="shared" si="28"/>
        <v>8136.7194955517161</v>
      </c>
      <c r="H73" s="26">
        <f t="shared" si="28"/>
        <v>9494.7704393383428</v>
      </c>
      <c r="I73" s="26">
        <f t="shared" si="28"/>
        <v>10349.897777880335</v>
      </c>
      <c r="J73" s="26">
        <f t="shared" si="28"/>
        <v>10745.346585911473</v>
      </c>
      <c r="K73" s="26">
        <f t="shared" si="28"/>
        <v>13107.169610915405</v>
      </c>
      <c r="L73" s="26">
        <f t="shared" si="28"/>
        <v>10826.311726093756</v>
      </c>
      <c r="M73" s="26">
        <f t="shared" si="28"/>
        <v>10210.324185863534</v>
      </c>
      <c r="N73" s="26">
        <f t="shared" si="28"/>
        <v>8995.4128660216811</v>
      </c>
      <c r="O73" s="26">
        <f t="shared" si="28"/>
        <v>8475.7289957465819</v>
      </c>
      <c r="P73" s="26">
        <f t="shared" si="28"/>
        <v>9574.9804194293374</v>
      </c>
      <c r="S73" s="28"/>
    </row>
    <row r="74" spans="1:19" x14ac:dyDescent="0.2">
      <c r="A74" s="5">
        <v>63</v>
      </c>
      <c r="B74" s="21" t="s">
        <v>46</v>
      </c>
      <c r="D74" s="37">
        <f>D75*$C$75+D76*$C$76+D77*$C$77</f>
        <v>0</v>
      </c>
      <c r="E74" s="37">
        <f t="shared" ref="E74:O74" si="29">E75*$C$75+E76*$C$76+E77*$C$77</f>
        <v>0</v>
      </c>
      <c r="F74" s="37">
        <f t="shared" si="29"/>
        <v>0</v>
      </c>
      <c r="G74" s="37">
        <f t="shared" si="29"/>
        <v>0</v>
      </c>
      <c r="H74" s="37">
        <f t="shared" si="29"/>
        <v>0</v>
      </c>
      <c r="I74" s="37">
        <f t="shared" si="29"/>
        <v>0</v>
      </c>
      <c r="J74" s="37">
        <f t="shared" si="29"/>
        <v>0</v>
      </c>
      <c r="K74" s="37">
        <f t="shared" si="29"/>
        <v>0</v>
      </c>
      <c r="L74" s="37">
        <f t="shared" si="29"/>
        <v>0</v>
      </c>
      <c r="M74" s="37">
        <f t="shared" si="29"/>
        <v>0</v>
      </c>
      <c r="N74" s="37">
        <f t="shared" si="29"/>
        <v>0</v>
      </c>
      <c r="O74" s="37">
        <f t="shared" si="29"/>
        <v>0</v>
      </c>
      <c r="P74" s="37">
        <f>SUM(D74:O74)</f>
        <v>0</v>
      </c>
      <c r="S74" s="28"/>
    </row>
    <row r="75" spans="1:19" x14ac:dyDescent="0.2">
      <c r="A75" s="5">
        <v>64</v>
      </c>
      <c r="B75" s="1" t="s">
        <v>43</v>
      </c>
      <c r="C75" s="38">
        <v>1.7213250000000002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f t="shared" ref="P75:P77" si="30">SUM(D75:O75)</f>
        <v>0</v>
      </c>
      <c r="Q75" s="2">
        <f t="shared" ref="Q75:Q77" si="31">P75*C75</f>
        <v>0</v>
      </c>
      <c r="S75" s="28"/>
    </row>
    <row r="76" spans="1:19" x14ac:dyDescent="0.2">
      <c r="A76" s="5">
        <v>65</v>
      </c>
      <c r="B76" s="1" t="s">
        <v>44</v>
      </c>
      <c r="C76" s="38">
        <v>1.196475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f t="shared" si="30"/>
        <v>0</v>
      </c>
      <c r="Q76" s="2">
        <f t="shared" si="31"/>
        <v>0</v>
      </c>
      <c r="R76" s="28">
        <v>0</v>
      </c>
      <c r="S76" s="28"/>
    </row>
    <row r="77" spans="1:19" x14ac:dyDescent="0.2">
      <c r="A77" s="5">
        <v>66</v>
      </c>
      <c r="B77" s="1" t="s">
        <v>47</v>
      </c>
      <c r="C77" s="38">
        <v>0.98812499999999992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f t="shared" si="30"/>
        <v>0</v>
      </c>
      <c r="Q77" s="2">
        <f t="shared" si="31"/>
        <v>0</v>
      </c>
      <c r="R77" s="28">
        <v>0</v>
      </c>
      <c r="S77" s="28"/>
    </row>
    <row r="78" spans="1:19" x14ac:dyDescent="0.2">
      <c r="A78" s="5">
        <v>67</v>
      </c>
      <c r="B78" s="32" t="s">
        <v>29</v>
      </c>
      <c r="C78" s="33"/>
      <c r="D78" s="33">
        <f t="shared" ref="D78:Q78" si="32">D75+D76+D77</f>
        <v>0</v>
      </c>
      <c r="E78" s="33">
        <f t="shared" si="32"/>
        <v>0</v>
      </c>
      <c r="F78" s="33">
        <f t="shared" si="32"/>
        <v>0</v>
      </c>
      <c r="G78" s="33">
        <f t="shared" si="32"/>
        <v>0</v>
      </c>
      <c r="H78" s="33">
        <f t="shared" si="32"/>
        <v>0</v>
      </c>
      <c r="I78" s="33">
        <f t="shared" si="32"/>
        <v>0</v>
      </c>
      <c r="J78" s="33">
        <f t="shared" si="32"/>
        <v>0</v>
      </c>
      <c r="K78" s="33">
        <f t="shared" si="32"/>
        <v>0</v>
      </c>
      <c r="L78" s="33">
        <f t="shared" si="32"/>
        <v>0</v>
      </c>
      <c r="M78" s="33">
        <f t="shared" si="32"/>
        <v>0</v>
      </c>
      <c r="N78" s="33">
        <f t="shared" si="32"/>
        <v>0</v>
      </c>
      <c r="O78" s="33">
        <f t="shared" si="32"/>
        <v>0</v>
      </c>
      <c r="P78" s="33">
        <f t="shared" si="32"/>
        <v>0</v>
      </c>
      <c r="Q78" s="33">
        <f t="shared" si="32"/>
        <v>0</v>
      </c>
      <c r="S78" s="28"/>
    </row>
    <row r="79" spans="1:19" x14ac:dyDescent="0.2">
      <c r="A79" s="5">
        <v>68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S79" s="28"/>
    </row>
    <row r="80" spans="1:19" x14ac:dyDescent="0.2">
      <c r="A80" s="5">
        <v>69</v>
      </c>
      <c r="B80" s="21" t="s">
        <v>48</v>
      </c>
      <c r="D80" s="22">
        <f t="shared" ref="D80:O80" si="33">D81*$C$81+D85*$C$85+D86*$C$86+D82+D83+D84</f>
        <v>885939.08826040011</v>
      </c>
      <c r="E80" s="22">
        <f t="shared" si="33"/>
        <v>837473.3118643997</v>
      </c>
      <c r="F80" s="22">
        <f t="shared" si="33"/>
        <v>744529.8897251999</v>
      </c>
      <c r="G80" s="22">
        <f t="shared" si="33"/>
        <v>836996.73588079994</v>
      </c>
      <c r="H80" s="22">
        <f t="shared" si="33"/>
        <v>964344.1765711999</v>
      </c>
      <c r="I80" s="22">
        <f t="shared" si="33"/>
        <v>989195.23001760012</v>
      </c>
      <c r="J80" s="22">
        <f t="shared" si="33"/>
        <v>993460.2411632</v>
      </c>
      <c r="K80" s="22">
        <f t="shared" si="33"/>
        <v>1064841.6242827999</v>
      </c>
      <c r="L80" s="22">
        <f t="shared" si="33"/>
        <v>963083.85738280008</v>
      </c>
      <c r="M80" s="22">
        <f t="shared" si="33"/>
        <v>961607.51160199987</v>
      </c>
      <c r="N80" s="22">
        <f t="shared" si="33"/>
        <v>903436.91522559989</v>
      </c>
      <c r="O80" s="22">
        <f t="shared" si="33"/>
        <v>894807.89083439973</v>
      </c>
      <c r="P80" s="34">
        <f t="shared" ref="P80:P86" si="34">SUM(C80:O80)</f>
        <v>11039716.472810401</v>
      </c>
      <c r="Q80" s="23"/>
      <c r="S80" s="28"/>
    </row>
    <row r="81" spans="1:19" x14ac:dyDescent="0.2">
      <c r="A81" s="5">
        <v>70</v>
      </c>
      <c r="B81" s="1" t="s">
        <v>39</v>
      </c>
      <c r="C81" s="36">
        <v>685</v>
      </c>
      <c r="D81" s="2">
        <v>71</v>
      </c>
      <c r="E81" s="2">
        <v>71</v>
      </c>
      <c r="F81" s="2">
        <v>71</v>
      </c>
      <c r="G81" s="2">
        <v>71</v>
      </c>
      <c r="H81" s="2">
        <v>71</v>
      </c>
      <c r="I81" s="2">
        <v>71</v>
      </c>
      <c r="J81" s="2">
        <v>71</v>
      </c>
      <c r="K81" s="2">
        <v>71</v>
      </c>
      <c r="L81" s="2">
        <v>71</v>
      </c>
      <c r="M81" s="2">
        <v>71</v>
      </c>
      <c r="N81" s="2">
        <v>71</v>
      </c>
      <c r="O81" s="2">
        <v>71</v>
      </c>
      <c r="P81" s="2">
        <f>SUM(D81:O81)</f>
        <v>852</v>
      </c>
      <c r="Q81" s="2">
        <f>ROUND(P81*C81,0)</f>
        <v>583620</v>
      </c>
      <c r="S81" s="28"/>
    </row>
    <row r="82" spans="1:19" x14ac:dyDescent="0.2">
      <c r="A82" s="5">
        <v>71</v>
      </c>
      <c r="B82" s="1" t="s">
        <v>40</v>
      </c>
      <c r="D82" s="2">
        <v>3500</v>
      </c>
      <c r="E82" s="2">
        <v>3500</v>
      </c>
      <c r="F82" s="2">
        <v>3500</v>
      </c>
      <c r="G82" s="2">
        <v>3500</v>
      </c>
      <c r="H82" s="2">
        <v>3500</v>
      </c>
      <c r="I82" s="2">
        <v>3500</v>
      </c>
      <c r="J82" s="2">
        <v>3500</v>
      </c>
      <c r="K82" s="2">
        <v>3500</v>
      </c>
      <c r="L82" s="2">
        <v>3500</v>
      </c>
      <c r="M82" s="2">
        <v>3500</v>
      </c>
      <c r="N82" s="2">
        <v>3500</v>
      </c>
      <c r="O82" s="2">
        <v>3500</v>
      </c>
      <c r="P82" s="34">
        <f t="shared" si="34"/>
        <v>42000</v>
      </c>
      <c r="Q82" s="2">
        <f>P82</f>
        <v>42000</v>
      </c>
      <c r="S82" s="28"/>
    </row>
    <row r="83" spans="1:19" x14ac:dyDescent="0.2">
      <c r="A83" s="5">
        <v>72</v>
      </c>
      <c r="B83" s="1" t="s">
        <v>41</v>
      </c>
      <c r="D83" s="2">
        <v>3975</v>
      </c>
      <c r="E83" s="2">
        <v>3975</v>
      </c>
      <c r="F83" s="2">
        <v>3975</v>
      </c>
      <c r="G83" s="2">
        <v>3975</v>
      </c>
      <c r="H83" s="2">
        <v>3975</v>
      </c>
      <c r="I83" s="2">
        <v>3975</v>
      </c>
      <c r="J83" s="2">
        <v>3975</v>
      </c>
      <c r="K83" s="2">
        <v>3975</v>
      </c>
      <c r="L83" s="2">
        <v>3975</v>
      </c>
      <c r="M83" s="2">
        <v>3975</v>
      </c>
      <c r="N83" s="2">
        <v>3975</v>
      </c>
      <c r="O83" s="2">
        <v>3975</v>
      </c>
      <c r="P83" s="34">
        <f t="shared" si="34"/>
        <v>47700</v>
      </c>
      <c r="Q83" s="2">
        <f>P83</f>
        <v>47700</v>
      </c>
      <c r="S83" s="28"/>
    </row>
    <row r="84" spans="1:19" x14ac:dyDescent="0.2">
      <c r="A84" s="5">
        <v>73</v>
      </c>
      <c r="B84" s="1" t="s">
        <v>42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34">
        <f t="shared" si="34"/>
        <v>0</v>
      </c>
      <c r="Q84" s="2">
        <f>P84</f>
        <v>0</v>
      </c>
      <c r="S84" s="28"/>
    </row>
    <row r="85" spans="1:19" x14ac:dyDescent="0.2">
      <c r="A85" s="5">
        <v>74</v>
      </c>
      <c r="B85" s="1" t="s">
        <v>49</v>
      </c>
      <c r="C85" s="39">
        <v>1.2955999999999999</v>
      </c>
      <c r="D85" s="2">
        <v>417295.32500000007</v>
      </c>
      <c r="E85" s="2">
        <v>401974.18699999986</v>
      </c>
      <c r="F85" s="2">
        <v>388998.01500000001</v>
      </c>
      <c r="G85" s="2">
        <v>399640.08999999991</v>
      </c>
      <c r="H85" s="2">
        <v>444351.85199999996</v>
      </c>
      <c r="I85" s="2">
        <v>465474.78000000009</v>
      </c>
      <c r="J85" s="2">
        <v>465884.10000000003</v>
      </c>
      <c r="K85" s="2">
        <v>488045.31699999992</v>
      </c>
      <c r="L85" s="2">
        <v>447164.79100000003</v>
      </c>
      <c r="M85" s="2">
        <v>436683.45099999994</v>
      </c>
      <c r="N85" s="2">
        <v>426391.45600000001</v>
      </c>
      <c r="O85" s="2">
        <v>425511.52199999994</v>
      </c>
      <c r="P85" s="2">
        <f t="shared" si="34"/>
        <v>5207416.1816000007</v>
      </c>
      <c r="Q85" s="2">
        <f t="shared" ref="Q85:Q86" si="35">ROUND(P85*C85,0)</f>
        <v>6746728</v>
      </c>
      <c r="R85" s="28">
        <v>-1770000.6800873093</v>
      </c>
      <c r="S85" s="28"/>
    </row>
    <row r="86" spans="1:19" x14ac:dyDescent="0.2">
      <c r="A86" s="5">
        <v>75</v>
      </c>
      <c r="B86" s="1" t="s">
        <v>50</v>
      </c>
      <c r="C86" s="39">
        <v>1.0624</v>
      </c>
      <c r="D86" s="2">
        <v>272196.22100000002</v>
      </c>
      <c r="E86" s="2">
        <v>245261.25299999994</v>
      </c>
      <c r="F86" s="2">
        <v>173601.33800000002</v>
      </c>
      <c r="G86" s="2">
        <v>247659.10700000005</v>
      </c>
      <c r="H86" s="2">
        <v>313000.67499999999</v>
      </c>
      <c r="I86" s="2">
        <v>310632.62900000002</v>
      </c>
      <c r="J86" s="2">
        <v>314147.96799999994</v>
      </c>
      <c r="K86" s="2">
        <v>354311.09900000005</v>
      </c>
      <c r="L86" s="2">
        <v>308383.99300000007</v>
      </c>
      <c r="M86" s="2">
        <v>319776.386</v>
      </c>
      <c r="N86" s="2">
        <v>277573.55499999993</v>
      </c>
      <c r="O86" s="2">
        <v>270524.43799999997</v>
      </c>
      <c r="P86" s="2">
        <f t="shared" si="34"/>
        <v>3407069.7243999997</v>
      </c>
      <c r="Q86" s="2">
        <f t="shared" si="35"/>
        <v>3619671</v>
      </c>
      <c r="R86" s="28">
        <v>-949550.67540491</v>
      </c>
      <c r="S86" s="28"/>
    </row>
    <row r="87" spans="1:19" x14ac:dyDescent="0.2">
      <c r="A87" s="5">
        <v>76</v>
      </c>
      <c r="B87" s="32" t="s">
        <v>29</v>
      </c>
      <c r="C87" s="32"/>
      <c r="D87" s="33">
        <f t="shared" ref="D87:P87" si="36">D85+D86</f>
        <v>689491.54600000009</v>
      </c>
      <c r="E87" s="33">
        <f t="shared" si="36"/>
        <v>647235.43999999983</v>
      </c>
      <c r="F87" s="33">
        <f t="shared" si="36"/>
        <v>562599.353</v>
      </c>
      <c r="G87" s="33">
        <f t="shared" si="36"/>
        <v>647299.19699999993</v>
      </c>
      <c r="H87" s="33">
        <f t="shared" si="36"/>
        <v>757352.527</v>
      </c>
      <c r="I87" s="33">
        <f t="shared" si="36"/>
        <v>776107.4090000001</v>
      </c>
      <c r="J87" s="33">
        <f t="shared" si="36"/>
        <v>780032.06799999997</v>
      </c>
      <c r="K87" s="33">
        <f t="shared" si="36"/>
        <v>842356.41599999997</v>
      </c>
      <c r="L87" s="33">
        <f t="shared" si="36"/>
        <v>755548.7840000001</v>
      </c>
      <c r="M87" s="33">
        <f t="shared" si="36"/>
        <v>756459.83699999994</v>
      </c>
      <c r="N87" s="33">
        <f t="shared" si="36"/>
        <v>703965.01099999994</v>
      </c>
      <c r="O87" s="33">
        <f t="shared" si="36"/>
        <v>696035.96</v>
      </c>
      <c r="P87" s="33">
        <f t="shared" si="36"/>
        <v>8614485.9059999995</v>
      </c>
      <c r="Q87" s="33">
        <f>SUM(Q81:Q86)</f>
        <v>11039719</v>
      </c>
      <c r="S87" s="28"/>
    </row>
    <row r="88" spans="1:19" x14ac:dyDescent="0.2">
      <c r="A88" s="5">
        <v>77</v>
      </c>
      <c r="B88" s="1" t="s">
        <v>71</v>
      </c>
      <c r="D88" s="26">
        <f>D80/D81</f>
        <v>12478.015327611269</v>
      </c>
      <c r="E88" s="26">
        <f t="shared" ref="E88:P88" si="37">E80/E81</f>
        <v>11795.398758653517</v>
      </c>
      <c r="F88" s="26">
        <f t="shared" si="37"/>
        <v>10486.336475002816</v>
      </c>
      <c r="G88" s="26">
        <f t="shared" si="37"/>
        <v>11788.686420856337</v>
      </c>
      <c r="H88" s="26">
        <f t="shared" si="37"/>
        <v>13582.312346073239</v>
      </c>
      <c r="I88" s="26">
        <f t="shared" si="37"/>
        <v>13932.327183346481</v>
      </c>
      <c r="J88" s="26">
        <f t="shared" si="37"/>
        <v>13992.397762861972</v>
      </c>
      <c r="K88" s="26">
        <f t="shared" si="37"/>
        <v>14997.769356095772</v>
      </c>
      <c r="L88" s="26">
        <f t="shared" si="37"/>
        <v>13564.561371588734</v>
      </c>
      <c r="M88" s="26">
        <f t="shared" si="37"/>
        <v>13543.767769042252</v>
      </c>
      <c r="N88" s="26">
        <f t="shared" si="37"/>
        <v>12724.46359472676</v>
      </c>
      <c r="O88" s="26">
        <f t="shared" si="37"/>
        <v>12602.928039921124</v>
      </c>
      <c r="P88" s="26">
        <f t="shared" si="37"/>
        <v>12957.413700481691</v>
      </c>
      <c r="S88" s="28"/>
    </row>
    <row r="89" spans="1:19" x14ac:dyDescent="0.2">
      <c r="A89" s="5">
        <v>78</v>
      </c>
      <c r="B89" s="21" t="s">
        <v>51</v>
      </c>
      <c r="D89" s="22">
        <f t="shared" ref="D89:O89" si="38">D90*$C$90+D91+D92+D93+D95</f>
        <v>294856.53250000003</v>
      </c>
      <c r="E89" s="22">
        <f t="shared" si="38"/>
        <v>274115.96250000002</v>
      </c>
      <c r="F89" s="22">
        <f t="shared" si="38"/>
        <v>255651.05249999999</v>
      </c>
      <c r="G89" s="22">
        <f t="shared" si="38"/>
        <v>224506.49249999999</v>
      </c>
      <c r="H89" s="22">
        <f t="shared" si="38"/>
        <v>270434.41250000003</v>
      </c>
      <c r="I89" s="22">
        <f t="shared" si="38"/>
        <v>240831.22249999997</v>
      </c>
      <c r="J89" s="22">
        <f t="shared" si="38"/>
        <v>215894.06249999997</v>
      </c>
      <c r="K89" s="22">
        <f t="shared" si="38"/>
        <v>256668.56250000003</v>
      </c>
      <c r="L89" s="22">
        <f t="shared" si="38"/>
        <v>240852.4425</v>
      </c>
      <c r="M89" s="22">
        <f t="shared" si="38"/>
        <v>258975.85250000001</v>
      </c>
      <c r="N89" s="22">
        <f t="shared" si="38"/>
        <v>304933.69250000006</v>
      </c>
      <c r="O89" s="22">
        <f t="shared" si="38"/>
        <v>280519.34250000003</v>
      </c>
      <c r="P89" s="34">
        <f t="shared" ref="P89:P95" si="39">SUM(C89:O89)</f>
        <v>3118239.63</v>
      </c>
      <c r="Q89" s="23"/>
      <c r="S89" s="28"/>
    </row>
    <row r="90" spans="1:19" x14ac:dyDescent="0.2">
      <c r="A90" s="5">
        <v>79</v>
      </c>
      <c r="B90" s="1" t="s">
        <v>39</v>
      </c>
      <c r="C90" s="36">
        <v>520</v>
      </c>
      <c r="D90" s="2">
        <v>13.346153846153847</v>
      </c>
      <c r="E90" s="2">
        <v>13.346153846153847</v>
      </c>
      <c r="F90" s="2">
        <v>13.346153846153847</v>
      </c>
      <c r="G90" s="2">
        <v>12.346153846153847</v>
      </c>
      <c r="H90" s="2">
        <v>12.346153846153847</v>
      </c>
      <c r="I90" s="2">
        <v>12.346153846153847</v>
      </c>
      <c r="J90" s="2">
        <v>12.346153846153847</v>
      </c>
      <c r="K90" s="2">
        <v>12.346153846153847</v>
      </c>
      <c r="L90" s="2">
        <v>12.346153846153847</v>
      </c>
      <c r="M90" s="2">
        <v>13.346153846153847</v>
      </c>
      <c r="N90" s="2">
        <v>13.346153846153847</v>
      </c>
      <c r="O90" s="2">
        <v>13.346153846153847</v>
      </c>
      <c r="P90" s="2">
        <f>SUM(D90:O90)</f>
        <v>154.1538461538461</v>
      </c>
      <c r="Q90" s="2">
        <f>ROUND(P90*C90,0)</f>
        <v>80160</v>
      </c>
      <c r="S90" s="28"/>
    </row>
    <row r="91" spans="1:19" x14ac:dyDescent="0.2">
      <c r="A91" s="5">
        <v>80</v>
      </c>
      <c r="B91" s="1" t="s">
        <v>40</v>
      </c>
      <c r="D91" s="2">
        <v>650</v>
      </c>
      <c r="E91" s="2">
        <v>650</v>
      </c>
      <c r="F91" s="2">
        <v>650</v>
      </c>
      <c r="G91" s="2">
        <v>600</v>
      </c>
      <c r="H91" s="2">
        <v>600</v>
      </c>
      <c r="I91" s="2">
        <v>600</v>
      </c>
      <c r="J91" s="2">
        <v>600</v>
      </c>
      <c r="K91" s="2">
        <v>600</v>
      </c>
      <c r="L91" s="2">
        <v>600</v>
      </c>
      <c r="M91" s="2">
        <v>650</v>
      </c>
      <c r="N91" s="2">
        <v>650</v>
      </c>
      <c r="O91" s="2">
        <v>650</v>
      </c>
      <c r="P91" s="34">
        <f t="shared" si="39"/>
        <v>7500</v>
      </c>
      <c r="Q91" s="2">
        <f>P91</f>
        <v>7500</v>
      </c>
      <c r="S91" s="28"/>
    </row>
    <row r="92" spans="1:19" x14ac:dyDescent="0.2">
      <c r="A92" s="5">
        <v>81</v>
      </c>
      <c r="B92" s="1" t="s">
        <v>41</v>
      </c>
      <c r="D92" s="2">
        <v>750</v>
      </c>
      <c r="E92" s="2">
        <v>750</v>
      </c>
      <c r="F92" s="2">
        <v>750</v>
      </c>
      <c r="G92" s="2">
        <v>675</v>
      </c>
      <c r="H92" s="2">
        <v>675</v>
      </c>
      <c r="I92" s="2">
        <v>675</v>
      </c>
      <c r="J92" s="2">
        <v>675</v>
      </c>
      <c r="K92" s="2">
        <v>675</v>
      </c>
      <c r="L92" s="2">
        <v>675</v>
      </c>
      <c r="M92" s="2">
        <v>750</v>
      </c>
      <c r="N92" s="2">
        <v>750</v>
      </c>
      <c r="O92" s="2">
        <v>750</v>
      </c>
      <c r="P92" s="34">
        <f t="shared" si="39"/>
        <v>8550</v>
      </c>
      <c r="Q92" s="2">
        <f>P92</f>
        <v>8550</v>
      </c>
      <c r="S92" s="28"/>
    </row>
    <row r="93" spans="1:19" x14ac:dyDescent="0.2">
      <c r="A93" s="5">
        <v>82</v>
      </c>
      <c r="B93" s="1" t="s">
        <v>42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34">
        <f t="shared" si="39"/>
        <v>0</v>
      </c>
      <c r="Q93" s="2">
        <f>P93</f>
        <v>0</v>
      </c>
      <c r="S93" s="28"/>
    </row>
    <row r="94" spans="1:19" x14ac:dyDescent="0.2">
      <c r="A94" s="5">
        <v>83</v>
      </c>
      <c r="B94" s="1" t="s">
        <v>52</v>
      </c>
      <c r="C94" s="40" t="s">
        <v>53</v>
      </c>
      <c r="D94" s="2">
        <v>1174024.8120000002</v>
      </c>
      <c r="E94" s="2">
        <v>1325397.4870000002</v>
      </c>
      <c r="F94" s="2">
        <v>1227574.175</v>
      </c>
      <c r="G94" s="2">
        <v>1095711.6499999999</v>
      </c>
      <c r="H94" s="2">
        <v>1171325.5090000001</v>
      </c>
      <c r="I94" s="2">
        <v>1223327.2750000001</v>
      </c>
      <c r="J94" s="2">
        <v>1296950.4989999998</v>
      </c>
      <c r="K94" s="2">
        <v>1535323.86</v>
      </c>
      <c r="L94" s="2">
        <v>1391759.6110000003</v>
      </c>
      <c r="M94" s="2">
        <v>1467400.6270000001</v>
      </c>
      <c r="N94" s="2">
        <v>1320463.8700000003</v>
      </c>
      <c r="O94" s="2">
        <v>1275922.6930000002</v>
      </c>
      <c r="P94" s="2">
        <f t="shared" si="39"/>
        <v>15505182.068</v>
      </c>
      <c r="Q94" s="2"/>
      <c r="S94" s="28"/>
    </row>
    <row r="95" spans="1:19" x14ac:dyDescent="0.2">
      <c r="A95" s="5">
        <v>84</v>
      </c>
      <c r="B95" s="1" t="s">
        <v>54</v>
      </c>
      <c r="C95" s="40"/>
      <c r="D95" s="2">
        <v>286516.53250000003</v>
      </c>
      <c r="E95" s="2">
        <v>265775.96250000002</v>
      </c>
      <c r="F95" s="2">
        <v>247311.05249999999</v>
      </c>
      <c r="G95" s="2">
        <v>216811.49249999999</v>
      </c>
      <c r="H95" s="2">
        <v>262739.41250000003</v>
      </c>
      <c r="I95" s="2">
        <v>233136.22249999997</v>
      </c>
      <c r="J95" s="2">
        <v>208199.06249999997</v>
      </c>
      <c r="K95" s="2">
        <v>248973.56250000003</v>
      </c>
      <c r="L95" s="2">
        <v>233157.4425</v>
      </c>
      <c r="M95" s="2">
        <v>250635.85250000001</v>
      </c>
      <c r="N95" s="2">
        <v>296593.69250000006</v>
      </c>
      <c r="O95" s="2">
        <v>272179.34250000003</v>
      </c>
      <c r="P95" s="34">
        <f t="shared" si="39"/>
        <v>3022029.63</v>
      </c>
      <c r="Q95" s="2">
        <f>P95</f>
        <v>3022029.63</v>
      </c>
      <c r="S95" s="28"/>
    </row>
    <row r="96" spans="1:19" x14ac:dyDescent="0.2">
      <c r="A96" s="5">
        <v>85</v>
      </c>
      <c r="B96" s="32" t="s">
        <v>29</v>
      </c>
      <c r="C96" s="32"/>
      <c r="D96" s="33">
        <f t="shared" ref="D96:P96" si="40">D94</f>
        <v>1174024.8120000002</v>
      </c>
      <c r="E96" s="33">
        <f t="shared" si="40"/>
        <v>1325397.4870000002</v>
      </c>
      <c r="F96" s="33">
        <f t="shared" si="40"/>
        <v>1227574.175</v>
      </c>
      <c r="G96" s="33">
        <f t="shared" si="40"/>
        <v>1095711.6499999999</v>
      </c>
      <c r="H96" s="33">
        <f t="shared" si="40"/>
        <v>1171325.5090000001</v>
      </c>
      <c r="I96" s="33">
        <f t="shared" si="40"/>
        <v>1223327.2750000001</v>
      </c>
      <c r="J96" s="33">
        <f t="shared" si="40"/>
        <v>1296950.4989999998</v>
      </c>
      <c r="K96" s="33">
        <f t="shared" si="40"/>
        <v>1535323.86</v>
      </c>
      <c r="L96" s="33">
        <f t="shared" si="40"/>
        <v>1391759.6110000003</v>
      </c>
      <c r="M96" s="33">
        <f t="shared" si="40"/>
        <v>1467400.6270000001</v>
      </c>
      <c r="N96" s="33">
        <f t="shared" si="40"/>
        <v>1320463.8700000003</v>
      </c>
      <c r="O96" s="33">
        <f t="shared" si="40"/>
        <v>1275922.6930000002</v>
      </c>
      <c r="P96" s="33">
        <f t="shared" si="40"/>
        <v>15505182.068</v>
      </c>
      <c r="Q96" s="33">
        <f>SUM(Q90:Q95)</f>
        <v>3118239.63</v>
      </c>
      <c r="S96" s="28"/>
    </row>
    <row r="97" spans="1:19" x14ac:dyDescent="0.2">
      <c r="A97" s="5">
        <v>86</v>
      </c>
      <c r="B97" s="1" t="s">
        <v>71</v>
      </c>
      <c r="D97" s="26">
        <f>D89/D90</f>
        <v>22092.99667146974</v>
      </c>
      <c r="E97" s="26">
        <f t="shared" ref="E97:P97" si="41">E89/E90</f>
        <v>20538.948198847262</v>
      </c>
      <c r="F97" s="26">
        <f t="shared" si="41"/>
        <v>19155.410273775215</v>
      </c>
      <c r="G97" s="26">
        <f t="shared" si="41"/>
        <v>18184.326495327103</v>
      </c>
      <c r="H97" s="26">
        <f t="shared" si="41"/>
        <v>21904.344937694706</v>
      </c>
      <c r="I97" s="26">
        <f t="shared" si="41"/>
        <v>19506.578769470401</v>
      </c>
      <c r="J97" s="26">
        <f t="shared" si="41"/>
        <v>17486.746495327101</v>
      </c>
      <c r="K97" s="26">
        <f t="shared" si="41"/>
        <v>20789.353971962617</v>
      </c>
      <c r="L97" s="26">
        <f t="shared" si="41"/>
        <v>19508.297523364487</v>
      </c>
      <c r="M97" s="26">
        <f t="shared" si="41"/>
        <v>19404.530734870317</v>
      </c>
      <c r="N97" s="26">
        <f t="shared" si="41"/>
        <v>22848.057651296833</v>
      </c>
      <c r="O97" s="26">
        <f t="shared" si="41"/>
        <v>21018.740360230549</v>
      </c>
      <c r="P97" s="26">
        <f t="shared" si="41"/>
        <v>20228.101392215576</v>
      </c>
      <c r="S97" s="28"/>
    </row>
    <row r="98" spans="1:19" x14ac:dyDescent="0.2">
      <c r="A98" s="5">
        <v>87</v>
      </c>
      <c r="B98" s="1" t="s">
        <v>55</v>
      </c>
      <c r="D98" s="34"/>
      <c r="S98" s="28"/>
    </row>
    <row r="99" spans="1:19" x14ac:dyDescent="0.2">
      <c r="A99" s="5">
        <v>88</v>
      </c>
      <c r="B99" s="1" t="s">
        <v>56</v>
      </c>
      <c r="D99" s="34">
        <v>3438</v>
      </c>
      <c r="E99" s="34">
        <v>3844</v>
      </c>
      <c r="F99" s="34">
        <v>3004</v>
      </c>
      <c r="G99" s="34">
        <v>3387</v>
      </c>
      <c r="H99" s="34">
        <v>3698</v>
      </c>
      <c r="I99" s="34">
        <v>4212</v>
      </c>
      <c r="J99" s="34">
        <v>9928</v>
      </c>
      <c r="K99" s="34">
        <v>8550</v>
      </c>
      <c r="L99" s="34">
        <v>4906</v>
      </c>
      <c r="M99" s="34">
        <v>5587</v>
      </c>
      <c r="N99" s="34">
        <v>4026</v>
      </c>
      <c r="O99" s="34">
        <v>4332</v>
      </c>
      <c r="P99" s="34">
        <f>SUM(D99:O99)</f>
        <v>58912</v>
      </c>
      <c r="Q99" s="34"/>
      <c r="S99" s="28"/>
    </row>
    <row r="100" spans="1:19" x14ac:dyDescent="0.2">
      <c r="A100" s="5">
        <v>89</v>
      </c>
      <c r="B100" s="1" t="s">
        <v>57</v>
      </c>
      <c r="D100" s="34">
        <v>55083.611568365552</v>
      </c>
      <c r="E100" s="34">
        <v>41250.526553897689</v>
      </c>
      <c r="F100" s="34">
        <v>30537.248218539877</v>
      </c>
      <c r="G100" s="34">
        <v>24483.669406425564</v>
      </c>
      <c r="H100" s="34">
        <v>23615.277627190524</v>
      </c>
      <c r="I100" s="34">
        <v>23934.25633101727</v>
      </c>
      <c r="J100" s="34">
        <v>24929.651392454798</v>
      </c>
      <c r="K100" s="34">
        <v>32774.759531089905</v>
      </c>
      <c r="L100" s="34">
        <v>51818.04371570611</v>
      </c>
      <c r="M100" s="34">
        <v>68896.290743224701</v>
      </c>
      <c r="N100" s="34">
        <v>77833.202255412849</v>
      </c>
      <c r="O100" s="34">
        <v>73701.644072748939</v>
      </c>
      <c r="P100" s="34">
        <f>SUM(D100:O100)</f>
        <v>528858.1814160737</v>
      </c>
      <c r="Q100" s="34"/>
      <c r="S100" s="28"/>
    </row>
    <row r="101" spans="1:19" x14ac:dyDescent="0.2">
      <c r="A101" s="5">
        <v>90</v>
      </c>
      <c r="S101" s="28"/>
    </row>
    <row r="102" spans="1:19" x14ac:dyDescent="0.2">
      <c r="A102" s="5">
        <v>91</v>
      </c>
      <c r="B102" s="41" t="s">
        <v>58</v>
      </c>
      <c r="D102" s="34">
        <f>D108+D99+D100</f>
        <v>11250905.430227738</v>
      </c>
      <c r="E102" s="34">
        <f t="shared" ref="E102:O102" si="42">E108+E99+E100</f>
        <v>9532311.6568989772</v>
      </c>
      <c r="F102" s="34">
        <f t="shared" si="42"/>
        <v>8429266.6671711281</v>
      </c>
      <c r="G102" s="34">
        <f t="shared" si="42"/>
        <v>8270027.9068483263</v>
      </c>
      <c r="H102" s="34">
        <f t="shared" si="42"/>
        <v>8606292.9026021715</v>
      </c>
      <c r="I102" s="34">
        <f t="shared" si="42"/>
        <v>8661821.4629543927</v>
      </c>
      <c r="J102" s="34">
        <f t="shared" si="42"/>
        <v>9226709.4956606273</v>
      </c>
      <c r="K102" s="34">
        <f t="shared" si="42"/>
        <v>11877619.755568633</v>
      </c>
      <c r="L102" s="34">
        <f t="shared" si="42"/>
        <v>13808052.662719809</v>
      </c>
      <c r="M102" s="34">
        <f t="shared" si="42"/>
        <v>15011114.100402439</v>
      </c>
      <c r="N102" s="34">
        <f t="shared" si="42"/>
        <v>15394326.041930806</v>
      </c>
      <c r="O102" s="34">
        <f t="shared" si="42"/>
        <v>13113827.328122836</v>
      </c>
      <c r="P102" s="34">
        <f>SUM(D102:O102)</f>
        <v>133182275.4111079</v>
      </c>
      <c r="Q102" s="2"/>
      <c r="R102" s="42">
        <v>-150.40030817687511</v>
      </c>
      <c r="S102" s="28"/>
    </row>
    <row r="103" spans="1:19" x14ac:dyDescent="0.2">
      <c r="A103" s="5">
        <v>92</v>
      </c>
      <c r="B103" s="1" t="s">
        <v>30</v>
      </c>
      <c r="D103" s="34">
        <f t="shared" ref="D103:O103" si="43">D62+D54+D46+D37+D28+D19</f>
        <v>0</v>
      </c>
      <c r="E103" s="34">
        <f t="shared" si="43"/>
        <v>0</v>
      </c>
      <c r="F103" s="34">
        <f t="shared" si="43"/>
        <v>0</v>
      </c>
      <c r="G103" s="34">
        <f t="shared" si="43"/>
        <v>0</v>
      </c>
      <c r="H103" s="34">
        <f t="shared" si="43"/>
        <v>0</v>
      </c>
      <c r="I103" s="34">
        <f t="shared" si="43"/>
        <v>0</v>
      </c>
      <c r="J103" s="34">
        <f t="shared" si="43"/>
        <v>0</v>
      </c>
      <c r="K103" s="34">
        <f t="shared" si="43"/>
        <v>0</v>
      </c>
      <c r="L103" s="34">
        <f t="shared" si="43"/>
        <v>0</v>
      </c>
      <c r="M103" s="34">
        <f t="shared" si="43"/>
        <v>0</v>
      </c>
      <c r="N103" s="34">
        <f t="shared" si="43"/>
        <v>0</v>
      </c>
      <c r="O103" s="34">
        <f t="shared" si="43"/>
        <v>0</v>
      </c>
      <c r="P103" s="34">
        <f>SUM(D103:O103)</f>
        <v>0</v>
      </c>
      <c r="Q103" s="2"/>
      <c r="S103" s="28"/>
    </row>
    <row r="104" spans="1:19" x14ac:dyDescent="0.2">
      <c r="A104" s="5">
        <v>93</v>
      </c>
      <c r="B104" s="41" t="s">
        <v>59</v>
      </c>
      <c r="D104" s="34">
        <f>D102+D103</f>
        <v>11250905.430227738</v>
      </c>
      <c r="E104" s="34">
        <f t="shared" ref="E104:O104" si="44">E102+E103</f>
        <v>9532311.6568989772</v>
      </c>
      <c r="F104" s="34">
        <f t="shared" si="44"/>
        <v>8429266.6671711281</v>
      </c>
      <c r="G104" s="34">
        <f t="shared" si="44"/>
        <v>8270027.9068483263</v>
      </c>
      <c r="H104" s="34">
        <f t="shared" si="44"/>
        <v>8606292.9026021715</v>
      </c>
      <c r="I104" s="34">
        <f t="shared" si="44"/>
        <v>8661821.4629543927</v>
      </c>
      <c r="J104" s="34">
        <f t="shared" si="44"/>
        <v>9226709.4956606273</v>
      </c>
      <c r="K104" s="34">
        <f t="shared" si="44"/>
        <v>11877619.755568633</v>
      </c>
      <c r="L104" s="34">
        <f t="shared" si="44"/>
        <v>13808052.662719809</v>
      </c>
      <c r="M104" s="34">
        <f t="shared" si="44"/>
        <v>15011114.100402439</v>
      </c>
      <c r="N104" s="34">
        <f t="shared" si="44"/>
        <v>15394326.041930806</v>
      </c>
      <c r="O104" s="34">
        <f t="shared" si="44"/>
        <v>13113827.328122836</v>
      </c>
      <c r="P104" s="34">
        <f>SUM(D104:O104)</f>
        <v>133182275.4111079</v>
      </c>
      <c r="Q104" s="2"/>
      <c r="S104" s="28"/>
    </row>
    <row r="105" spans="1:19" x14ac:dyDescent="0.2">
      <c r="Q105" s="2"/>
    </row>
    <row r="106" spans="1:19" x14ac:dyDescent="0.2">
      <c r="A106" s="5"/>
      <c r="Q106" s="2"/>
    </row>
    <row r="107" spans="1:19" x14ac:dyDescent="0.2">
      <c r="A107" s="5"/>
      <c r="D107" s="2">
        <f t="shared" ref="D107:P107" si="45">D17+D26+D35+D44+D52+D60+D72+D87+D96</f>
        <v>3949013.2276285691</v>
      </c>
      <c r="E107" s="2">
        <f t="shared" si="45"/>
        <v>3356656.9341787314</v>
      </c>
      <c r="F107" s="2">
        <f t="shared" si="45"/>
        <v>2766078.2270126566</v>
      </c>
      <c r="G107" s="2">
        <f t="shared" si="45"/>
        <v>2641755.6318805488</v>
      </c>
      <c r="H107" s="2">
        <f t="shared" si="45"/>
        <v>2938388.4560630769</v>
      </c>
      <c r="I107" s="2">
        <f t="shared" si="45"/>
        <v>3078106.7590189362</v>
      </c>
      <c r="J107" s="2">
        <f t="shared" si="45"/>
        <v>3404159.1005430473</v>
      </c>
      <c r="K107" s="2">
        <f t="shared" si="45"/>
        <v>4850806.9602762721</v>
      </c>
      <c r="L107" s="2">
        <f t="shared" si="45"/>
        <v>5450053.3082100209</v>
      </c>
      <c r="M107" s="2">
        <f t="shared" si="45"/>
        <v>6034486.5438986626</v>
      </c>
      <c r="N107" s="2">
        <f t="shared" si="45"/>
        <v>5964347.4549069908</v>
      </c>
      <c r="O107" s="2">
        <f t="shared" si="45"/>
        <v>4889388.0623689126</v>
      </c>
      <c r="P107" s="2">
        <f t="shared" si="45"/>
        <v>49323247.73998642</v>
      </c>
      <c r="Q107" s="2"/>
    </row>
    <row r="108" spans="1:19" x14ac:dyDescent="0.2">
      <c r="A108" s="5"/>
      <c r="C108" s="2"/>
      <c r="D108" s="34">
        <f>D89+D80+D64+D56+D48+D39+D30+D21+D12+D74</f>
        <v>11192383.818659373</v>
      </c>
      <c r="E108" s="34">
        <f t="shared" ref="E108:O108" si="46">E89+E80+E64+E56+E48+E39+E30+E21+E12+E74</f>
        <v>9487217.13034508</v>
      </c>
      <c r="F108" s="34">
        <f t="shared" si="46"/>
        <v>8395725.418952588</v>
      </c>
      <c r="G108" s="34">
        <f t="shared" si="46"/>
        <v>8242157.2374419011</v>
      </c>
      <c r="H108" s="34">
        <f t="shared" si="46"/>
        <v>8578979.624974981</v>
      </c>
      <c r="I108" s="34">
        <f t="shared" si="46"/>
        <v>8633675.2066233754</v>
      </c>
      <c r="J108" s="34">
        <f t="shared" si="46"/>
        <v>9191851.844268173</v>
      </c>
      <c r="K108" s="34">
        <f t="shared" si="46"/>
        <v>11836294.996037543</v>
      </c>
      <c r="L108" s="34">
        <f t="shared" si="46"/>
        <v>13751328.619004102</v>
      </c>
      <c r="M108" s="34">
        <f t="shared" si="46"/>
        <v>14936630.809659215</v>
      </c>
      <c r="N108" s="34">
        <f t="shared" si="46"/>
        <v>15312466.839675393</v>
      </c>
      <c r="O108" s="34">
        <f t="shared" si="46"/>
        <v>13035793.684050087</v>
      </c>
      <c r="P108" s="34">
        <f>P89+P80+P64+P56+P48+P39+P30+P21+P12</f>
        <v>132594505.22969182</v>
      </c>
      <c r="Q108" s="2"/>
    </row>
    <row r="109" spans="1:19" x14ac:dyDescent="0.2">
      <c r="A109" s="5"/>
      <c r="C109" s="2"/>
      <c r="D109" s="34">
        <f>D62+D54+D46+D37+D28+D19</f>
        <v>0</v>
      </c>
      <c r="E109" s="34">
        <f>E62+E54+E46+E37+E28+E19</f>
        <v>0</v>
      </c>
      <c r="F109" s="34">
        <f>F62+F54+F46+F37+F28+F19</f>
        <v>0</v>
      </c>
      <c r="G109" s="34">
        <f>G62+G54+G46+G37+G28+G19</f>
        <v>0</v>
      </c>
      <c r="H109" s="34">
        <f t="shared" ref="H109:P109" si="47">H62+H54+H46+H37+H28+H19</f>
        <v>0</v>
      </c>
      <c r="I109" s="34">
        <f t="shared" si="47"/>
        <v>0</v>
      </c>
      <c r="J109" s="34">
        <f t="shared" si="47"/>
        <v>0</v>
      </c>
      <c r="K109" s="34">
        <f t="shared" si="47"/>
        <v>0</v>
      </c>
      <c r="L109" s="34">
        <f t="shared" si="47"/>
        <v>0</v>
      </c>
      <c r="M109" s="34">
        <f t="shared" si="47"/>
        <v>0</v>
      </c>
      <c r="N109" s="34">
        <f t="shared" si="47"/>
        <v>0</v>
      </c>
      <c r="O109" s="34">
        <f t="shared" si="47"/>
        <v>0</v>
      </c>
      <c r="P109" s="34">
        <f t="shared" si="47"/>
        <v>0</v>
      </c>
      <c r="Q109" s="2"/>
    </row>
    <row r="110" spans="1:19" x14ac:dyDescent="0.2">
      <c r="A110" s="5"/>
      <c r="D110" s="34"/>
      <c r="Q110" s="2"/>
    </row>
    <row r="111" spans="1:19" x14ac:dyDescent="0.2">
      <c r="A111" s="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43"/>
    </row>
    <row r="112" spans="1:19" x14ac:dyDescent="0.2">
      <c r="A112" s="5"/>
      <c r="B112" s="1" t="s">
        <v>60</v>
      </c>
      <c r="D112" s="2">
        <v>2185530.8774090242</v>
      </c>
      <c r="E112" s="2">
        <v>1665159.244804672</v>
      </c>
      <c r="F112" s="2">
        <v>1368310.5663047852</v>
      </c>
      <c r="G112" s="2">
        <v>1320368.2265086677</v>
      </c>
      <c r="H112" s="2">
        <v>1319281.0946847992</v>
      </c>
      <c r="I112" s="2">
        <v>1310304.5256639421</v>
      </c>
      <c r="J112" s="2">
        <v>1475611.4578802092</v>
      </c>
      <c r="K112" s="2">
        <v>2184614.2103205649</v>
      </c>
      <c r="L112" s="2">
        <v>2902818.6631048452</v>
      </c>
      <c r="M112" s="2">
        <v>3271554.6415787265</v>
      </c>
      <c r="N112" s="2">
        <v>3450018.0322594699</v>
      </c>
      <c r="O112" s="2">
        <v>2764597.4360782392</v>
      </c>
      <c r="P112" s="2"/>
    </row>
    <row r="114" spans="2:16" x14ac:dyDescent="0.2">
      <c r="B114" s="1" t="s">
        <v>61</v>
      </c>
      <c r="D114" s="2">
        <f>D17+D26+D35+D44</f>
        <v>1506710.8227619021</v>
      </c>
      <c r="E114" s="2">
        <f t="shared" ref="E114:O114" si="48">E17+E26+E35+E44</f>
        <v>818886.85352635011</v>
      </c>
      <c r="F114" s="2">
        <f t="shared" si="48"/>
        <v>395397.09832098981</v>
      </c>
      <c r="G114" s="2">
        <f t="shared" si="48"/>
        <v>344607.87736031122</v>
      </c>
      <c r="H114" s="2">
        <f t="shared" si="48"/>
        <v>349731.05274283863</v>
      </c>
      <c r="I114" s="2">
        <f t="shared" si="48"/>
        <v>352082.70689869771</v>
      </c>
      <c r="J114" s="2">
        <f t="shared" si="48"/>
        <v>575795.91692280897</v>
      </c>
      <c r="K114" s="2">
        <f t="shared" si="48"/>
        <v>1529674.2444560339</v>
      </c>
      <c r="L114" s="2">
        <f t="shared" si="48"/>
        <v>2520502.7481897827</v>
      </c>
      <c r="M114" s="2">
        <f t="shared" si="48"/>
        <v>3073860.1712784241</v>
      </c>
      <c r="N114" s="2">
        <f t="shared" si="48"/>
        <v>3300342.2415903243</v>
      </c>
      <c r="O114" s="2">
        <f t="shared" si="48"/>
        <v>2313202.0535355792</v>
      </c>
      <c r="P114" s="2">
        <f>SUM(D114:O114)</f>
        <v>17080793.787584044</v>
      </c>
    </row>
  </sheetData>
  <mergeCells count="5">
    <mergeCell ref="O3:P3"/>
    <mergeCell ref="A4:P4"/>
    <mergeCell ref="A5:P5"/>
    <mergeCell ref="A6:P6"/>
    <mergeCell ref="A7:P7"/>
  </mergeCells>
  <printOptions horizontalCentered="1"/>
  <pageMargins left="0.25" right="0.25" top="0.6" bottom="0.5" header="0.25" footer="0.25"/>
  <pageSetup scale="70" orientation="landscape" horizontalDpi="300" r:id="rId1"/>
  <headerFooter alignWithMargins="0">
    <oddHeader>&amp;RCASE NO. 2024-00276
ATTACHMENT 1
TO STAFF DR 4-10</oddHeader>
    <oddFooter>&amp;CPage &amp;P of &amp;N</oddFooter>
  </headerFooter>
  <rowBreaks count="1" manualBreakCount="1">
    <brk id="5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2A943-ACC2-4F9E-9C9E-28CE0D385977}">
  <dimension ref="A1:CM114"/>
  <sheetViews>
    <sheetView workbookViewId="0"/>
  </sheetViews>
  <sheetFormatPr defaultColWidth="12.5703125" defaultRowHeight="12.75" x14ac:dyDescent="0.2"/>
  <cols>
    <col min="1" max="1" width="5.5703125" style="1" bestFit="1" customWidth="1"/>
    <col min="2" max="2" width="29.5703125" style="1" customWidth="1"/>
    <col min="3" max="3" width="8.5703125" style="1" customWidth="1"/>
    <col min="4" max="15" width="10.5703125" style="1" customWidth="1"/>
    <col min="16" max="16" width="12.28515625" style="1" bestFit="1" customWidth="1"/>
    <col min="17" max="17" width="10.5703125" style="1" customWidth="1"/>
    <col min="18" max="19" width="10.5703125" style="3" customWidth="1"/>
    <col min="20" max="20" width="16" bestFit="1" customWidth="1"/>
    <col min="21" max="29" width="10.5703125" style="3" customWidth="1"/>
    <col min="30" max="63" width="10.5703125" style="1" customWidth="1"/>
    <col min="64" max="67" width="9.5703125" style="1" customWidth="1"/>
    <col min="68" max="16384" width="12.5703125" style="1"/>
  </cols>
  <sheetData>
    <row r="1" spans="1:91" x14ac:dyDescent="0.2">
      <c r="P1" s="2"/>
      <c r="Q1" s="2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x14ac:dyDescent="0.2">
      <c r="P2" s="2"/>
      <c r="Q2" s="2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x14ac:dyDescent="0.2">
      <c r="O3" s="48" t="s">
        <v>62</v>
      </c>
      <c r="P3" s="48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x14ac:dyDescent="0.2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6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x14ac:dyDescent="0.2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7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">
      <c r="A6" s="49" t="s">
        <v>63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7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</row>
    <row r="7" spans="1:91" x14ac:dyDescent="0.2">
      <c r="A7" s="50" t="s">
        <v>66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</row>
    <row r="8" spans="1:91" x14ac:dyDescent="0.2">
      <c r="A8" s="8" t="s">
        <v>3</v>
      </c>
      <c r="P8" s="5" t="s">
        <v>4</v>
      </c>
      <c r="Q8" s="5" t="s">
        <v>67</v>
      </c>
      <c r="R8" s="44" t="s">
        <v>65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</row>
    <row r="9" spans="1:91" x14ac:dyDescent="0.2">
      <c r="A9" s="9" t="s">
        <v>5</v>
      </c>
      <c r="B9" s="10" t="s">
        <v>6</v>
      </c>
      <c r="C9" s="11" t="s">
        <v>7</v>
      </c>
      <c r="D9" s="12">
        <v>45777</v>
      </c>
      <c r="E9" s="12">
        <v>45808</v>
      </c>
      <c r="F9" s="12">
        <v>45838</v>
      </c>
      <c r="G9" s="12">
        <v>45869</v>
      </c>
      <c r="H9" s="12">
        <v>45900</v>
      </c>
      <c r="I9" s="12">
        <v>45930</v>
      </c>
      <c r="J9" s="12">
        <v>45961</v>
      </c>
      <c r="K9" s="12">
        <v>45991</v>
      </c>
      <c r="L9" s="12">
        <v>46022</v>
      </c>
      <c r="M9" s="12">
        <v>46053</v>
      </c>
      <c r="N9" s="12">
        <v>46081</v>
      </c>
      <c r="O9" s="12">
        <v>46112</v>
      </c>
      <c r="P9" s="12" t="s">
        <v>8</v>
      </c>
      <c r="Q9" s="12" t="s">
        <v>9</v>
      </c>
      <c r="R9" s="12" t="s">
        <v>9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</row>
    <row r="10" spans="1:91" x14ac:dyDescent="0.2">
      <c r="B10" s="14"/>
      <c r="C10" s="14"/>
      <c r="D10" s="14" t="s">
        <v>10</v>
      </c>
      <c r="E10" s="14" t="s">
        <v>11</v>
      </c>
      <c r="F10" s="5" t="s">
        <v>12</v>
      </c>
      <c r="G10" s="15" t="s">
        <v>13</v>
      </c>
      <c r="H10" s="16" t="s">
        <v>14</v>
      </c>
      <c r="I10" s="16" t="s">
        <v>15</v>
      </c>
      <c r="J10" s="16" t="s">
        <v>16</v>
      </c>
      <c r="K10" s="16" t="s">
        <v>17</v>
      </c>
      <c r="L10" s="16" t="s">
        <v>18</v>
      </c>
      <c r="M10" s="16" t="s">
        <v>19</v>
      </c>
      <c r="N10" s="16" t="s">
        <v>20</v>
      </c>
      <c r="O10" s="16" t="s">
        <v>21</v>
      </c>
      <c r="P10" s="16" t="s">
        <v>22</v>
      </c>
      <c r="Q10" s="16" t="s">
        <v>23</v>
      </c>
      <c r="R10" s="16" t="s">
        <v>68</v>
      </c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</row>
    <row r="11" spans="1:91" x14ac:dyDescent="0.2"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18"/>
      <c r="R11" s="18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</row>
    <row r="12" spans="1:91" x14ac:dyDescent="0.2">
      <c r="A12" s="5">
        <v>1</v>
      </c>
      <c r="B12" s="21" t="s">
        <v>24</v>
      </c>
      <c r="C12" s="5"/>
      <c r="D12" s="22">
        <f>+'Test Year Monthly - (Prop)'!D12-'Test Year Monthly - (Current)'!D12</f>
        <v>1583738.7115398804</v>
      </c>
      <c r="E12" s="22">
        <f>+'Test Year Monthly - (Prop)'!E12-'Test Year Monthly - (Current)'!E12</f>
        <v>1245279.5438003307</v>
      </c>
      <c r="F12" s="22">
        <f>+'Test Year Monthly - (Prop)'!F12-'Test Year Monthly - (Current)'!F12</f>
        <v>1052345.9450569279</v>
      </c>
      <c r="G12" s="22">
        <f>+'Test Year Monthly - (Prop)'!G12-'Test Year Monthly - (Current)'!G12</f>
        <v>1020459.6607181444</v>
      </c>
      <c r="H12" s="22">
        <f>+'Test Year Monthly - (Prop)'!H12-'Test Year Monthly - (Current)'!H12</f>
        <v>1019072.1454579756</v>
      </c>
      <c r="I12" s="22">
        <f>+'Test Year Monthly - (Prop)'!I12-'Test Year Monthly - (Current)'!I12</f>
        <v>1014937.3367032511</v>
      </c>
      <c r="J12" s="22">
        <f>+'Test Year Monthly - (Prop)'!J12-'Test Year Monthly - (Current)'!J12</f>
        <v>1128317.6466148184</v>
      </c>
      <c r="K12" s="22">
        <f>+'Test Year Monthly - (Prop)'!K12-'Test Year Monthly - (Current)'!K12</f>
        <v>1587789.2350988304</v>
      </c>
      <c r="L12" s="22">
        <f>+'Test Year Monthly - (Prop)'!L12-'Test Year Monthly - (Current)'!L12</f>
        <v>2058192.4341548737</v>
      </c>
      <c r="M12" s="22">
        <f>+'Test Year Monthly - (Prop)'!M12-'Test Year Monthly - (Current)'!M12</f>
        <v>2303724.5759143513</v>
      </c>
      <c r="N12" s="22">
        <f>+'Test Year Monthly - (Prop)'!N12-'Test Year Monthly - (Current)'!N12</f>
        <v>2420630.4077979578</v>
      </c>
      <c r="O12" s="22">
        <f>+'Test Year Monthly - (Prop)'!O12-'Test Year Monthly - (Current)'!O12</f>
        <v>1963134.5747209946</v>
      </c>
      <c r="P12" s="22">
        <f>+'Test Year Monthly - (Prop)'!P12-'Test Year Monthly - (Current)'!P12</f>
        <v>18397622.217578337</v>
      </c>
      <c r="Q12" s="23"/>
      <c r="R12" s="23"/>
      <c r="S12" s="24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5"/>
      <c r="BM12" s="25"/>
      <c r="BN12" s="25"/>
      <c r="BO12" s="25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</row>
    <row r="13" spans="1:91" x14ac:dyDescent="0.2">
      <c r="A13" s="5">
        <v>2</v>
      </c>
      <c r="B13" s="1" t="s">
        <v>25</v>
      </c>
      <c r="C13" s="26">
        <v>25</v>
      </c>
      <c r="D13" s="2">
        <v>162288</v>
      </c>
      <c r="E13" s="2">
        <v>161528</v>
      </c>
      <c r="F13" s="2">
        <v>160443</v>
      </c>
      <c r="G13" s="2">
        <v>158859</v>
      </c>
      <c r="H13" s="2">
        <v>158643</v>
      </c>
      <c r="I13" s="2">
        <v>157525</v>
      </c>
      <c r="J13" s="2">
        <v>158693</v>
      </c>
      <c r="K13" s="2">
        <v>160008</v>
      </c>
      <c r="L13" s="2">
        <v>161112</v>
      </c>
      <c r="M13" s="2">
        <v>162059</v>
      </c>
      <c r="N13" s="2">
        <v>162229</v>
      </c>
      <c r="O13" s="2">
        <v>162136</v>
      </c>
      <c r="P13" s="2">
        <f>ROUND((SUM(D13:O13)),0)</f>
        <v>1925523</v>
      </c>
      <c r="Q13" s="22">
        <f>+'Test Year Monthly - (Prop)'!Q13-'Test Year Monthly - (Current)'!Q13</f>
        <v>10975481</v>
      </c>
      <c r="R13" s="45">
        <f>IF('Test Year Monthly - (Current)'!Q13=0,0,+Q13/'Test Year Monthly - (Current)'!Q13)</f>
        <v>0.2953367840791738</v>
      </c>
      <c r="S13" s="27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30"/>
      <c r="BM13" s="30"/>
      <c r="BN13" s="30"/>
      <c r="BO13" s="30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</row>
    <row r="14" spans="1:91" x14ac:dyDescent="0.2">
      <c r="A14" s="5">
        <v>3</v>
      </c>
      <c r="B14" s="1" t="s">
        <v>26</v>
      </c>
      <c r="C14" s="31">
        <v>2.2951000000000001</v>
      </c>
      <c r="D14" s="2">
        <v>882026.12686111452</v>
      </c>
      <c r="E14" s="2">
        <v>434614.2793255627</v>
      </c>
      <c r="F14" s="2">
        <v>184548.5338202024</v>
      </c>
      <c r="G14" s="2">
        <v>153941.29715873633</v>
      </c>
      <c r="H14" s="2">
        <v>153731.98374126368</v>
      </c>
      <c r="I14" s="2">
        <v>156728.49049712287</v>
      </c>
      <c r="J14" s="2">
        <v>299635.17222123418</v>
      </c>
      <c r="K14" s="2">
        <v>904852.21625445888</v>
      </c>
      <c r="L14" s="2">
        <v>1526317.6675882081</v>
      </c>
      <c r="M14" s="2">
        <v>1847868.6072768497</v>
      </c>
      <c r="N14" s="2">
        <v>2003113.4276887493</v>
      </c>
      <c r="O14" s="2">
        <v>1391215.0170340042</v>
      </c>
      <c r="P14" s="2">
        <f>SUM(D14:O14)</f>
        <v>9938592.8194675054</v>
      </c>
      <c r="Q14" s="22">
        <f>+'Test Year Monthly - (Prop)'!Q14-'Test Year Monthly - (Current)'!Q14</f>
        <v>7422141</v>
      </c>
      <c r="R14" s="45">
        <f>IF('Test Year Monthly - (Current)'!Q14=0,0,+Q14/'Test Year Monthly - (Current)'!Q14)</f>
        <v>0.48233546528664067</v>
      </c>
      <c r="S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</row>
    <row r="15" spans="1:91" x14ac:dyDescent="0.2">
      <c r="A15" s="5">
        <v>4</v>
      </c>
      <c r="B15" s="1" t="s">
        <v>27</v>
      </c>
      <c r="C15" s="31">
        <v>1.5952999999999999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>SUM(D15:O15)</f>
        <v>0</v>
      </c>
      <c r="Q15" s="22">
        <f>+'Test Year Monthly - (Prop)'!Q15-'Test Year Monthly - (Current)'!Q15</f>
        <v>0</v>
      </c>
      <c r="R15" s="45">
        <f>IF('Test Year Monthly - (Current)'!Q15=0,0,+Q15/'Test Year Monthly - (Current)'!Q15)</f>
        <v>0</v>
      </c>
      <c r="S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</row>
    <row r="16" spans="1:91" x14ac:dyDescent="0.2">
      <c r="A16" s="5">
        <v>5</v>
      </c>
      <c r="B16" s="1" t="s">
        <v>28</v>
      </c>
      <c r="C16" s="31">
        <v>1.3174999999999999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>SUM(D16:O16)</f>
        <v>0</v>
      </c>
      <c r="Q16" s="22">
        <f>+'Test Year Monthly - (Prop)'!Q16-'Test Year Monthly - (Current)'!Q16</f>
        <v>0</v>
      </c>
      <c r="R16" s="45">
        <f>IF('Test Year Monthly - (Current)'!Q16=0,0,+Q16/'Test Year Monthly - (Current)'!Q16)</f>
        <v>0</v>
      </c>
      <c r="S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</row>
    <row r="17" spans="1:19" x14ac:dyDescent="0.2">
      <c r="A17" s="5">
        <v>6</v>
      </c>
      <c r="B17" s="32" t="s">
        <v>29</v>
      </c>
      <c r="C17" s="32"/>
      <c r="D17" s="33">
        <f>D14+D15+D16</f>
        <v>882026.12686111452</v>
      </c>
      <c r="E17" s="33">
        <f t="shared" ref="E17:P17" si="0">E14+E15+E16</f>
        <v>434614.2793255627</v>
      </c>
      <c r="F17" s="33">
        <f t="shared" si="0"/>
        <v>184548.5338202024</v>
      </c>
      <c r="G17" s="33">
        <f t="shared" si="0"/>
        <v>153941.29715873633</v>
      </c>
      <c r="H17" s="33">
        <f t="shared" si="0"/>
        <v>153731.98374126368</v>
      </c>
      <c r="I17" s="33">
        <f t="shared" si="0"/>
        <v>156728.49049712287</v>
      </c>
      <c r="J17" s="33">
        <f t="shared" si="0"/>
        <v>299635.17222123418</v>
      </c>
      <c r="K17" s="33">
        <f t="shared" si="0"/>
        <v>904852.21625445888</v>
      </c>
      <c r="L17" s="33">
        <f t="shared" si="0"/>
        <v>1526317.6675882081</v>
      </c>
      <c r="M17" s="33">
        <f t="shared" si="0"/>
        <v>1847868.6072768497</v>
      </c>
      <c r="N17" s="33">
        <f t="shared" si="0"/>
        <v>2003113.4276887493</v>
      </c>
      <c r="O17" s="33">
        <f t="shared" si="0"/>
        <v>1391215.0170340042</v>
      </c>
      <c r="P17" s="33">
        <f t="shared" si="0"/>
        <v>9938592.8194675054</v>
      </c>
      <c r="Q17" s="33">
        <f>SUM(Q13:Q16)</f>
        <v>18397622</v>
      </c>
      <c r="R17" s="46">
        <f>IF('Test Year Monthly - (Current)'!Q17=0,0,+Q17/'Test Year Monthly - (Current)'!Q17)</f>
        <v>0.35009402476478013</v>
      </c>
    </row>
    <row r="18" spans="1:19" x14ac:dyDescent="0.2">
      <c r="A18" s="5">
        <v>7</v>
      </c>
      <c r="B18" s="1" t="s">
        <v>69</v>
      </c>
      <c r="D18" s="26">
        <f>+D12/D13</f>
        <v>9.758815880039684</v>
      </c>
      <c r="E18" s="26">
        <f t="shared" ref="E18:P18" si="1">+E12/E13</f>
        <v>7.709372640039688</v>
      </c>
      <c r="F18" s="26">
        <f t="shared" si="1"/>
        <v>6.5590019200396892</v>
      </c>
      <c r="G18" s="26">
        <f t="shared" si="1"/>
        <v>6.4236817600396856</v>
      </c>
      <c r="H18" s="26">
        <f t="shared" si="1"/>
        <v>6.4236817600396838</v>
      </c>
      <c r="I18" s="26">
        <f t="shared" si="1"/>
        <v>6.4430238800396831</v>
      </c>
      <c r="J18" s="26">
        <f t="shared" si="1"/>
        <v>7.1100656400396893</v>
      </c>
      <c r="K18" s="26">
        <f t="shared" si="1"/>
        <v>9.9231865600396887</v>
      </c>
      <c r="L18" s="26">
        <f t="shared" si="1"/>
        <v>12.774917040039686</v>
      </c>
      <c r="M18" s="26">
        <f t="shared" si="1"/>
        <v>14.215344880039686</v>
      </c>
      <c r="N18" s="26">
        <f t="shared" si="1"/>
        <v>14.921070880039684</v>
      </c>
      <c r="O18" s="26">
        <f t="shared" si="1"/>
        <v>12.107949960039686</v>
      </c>
      <c r="P18" s="26">
        <f t="shared" si="1"/>
        <v>9.5546104708062884</v>
      </c>
      <c r="Q18" s="26"/>
      <c r="R18" s="26"/>
      <c r="S18" s="28"/>
    </row>
    <row r="19" spans="1:19" x14ac:dyDescent="0.2">
      <c r="A19" s="5">
        <v>8</v>
      </c>
      <c r="B19" s="1" t="s">
        <v>70</v>
      </c>
      <c r="D19" s="47">
        <f>+D18/'Test Year Monthly - (Current)'!D18</f>
        <v>0.35211412344285753</v>
      </c>
      <c r="E19" s="47">
        <f>+E18/'Test Year Monthly - (Current)'!E18</f>
        <v>0.32853480686487846</v>
      </c>
      <c r="F19" s="47">
        <f>+F18/'Test Year Monthly - (Current)'!F18</f>
        <v>0.31113448779482844</v>
      </c>
      <c r="G19" s="47">
        <f>+G18/'Test Year Monthly - (Current)'!G18</f>
        <v>0.30882535727684851</v>
      </c>
      <c r="H19" s="47">
        <f>+H18/'Test Year Monthly - (Current)'!H18</f>
        <v>0.30882535727684846</v>
      </c>
      <c r="I19" s="47">
        <f>+I18/'Test Year Monthly - (Current)'!I18</f>
        <v>0.30915922322230549</v>
      </c>
      <c r="J19" s="47">
        <f>+J18/'Test Year Monthly - (Current)'!J18</f>
        <v>0.3199358138569085</v>
      </c>
      <c r="K19" s="47">
        <f>+K18/'Test Year Monthly - (Current)'!K18</f>
        <v>0.3536958672747203</v>
      </c>
      <c r="L19" s="47">
        <f>+L18/'Test Year Monthly - (Current)'!L18</f>
        <v>0.37608634890579817</v>
      </c>
      <c r="M19" s="47">
        <f>+M18/'Test Year Monthly - (Current)'!M18</f>
        <v>0.38467255759933389</v>
      </c>
      <c r="N19" s="47">
        <f>+N18/'Test Year Monthly - (Current)'!N18</f>
        <v>0.38839207795286512</v>
      </c>
      <c r="O19" s="47">
        <f>+O18/'Test Year Monthly - (Current)'!O18</f>
        <v>0.37157756527204094</v>
      </c>
      <c r="P19" s="47">
        <f>+P18/'Test Year Monthly - (Current)'!P18</f>
        <v>0.35009402782335192</v>
      </c>
      <c r="Q19" s="34"/>
      <c r="R19" s="34"/>
      <c r="S19" s="28"/>
    </row>
    <row r="20" spans="1:19" x14ac:dyDescent="0.2">
      <c r="A20" s="5">
        <v>9</v>
      </c>
      <c r="C20" s="2"/>
      <c r="D20" s="35"/>
      <c r="P20" s="2"/>
      <c r="Q20" s="2"/>
      <c r="R20" s="2"/>
      <c r="S20" s="28"/>
    </row>
    <row r="21" spans="1:19" x14ac:dyDescent="0.2">
      <c r="A21" s="5">
        <v>10</v>
      </c>
      <c r="B21" s="21" t="s">
        <v>31</v>
      </c>
      <c r="D21" s="22">
        <f>+'Test Year Monthly - (Prop)'!D21-'Test Year Monthly - (Current)'!D21</f>
        <v>530194.86562893214</v>
      </c>
      <c r="E21" s="22">
        <f>+'Test Year Monthly - (Prop)'!E21-'Test Year Monthly - (Current)'!E21</f>
        <v>373399.91812960897</v>
      </c>
      <c r="F21" s="22">
        <f>+'Test Year Monthly - (Prop)'!F21-'Test Year Monthly - (Current)'!F21</f>
        <v>283887.50161205628</v>
      </c>
      <c r="G21" s="22">
        <f>+'Test Year Monthly - (Prop)'!G21-'Test Year Monthly - (Current)'!G21</f>
        <v>269120.34138564067</v>
      </c>
      <c r="H21" s="22">
        <f>+'Test Year Monthly - (Prop)'!H21-'Test Year Monthly - (Current)'!H21</f>
        <v>269347.59154216084</v>
      </c>
      <c r="I21" s="22">
        <f>+'Test Year Monthly - (Prop)'!I21-'Test Year Monthly - (Current)'!I21</f>
        <v>263788.19638038985</v>
      </c>
      <c r="J21" s="22">
        <f>+'Test Year Monthly - (Prop)'!J21-'Test Year Monthly - (Current)'!J21</f>
        <v>307978.75094882026</v>
      </c>
      <c r="K21" s="22">
        <f>+'Test Year Monthly - (Prop)'!K21-'Test Year Monthly - (Current)'!K21</f>
        <v>523687.57024288061</v>
      </c>
      <c r="L21" s="22">
        <f>+'Test Year Monthly - (Prop)'!L21-'Test Year Monthly - (Current)'!L21</f>
        <v>737139.05590146594</v>
      </c>
      <c r="M21" s="22">
        <f>+'Test Year Monthly - (Prop)'!M21-'Test Year Monthly - (Current)'!M21</f>
        <v>844930.02607662138</v>
      </c>
      <c r="N21" s="22">
        <f>+'Test Year Monthly - (Prop)'!N21-'Test Year Monthly - (Current)'!N21</f>
        <v>899040.15752267884</v>
      </c>
      <c r="O21" s="22">
        <f>+'Test Year Monthly - (Prop)'!O21-'Test Year Monthly - (Current)'!O21</f>
        <v>701804.77086223522</v>
      </c>
      <c r="P21" s="22">
        <f>+'Test Year Monthly - (Prop)'!P21-'Test Year Monthly - (Current)'!P21</f>
        <v>6004318.7462334894</v>
      </c>
      <c r="Q21" s="23"/>
      <c r="R21" s="23"/>
      <c r="S21" s="24"/>
    </row>
    <row r="22" spans="1:19" x14ac:dyDescent="0.2">
      <c r="A22" s="5">
        <v>11</v>
      </c>
      <c r="B22" s="1" t="s">
        <v>25</v>
      </c>
      <c r="C22" s="36">
        <v>75</v>
      </c>
      <c r="D22" s="2">
        <v>18884</v>
      </c>
      <c r="E22" s="2">
        <v>18586</v>
      </c>
      <c r="F22" s="2">
        <v>18217</v>
      </c>
      <c r="G22" s="2">
        <v>17906</v>
      </c>
      <c r="H22" s="2">
        <v>17852</v>
      </c>
      <c r="I22" s="2">
        <v>17731</v>
      </c>
      <c r="J22" s="2">
        <v>17935</v>
      </c>
      <c r="K22" s="2">
        <v>18360</v>
      </c>
      <c r="L22" s="2">
        <v>18636</v>
      </c>
      <c r="M22" s="2">
        <v>18899</v>
      </c>
      <c r="N22" s="2">
        <v>18881</v>
      </c>
      <c r="O22" s="2">
        <v>18894</v>
      </c>
      <c r="P22" s="2">
        <f>ROUND((SUM(D22:O22)),0)</f>
        <v>220781</v>
      </c>
      <c r="Q22" s="22">
        <f>+'Test Year Monthly - (Prop)'!Q22-'Test Year Monthly - (Current)'!Q22</f>
        <v>1987029</v>
      </c>
      <c r="R22" s="45">
        <f>IF('Test Year Monthly - (Current)'!Q22=0,0,+Q22/'Test Year Monthly - (Current)'!Q22)</f>
        <v>0.13636363636363635</v>
      </c>
      <c r="S22" s="28"/>
    </row>
    <row r="23" spans="1:19" x14ac:dyDescent="0.2">
      <c r="A23" s="5">
        <v>12</v>
      </c>
      <c r="B23" s="1" t="s">
        <v>26</v>
      </c>
      <c r="C23" s="31">
        <v>2.2951000000000001</v>
      </c>
      <c r="D23" s="2">
        <v>450438.39086677105</v>
      </c>
      <c r="E23" s="2">
        <v>256777.33183943888</v>
      </c>
      <c r="F23" s="2">
        <v>147122.54030253537</v>
      </c>
      <c r="G23" s="2">
        <v>130646.31892965757</v>
      </c>
      <c r="H23" s="2">
        <v>134814.39468582821</v>
      </c>
      <c r="I23" s="2">
        <v>113316.03222846896</v>
      </c>
      <c r="J23" s="2">
        <v>149214.90200769715</v>
      </c>
      <c r="K23" s="2">
        <v>437071.41059518291</v>
      </c>
      <c r="L23" s="2">
        <v>697238.14561079466</v>
      </c>
      <c r="M23" s="2">
        <v>802225.24254819378</v>
      </c>
      <c r="N23" s="2">
        <v>879856.95446737448</v>
      </c>
      <c r="O23" s="2">
        <v>660855.73601369164</v>
      </c>
      <c r="P23" s="2">
        <f>SUM(D23:O23)</f>
        <v>4859577.4000956351</v>
      </c>
      <c r="Q23" s="22">
        <f>+'Test Year Monthly - (Prop)'!Q23-'Test Year Monthly - (Current)'!Q23</f>
        <v>3629132</v>
      </c>
      <c r="R23" s="45">
        <f>IF('Test Year Monthly - (Current)'!Q23=0,0,+Q23/'Test Year Monthly - (Current)'!Q23)</f>
        <v>0.48233539125825814</v>
      </c>
      <c r="S23" s="28"/>
    </row>
    <row r="24" spans="1:19" x14ac:dyDescent="0.2">
      <c r="A24" s="5">
        <v>13</v>
      </c>
      <c r="B24" s="1" t="s">
        <v>27</v>
      </c>
      <c r="C24" s="31">
        <v>1.5952999999999999</v>
      </c>
      <c r="D24" s="2">
        <v>45947.746734016335</v>
      </c>
      <c r="E24" s="2">
        <v>27672.137761348546</v>
      </c>
      <c r="F24" s="2">
        <v>19386.223298252091</v>
      </c>
      <c r="G24" s="2">
        <v>20034.040471917302</v>
      </c>
      <c r="H24" s="2">
        <v>15411.677115746692</v>
      </c>
      <c r="I24" s="2">
        <v>37728.344273105904</v>
      </c>
      <c r="J24" s="2">
        <v>67674.941493877734</v>
      </c>
      <c r="K24" s="2">
        <v>61727.298806392049</v>
      </c>
      <c r="L24" s="2">
        <v>93850.142090780355</v>
      </c>
      <c r="M24" s="2">
        <v>145901.01125338109</v>
      </c>
      <c r="N24" s="2">
        <v>138767.06593420039</v>
      </c>
      <c r="O24" s="2">
        <v>73649.984987883261</v>
      </c>
      <c r="P24" s="2">
        <f>SUM(D24:O24)</f>
        <v>747750.61422090186</v>
      </c>
      <c r="Q24" s="22">
        <f>+'Test Year Monthly - (Prop)'!Q24-'Test Year Monthly - (Current)'!Q24</f>
        <v>388158</v>
      </c>
      <c r="R24" s="45">
        <f>IF('Test Year Monthly - (Current)'!Q24=0,0,+Q24/'Test Year Monthly - (Current)'!Q24)</f>
        <v>0.48234623084292971</v>
      </c>
      <c r="S24" s="28"/>
    </row>
    <row r="25" spans="1:19" x14ac:dyDescent="0.2">
      <c r="A25" s="5">
        <v>14</v>
      </c>
      <c r="B25" s="1" t="s">
        <v>28</v>
      </c>
      <c r="C25" s="31">
        <v>1.3174999999999999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>SUM(D25:O25)</f>
        <v>0</v>
      </c>
      <c r="Q25" s="22">
        <f>+'Test Year Monthly - (Prop)'!Q25-'Test Year Monthly - (Current)'!Q25</f>
        <v>0</v>
      </c>
      <c r="R25" s="45">
        <f>IF('Test Year Monthly - (Current)'!Q25=0,0,+Q25/'Test Year Monthly - (Current)'!Q25)</f>
        <v>0</v>
      </c>
      <c r="S25" s="28"/>
    </row>
    <row r="26" spans="1:19" x14ac:dyDescent="0.2">
      <c r="A26" s="5">
        <v>15</v>
      </c>
      <c r="B26" s="32" t="s">
        <v>29</v>
      </c>
      <c r="C26" s="32"/>
      <c r="D26" s="33">
        <f t="shared" ref="D26:P26" si="2">D23+D24+D25</f>
        <v>496386.13760078739</v>
      </c>
      <c r="E26" s="33">
        <f t="shared" si="2"/>
        <v>284449.46960078744</v>
      </c>
      <c r="F26" s="33">
        <f t="shared" si="2"/>
        <v>166508.76360078747</v>
      </c>
      <c r="G26" s="33">
        <f t="shared" si="2"/>
        <v>150680.35940157488</v>
      </c>
      <c r="H26" s="33">
        <f t="shared" si="2"/>
        <v>150226.0718015749</v>
      </c>
      <c r="I26" s="33">
        <f t="shared" si="2"/>
        <v>151044.37650157488</v>
      </c>
      <c r="J26" s="33">
        <f t="shared" si="2"/>
        <v>216889.84350157488</v>
      </c>
      <c r="K26" s="33">
        <f t="shared" si="2"/>
        <v>498798.70940157498</v>
      </c>
      <c r="L26" s="33">
        <f t="shared" si="2"/>
        <v>791088.28770157497</v>
      </c>
      <c r="M26" s="33">
        <f t="shared" si="2"/>
        <v>948126.25380157493</v>
      </c>
      <c r="N26" s="33">
        <f t="shared" si="2"/>
        <v>1018624.0204015749</v>
      </c>
      <c r="O26" s="33">
        <f t="shared" si="2"/>
        <v>734505.72100157489</v>
      </c>
      <c r="P26" s="33">
        <f t="shared" si="2"/>
        <v>5607328.0143165365</v>
      </c>
      <c r="Q26" s="33">
        <f>SUM(Q22:Q25)</f>
        <v>6004319</v>
      </c>
      <c r="R26" s="46">
        <f>IF('Test Year Monthly - (Current)'!Q26=0,0,+Q26/'Test Year Monthly - (Current)'!Q26)</f>
        <v>0.26219322587912269</v>
      </c>
      <c r="S26" s="28"/>
    </row>
    <row r="27" spans="1:19" x14ac:dyDescent="0.2">
      <c r="A27" s="5">
        <v>16</v>
      </c>
      <c r="B27" s="1" t="s">
        <v>69</v>
      </c>
      <c r="D27" s="26">
        <f>+D21/D22</f>
        <v>28.07640677975705</v>
      </c>
      <c r="E27" s="26">
        <f t="shared" ref="E27:P27" si="3">+E21/E22</f>
        <v>20.090386211643654</v>
      </c>
      <c r="F27" s="26">
        <f t="shared" si="3"/>
        <v>15.583658210026694</v>
      </c>
      <c r="G27" s="26">
        <f t="shared" si="3"/>
        <v>15.029618082522097</v>
      </c>
      <c r="H27" s="26">
        <f t="shared" si="3"/>
        <v>15.087810415760746</v>
      </c>
      <c r="I27" s="26">
        <f t="shared" si="3"/>
        <v>14.877231762471933</v>
      </c>
      <c r="J27" s="26">
        <f t="shared" si="3"/>
        <v>17.171940393020368</v>
      </c>
      <c r="K27" s="26">
        <f t="shared" si="3"/>
        <v>28.523288139590449</v>
      </c>
      <c r="L27" s="26">
        <f t="shared" si="3"/>
        <v>39.554574796172247</v>
      </c>
      <c r="M27" s="26">
        <f t="shared" si="3"/>
        <v>44.707657869549784</v>
      </c>
      <c r="N27" s="26">
        <f t="shared" si="3"/>
        <v>47.616130370355322</v>
      </c>
      <c r="O27" s="26">
        <f t="shared" si="3"/>
        <v>37.144319406278989</v>
      </c>
      <c r="P27" s="26">
        <f t="shared" si="3"/>
        <v>27.195812801977929</v>
      </c>
      <c r="Q27" s="26"/>
      <c r="R27" s="26"/>
      <c r="S27" s="28"/>
    </row>
    <row r="28" spans="1:19" x14ac:dyDescent="0.2">
      <c r="A28" s="5">
        <v>17</v>
      </c>
      <c r="B28" s="1" t="s">
        <v>70</v>
      </c>
      <c r="D28" s="47">
        <f>+D27/'Test Year Monthly - (Current)'!D27</f>
        <v>0.26600094150573483</v>
      </c>
      <c r="E28" s="47">
        <f>+E27/'Test Year Monthly - (Current)'!E27</f>
        <v>0.22575226862256065</v>
      </c>
      <c r="F28" s="47">
        <f>+F27/'Test Year Monthly - (Current)'!F27</f>
        <v>0.19565288603044848</v>
      </c>
      <c r="G28" s="47">
        <f>+G27/'Test Year Monthly - (Current)'!G27</f>
        <v>0.19145801488662448</v>
      </c>
      <c r="H28" s="47">
        <f>+H27/'Test Year Monthly - (Current)'!H27</f>
        <v>0.19190436123207985</v>
      </c>
      <c r="I28" s="47">
        <f>+I27/'Test Year Monthly - (Current)'!I27</f>
        <v>0.19028267372776975</v>
      </c>
      <c r="J28" s="47">
        <f>+J27/'Test Year Monthly - (Current)'!J27</f>
        <v>0.20703462795737659</v>
      </c>
      <c r="K28" s="47">
        <f>+K27/'Test Year Monthly - (Current)'!K27</f>
        <v>0.26788340617511508</v>
      </c>
      <c r="L28" s="47">
        <f>+L27/'Test Year Monthly - (Current)'!L27</f>
        <v>0.30580194439135933</v>
      </c>
      <c r="M28" s="47">
        <f>+M27/'Test Year Monthly - (Current)'!M27</f>
        <v>0.31927066587369729</v>
      </c>
      <c r="N28" s="47">
        <f>+N27/'Test Year Monthly - (Current)'!N27</f>
        <v>0.32600263082947317</v>
      </c>
      <c r="O28" s="47">
        <f>+O27/'Test Year Monthly - (Current)'!O27</f>
        <v>0.29870781693759124</v>
      </c>
      <c r="P28" s="47">
        <f>+P27/'Test Year Monthly - (Current)'!P27</f>
        <v>0.26219321594738432</v>
      </c>
      <c r="Q28" s="34"/>
      <c r="R28" s="34"/>
      <c r="S28" s="28"/>
    </row>
    <row r="29" spans="1:19" x14ac:dyDescent="0.2">
      <c r="A29" s="5">
        <v>18</v>
      </c>
      <c r="D29" s="35"/>
      <c r="P29" s="2"/>
      <c r="Q29" s="2"/>
      <c r="R29" s="2"/>
      <c r="S29" s="28"/>
    </row>
    <row r="30" spans="1:19" x14ac:dyDescent="0.2">
      <c r="A30" s="5">
        <v>19</v>
      </c>
      <c r="B30" s="21" t="s">
        <v>32</v>
      </c>
      <c r="C30" s="31"/>
      <c r="D30" s="22">
        <f>+'Test Year Monthly - (Prop)'!D30-'Test Year Monthly - (Current)'!D30</f>
        <v>33209.792991519993</v>
      </c>
      <c r="E30" s="22">
        <f>+'Test Year Monthly - (Prop)'!E30-'Test Year Monthly - (Current)'!E30</f>
        <v>33550.108123400001</v>
      </c>
      <c r="F30" s="22">
        <f>+'Test Year Monthly - (Prop)'!F30-'Test Year Monthly - (Current)'!F30</f>
        <v>13474.208618680001</v>
      </c>
      <c r="G30" s="22">
        <f>+'Test Year Monthly - (Prop)'!G30-'Test Year Monthly - (Current)'!G30</f>
        <v>11994.112598960004</v>
      </c>
      <c r="H30" s="22">
        <f>+'Test Year Monthly - (Prop)'!H30-'Test Year Monthly - (Current)'!H30</f>
        <v>15125.585339680001</v>
      </c>
      <c r="I30" s="22">
        <f>+'Test Year Monthly - (Prop)'!I30-'Test Year Monthly - (Current)'!I30</f>
        <v>14246.228554400004</v>
      </c>
      <c r="J30" s="22">
        <f>+'Test Year Monthly - (Prop)'!J30-'Test Year Monthly - (Current)'!J30</f>
        <v>16541.27054356</v>
      </c>
      <c r="K30" s="22">
        <f>+'Test Year Monthly - (Prop)'!K30-'Test Year Monthly - (Current)'!K30</f>
        <v>29785.913079559992</v>
      </c>
      <c r="L30" s="22">
        <f>+'Test Year Monthly - (Prop)'!L30-'Test Year Monthly - (Current)'!L30</f>
        <v>47256.738093199994</v>
      </c>
      <c r="M30" s="22">
        <f>+'Test Year Monthly - (Prop)'!M30-'Test Year Monthly - (Current)'!M30</f>
        <v>75293.40398623998</v>
      </c>
      <c r="N30" s="22">
        <f>+'Test Year Monthly - (Prop)'!N30-'Test Year Monthly - (Current)'!N30</f>
        <v>70562.885612520011</v>
      </c>
      <c r="O30" s="22">
        <f>+'Test Year Monthly - (Prop)'!O30-'Test Year Monthly - (Current)'!O30</f>
        <v>45080.280289760005</v>
      </c>
      <c r="P30" s="22">
        <f>+'Test Year Monthly - (Prop)'!P30-'Test Year Monthly - (Current)'!P30</f>
        <v>406120.52783148037</v>
      </c>
      <c r="Q30" s="23"/>
      <c r="R30" s="23"/>
      <c r="S30" s="24"/>
    </row>
    <row r="31" spans="1:19" x14ac:dyDescent="0.2">
      <c r="A31" s="5">
        <v>20</v>
      </c>
      <c r="B31" s="1" t="s">
        <v>25</v>
      </c>
      <c r="C31" s="26">
        <f>C22</f>
        <v>75</v>
      </c>
      <c r="D31" s="2">
        <v>213</v>
      </c>
      <c r="E31" s="2">
        <v>212</v>
      </c>
      <c r="F31" s="2">
        <v>210</v>
      </c>
      <c r="G31" s="2">
        <v>203</v>
      </c>
      <c r="H31" s="2">
        <v>215</v>
      </c>
      <c r="I31" s="2">
        <v>208</v>
      </c>
      <c r="J31" s="2">
        <v>210</v>
      </c>
      <c r="K31" s="2">
        <v>213</v>
      </c>
      <c r="L31" s="2">
        <v>208</v>
      </c>
      <c r="M31" s="2">
        <v>205</v>
      </c>
      <c r="N31" s="2">
        <v>212</v>
      </c>
      <c r="O31" s="2">
        <v>215</v>
      </c>
      <c r="P31" s="2">
        <f>ROUND((SUM(D31:O31)),0)</f>
        <v>2524</v>
      </c>
      <c r="Q31" s="22">
        <f>+'Test Year Monthly - (Prop)'!Q31-'Test Year Monthly - (Current)'!Q31</f>
        <v>22716</v>
      </c>
      <c r="R31" s="45">
        <f>IF('Test Year Monthly - (Current)'!Q31=0,0,+Q31/'Test Year Monthly - (Current)'!Q31)</f>
        <v>0.13636363636363635</v>
      </c>
      <c r="S31" s="28"/>
    </row>
    <row r="32" spans="1:19" x14ac:dyDescent="0.2">
      <c r="A32" s="5">
        <v>21</v>
      </c>
      <c r="B32" s="1" t="s">
        <v>26</v>
      </c>
      <c r="C32" s="31">
        <f>C23</f>
        <v>2.2951000000000001</v>
      </c>
      <c r="D32" s="2">
        <v>27357.7264</v>
      </c>
      <c r="E32" s="2">
        <v>16429.903000000002</v>
      </c>
      <c r="F32" s="2">
        <v>9573.3551000000007</v>
      </c>
      <c r="G32" s="2">
        <v>8454.1347000000005</v>
      </c>
      <c r="H32" s="2">
        <v>8648.4575999999997</v>
      </c>
      <c r="I32" s="2">
        <v>9242.5805</v>
      </c>
      <c r="J32" s="2">
        <v>10822.866699999995</v>
      </c>
      <c r="K32" s="2">
        <v>23510.049699999996</v>
      </c>
      <c r="L32" s="2">
        <v>34112.761500000008</v>
      </c>
      <c r="M32" s="2">
        <v>43948.126800000005</v>
      </c>
      <c r="N32" s="2">
        <v>45008.453900000015</v>
      </c>
      <c r="O32" s="2">
        <v>34440.155699999996</v>
      </c>
      <c r="P32" s="2">
        <f>SUM(D32:O32)</f>
        <v>271548.57160000002</v>
      </c>
      <c r="Q32" s="22">
        <f>+'Test Year Monthly - (Prop)'!Q32-'Test Year Monthly - (Current)'!Q32</f>
        <v>202792</v>
      </c>
      <c r="R32" s="45">
        <f>IF('Test Year Monthly - (Current)'!Q32=0,0,+Q32/'Test Year Monthly - (Current)'!Q32)</f>
        <v>0.48233394142788849</v>
      </c>
      <c r="S32" s="28"/>
    </row>
    <row r="33" spans="1:19" x14ac:dyDescent="0.2">
      <c r="A33" s="5">
        <v>22</v>
      </c>
      <c r="B33" s="1" t="s">
        <v>27</v>
      </c>
      <c r="C33" s="31">
        <f>C24</f>
        <v>1.5952999999999999</v>
      </c>
      <c r="D33" s="2">
        <v>20924.759999999998</v>
      </c>
      <c r="E33" s="2">
        <v>37318.93</v>
      </c>
      <c r="F33" s="2">
        <v>8543.2999999999993</v>
      </c>
      <c r="G33" s="2">
        <v>7423.55</v>
      </c>
      <c r="H33" s="2">
        <v>12968.44</v>
      </c>
      <c r="I33" s="2">
        <v>10541.07</v>
      </c>
      <c r="J33" s="2">
        <v>12654.12</v>
      </c>
      <c r="K33" s="2">
        <v>19864.396000000001</v>
      </c>
      <c r="L33" s="2">
        <v>38353.549999999996</v>
      </c>
      <c r="M33" s="2">
        <v>78266.12</v>
      </c>
      <c r="N33" s="2">
        <v>67506.399999999994</v>
      </c>
      <c r="O33" s="2">
        <v>33568.43</v>
      </c>
      <c r="P33" s="2">
        <f>SUM(D33:O33)</f>
        <v>347933.06599999999</v>
      </c>
      <c r="Q33" s="22">
        <f>+'Test Year Monthly - (Prop)'!Q33-'Test Year Monthly - (Current)'!Q33</f>
        <v>180612</v>
      </c>
      <c r="R33" s="45">
        <f>IF('Test Year Monthly - (Current)'!Q33=0,0,+Q33/'Test Year Monthly - (Current)'!Q33)</f>
        <v>0.48234458373169964</v>
      </c>
      <c r="S33" s="28"/>
    </row>
    <row r="34" spans="1:19" x14ac:dyDescent="0.2">
      <c r="A34" s="5">
        <v>23</v>
      </c>
      <c r="B34" s="1" t="s">
        <v>28</v>
      </c>
      <c r="C34" s="31">
        <f>C25</f>
        <v>1.3174999999999999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f>SUM(D34:O34)</f>
        <v>0</v>
      </c>
      <c r="Q34" s="22">
        <f>+'Test Year Monthly - (Prop)'!Q34-'Test Year Monthly - (Current)'!Q34</f>
        <v>0</v>
      </c>
      <c r="R34" s="45">
        <f>IF('Test Year Monthly - (Current)'!Q34=0,0,+Q34/'Test Year Monthly - (Current)'!Q34)</f>
        <v>0</v>
      </c>
      <c r="S34" s="28"/>
    </row>
    <row r="35" spans="1:19" x14ac:dyDescent="0.2">
      <c r="A35" s="5">
        <v>24</v>
      </c>
      <c r="B35" s="32" t="s">
        <v>29</v>
      </c>
      <c r="C35" s="32"/>
      <c r="D35" s="33">
        <f t="shared" ref="D35:P35" si="4">D32+D33+D34</f>
        <v>48282.486399999994</v>
      </c>
      <c r="E35" s="33">
        <f t="shared" si="4"/>
        <v>53748.832999999999</v>
      </c>
      <c r="F35" s="33">
        <f t="shared" si="4"/>
        <v>18116.6551</v>
      </c>
      <c r="G35" s="33">
        <f t="shared" si="4"/>
        <v>15877.684700000002</v>
      </c>
      <c r="H35" s="33">
        <f t="shared" si="4"/>
        <v>21616.8976</v>
      </c>
      <c r="I35" s="33">
        <f t="shared" si="4"/>
        <v>19783.6505</v>
      </c>
      <c r="J35" s="33">
        <f t="shared" si="4"/>
        <v>23476.986699999994</v>
      </c>
      <c r="K35" s="33">
        <f t="shared" si="4"/>
        <v>43374.445699999997</v>
      </c>
      <c r="L35" s="33">
        <f t="shared" si="4"/>
        <v>72466.311500000011</v>
      </c>
      <c r="M35" s="33">
        <f t="shared" si="4"/>
        <v>122214.24679999999</v>
      </c>
      <c r="N35" s="33">
        <f t="shared" si="4"/>
        <v>112514.85390000002</v>
      </c>
      <c r="O35" s="33">
        <f t="shared" si="4"/>
        <v>68008.585699999996</v>
      </c>
      <c r="P35" s="33">
        <f t="shared" si="4"/>
        <v>619481.63760000002</v>
      </c>
      <c r="Q35" s="33">
        <f>SUM(Q31:Q34)</f>
        <v>406120</v>
      </c>
      <c r="R35" s="46">
        <f>IF('Test Year Monthly - (Current)'!Q35=0,0,+Q35/'Test Year Monthly - (Current)'!Q35)</f>
        <v>0.42239531383747164</v>
      </c>
      <c r="S35" s="28"/>
    </row>
    <row r="36" spans="1:19" x14ac:dyDescent="0.2">
      <c r="A36" s="5">
        <v>25</v>
      </c>
      <c r="B36" s="1" t="s">
        <v>69</v>
      </c>
      <c r="D36" s="26">
        <f>+D30/D31</f>
        <v>155.91452108694833</v>
      </c>
      <c r="E36" s="26">
        <f t="shared" ref="E36:P36" si="5">+E30/E31</f>
        <v>158.25522699716981</v>
      </c>
      <c r="F36" s="26">
        <f t="shared" si="5"/>
        <v>64.162898184190482</v>
      </c>
      <c r="G36" s="26">
        <f t="shared" si="5"/>
        <v>59.084298517044353</v>
      </c>
      <c r="H36" s="26">
        <f t="shared" si="5"/>
        <v>70.351559719441866</v>
      </c>
      <c r="I36" s="26">
        <f t="shared" si="5"/>
        <v>68.491483434615404</v>
      </c>
      <c r="J36" s="26">
        <f t="shared" si="5"/>
        <v>78.767954969333331</v>
      </c>
      <c r="K36" s="26">
        <f t="shared" si="5"/>
        <v>139.83996750967131</v>
      </c>
      <c r="L36" s="26">
        <f t="shared" si="5"/>
        <v>227.19585621730766</v>
      </c>
      <c r="M36" s="26">
        <f t="shared" si="5"/>
        <v>367.28489749385358</v>
      </c>
      <c r="N36" s="26">
        <f t="shared" si="5"/>
        <v>332.84380005905666</v>
      </c>
      <c r="O36" s="26">
        <f t="shared" si="5"/>
        <v>209.67572227795353</v>
      </c>
      <c r="P36" s="26">
        <f t="shared" si="5"/>
        <v>160.90353717570537</v>
      </c>
      <c r="Q36" s="26"/>
      <c r="R36" s="26"/>
      <c r="S36" s="28"/>
    </row>
    <row r="37" spans="1:19" x14ac:dyDescent="0.2">
      <c r="A37" s="5">
        <v>26</v>
      </c>
      <c r="B37" s="1" t="s">
        <v>70</v>
      </c>
      <c r="D37" s="47">
        <f>+D36/'Test Year Monthly - (Current)'!D36</f>
        <v>0.42072225454175161</v>
      </c>
      <c r="E37" s="47">
        <f>+E36/'Test Year Monthly - (Current)'!E36</f>
        <v>0.42152056722885106</v>
      </c>
      <c r="F37" s="47">
        <f>+F36/'Test Year Monthly - (Current)'!F36</f>
        <v>0.35573847953561749</v>
      </c>
      <c r="G37" s="47">
        <f>+G36/'Test Year Monthly - (Current)'!G36</f>
        <v>0.34788977150196465</v>
      </c>
      <c r="H37" s="47">
        <f>+H36/'Test Year Monthly - (Current)'!H36</f>
        <v>0.36414690600082839</v>
      </c>
      <c r="I37" s="47">
        <f>+I36/'Test Year Monthly - (Current)'!I36</f>
        <v>0.3617392778834313</v>
      </c>
      <c r="J37" s="47">
        <f>+J36/'Test Year Monthly - (Current)'!J36</f>
        <v>0.37393733032123078</v>
      </c>
      <c r="K37" s="47">
        <f>+K36/'Test Year Monthly - (Current)'!K36</f>
        <v>0.41463380563800795</v>
      </c>
      <c r="L37" s="47">
        <f>+L36/'Test Year Monthly - (Current)'!L36</f>
        <v>0.43828930416753753</v>
      </c>
      <c r="M37" s="47">
        <f>+M36/'Test Year Monthly - (Current)'!M36</f>
        <v>0.45410848337416448</v>
      </c>
      <c r="N37" s="47">
        <f>+N36/'Test Year Monthly - (Current)'!N36</f>
        <v>0.45137431992985544</v>
      </c>
      <c r="O37" s="47">
        <f>+O36/'Test Year Monthly - (Current)'!O36</f>
        <v>0.43496974147141959</v>
      </c>
      <c r="P37" s="47">
        <f>+P36/'Test Year Monthly - (Current)'!P36</f>
        <v>0.42239620591728466</v>
      </c>
      <c r="Q37" s="34"/>
      <c r="R37" s="34"/>
      <c r="S37" s="28"/>
    </row>
    <row r="38" spans="1:19" x14ac:dyDescent="0.2">
      <c r="A38" s="5">
        <v>27</v>
      </c>
      <c r="D38" s="35"/>
      <c r="R38" s="1"/>
      <c r="S38" s="28"/>
    </row>
    <row r="39" spans="1:19" x14ac:dyDescent="0.2">
      <c r="A39" s="5">
        <v>28</v>
      </c>
      <c r="B39" s="21" t="s">
        <v>33</v>
      </c>
      <c r="C39" s="31"/>
      <c r="D39" s="22">
        <f>+'Test Year Monthly - (Prop)'!D39-'Test Year Monthly - (Current)'!D39</f>
        <v>71597.300240209966</v>
      </c>
      <c r="E39" s="22">
        <f>+'Test Year Monthly - (Prop)'!E39-'Test Year Monthly - (Current)'!E39</f>
        <v>46479.782874732628</v>
      </c>
      <c r="F39" s="22">
        <f>+'Test Year Monthly - (Prop)'!F39-'Test Year Monthly - (Current)'!F39</f>
        <v>32077.119635801821</v>
      </c>
      <c r="G39" s="22">
        <f>+'Test Year Monthly - (Prop)'!G39-'Test Year Monthly - (Current)'!G39</f>
        <v>30788.224404882523</v>
      </c>
      <c r="H39" s="22">
        <f>+'Test Year Monthly - (Prop)'!H39-'Test Year Monthly - (Current)'!H39</f>
        <v>30861.357684663526</v>
      </c>
      <c r="I39" s="22">
        <f>+'Test Year Monthly - (Prop)'!I39-'Test Year Monthly - (Current)'!I39</f>
        <v>31578.992580300983</v>
      </c>
      <c r="J39" s="22">
        <f>+'Test Year Monthly - (Prop)'!J39-'Test Year Monthly - (Current)'!J39</f>
        <v>39315.060316569696</v>
      </c>
      <c r="K39" s="22">
        <f>+'Test Year Monthly - (Prop)'!K39-'Test Year Monthly - (Current)'!K39</f>
        <v>73137.404978853738</v>
      </c>
      <c r="L39" s="22">
        <f>+'Test Year Monthly - (Prop)'!L39-'Test Year Monthly - (Current)'!L39</f>
        <v>107487.17304850544</v>
      </c>
      <c r="M39" s="22">
        <f>+'Test Year Monthly - (Prop)'!M39-'Test Year Monthly - (Current)'!M39</f>
        <v>122900.03958775161</v>
      </c>
      <c r="N39" s="22">
        <f>+'Test Year Monthly - (Prop)'!N39-'Test Year Monthly - (Current)'!N39</f>
        <v>130347.46693883243</v>
      </c>
      <c r="O39" s="22">
        <f>+'Test Year Monthly - (Prop)'!O39-'Test Year Monthly - (Current)'!O39</f>
        <v>99658.090495008102</v>
      </c>
      <c r="P39" s="22">
        <f>+'Test Year Monthly - (Prop)'!P39-'Test Year Monthly - (Current)'!P39</f>
        <v>816228.01278611226</v>
      </c>
      <c r="Q39" s="23"/>
      <c r="R39" s="23"/>
      <c r="S39" s="24"/>
    </row>
    <row r="40" spans="1:19" x14ac:dyDescent="0.2">
      <c r="A40" s="5">
        <v>29</v>
      </c>
      <c r="B40" s="1" t="s">
        <v>25</v>
      </c>
      <c r="C40" s="26">
        <f>C31</f>
        <v>75</v>
      </c>
      <c r="D40" s="2">
        <v>1504</v>
      </c>
      <c r="E40" s="2">
        <v>1513</v>
      </c>
      <c r="F40" s="2">
        <v>1483</v>
      </c>
      <c r="G40" s="2">
        <v>1490</v>
      </c>
      <c r="H40" s="2">
        <v>1493</v>
      </c>
      <c r="I40" s="2">
        <v>1496</v>
      </c>
      <c r="J40" s="2">
        <v>1504</v>
      </c>
      <c r="K40" s="2">
        <v>1502</v>
      </c>
      <c r="L40" s="2">
        <v>1507</v>
      </c>
      <c r="M40" s="2">
        <v>1516</v>
      </c>
      <c r="N40" s="2">
        <v>1503</v>
      </c>
      <c r="O40" s="2">
        <v>1507</v>
      </c>
      <c r="P40" s="2">
        <f>ROUND((SUM(D40:O40)),0)</f>
        <v>18018</v>
      </c>
      <c r="Q40" s="22">
        <f>+'Test Year Monthly - (Prop)'!Q40-'Test Year Monthly - (Current)'!Q40</f>
        <v>162162</v>
      </c>
      <c r="R40" s="45">
        <f>IF('Test Year Monthly - (Current)'!Q40=0,0,+Q40/'Test Year Monthly - (Current)'!Q40)</f>
        <v>0.13636363636363635</v>
      </c>
      <c r="S40" s="28"/>
    </row>
    <row r="41" spans="1:19" x14ac:dyDescent="0.2">
      <c r="A41" s="5">
        <v>30</v>
      </c>
      <c r="B41" s="1" t="s">
        <v>26</v>
      </c>
      <c r="C41" s="31">
        <f>C32</f>
        <v>2.2951000000000001</v>
      </c>
      <c r="D41" s="2">
        <v>72573.374250856432</v>
      </c>
      <c r="E41" s="2">
        <v>39286.905960354146</v>
      </c>
      <c r="F41" s="2">
        <v>22475.558414676387</v>
      </c>
      <c r="G41" s="2">
        <v>21359.171345509516</v>
      </c>
      <c r="H41" s="2">
        <v>21453.343795799363</v>
      </c>
      <c r="I41" s="2">
        <v>23642.721399916503</v>
      </c>
      <c r="J41" s="2">
        <v>31613.699163898465</v>
      </c>
      <c r="K41" s="2">
        <v>73414.031412576674</v>
      </c>
      <c r="L41" s="2">
        <v>114685.50792167516</v>
      </c>
      <c r="M41" s="2">
        <v>124978.36002113133</v>
      </c>
      <c r="N41" s="2">
        <v>134401.31441577696</v>
      </c>
      <c r="O41" s="2">
        <v>105739.11486968872</v>
      </c>
      <c r="P41" s="2">
        <f>SUM(D41:O41)</f>
        <v>785623.10297185974</v>
      </c>
      <c r="Q41" s="22">
        <f>+'Test Year Monthly - (Prop)'!Q41-'Test Year Monthly - (Current)'!Q41</f>
        <v>586704</v>
      </c>
      <c r="R41" s="45">
        <f>IF('Test Year Monthly - (Current)'!Q41=0,0,+Q41/'Test Year Monthly - (Current)'!Q41)</f>
        <v>0.48233611207024119</v>
      </c>
      <c r="S41" s="28"/>
    </row>
    <row r="42" spans="1:19" x14ac:dyDescent="0.2">
      <c r="A42" s="5">
        <v>31</v>
      </c>
      <c r="B42" s="1" t="s">
        <v>27</v>
      </c>
      <c r="C42" s="31">
        <f>C33</f>
        <v>1.5952999999999999</v>
      </c>
      <c r="D42" s="2">
        <v>7442.6976491435726</v>
      </c>
      <c r="E42" s="2">
        <v>6787.3656396458537</v>
      </c>
      <c r="F42" s="2">
        <v>3747.5873853236103</v>
      </c>
      <c r="G42" s="2">
        <v>2749.3647544904838</v>
      </c>
      <c r="H42" s="2">
        <v>2702.7558042006376</v>
      </c>
      <c r="I42" s="2">
        <v>883.46800008349476</v>
      </c>
      <c r="J42" s="2">
        <v>4180.2153361015362</v>
      </c>
      <c r="K42" s="2">
        <v>9234.8416874233153</v>
      </c>
      <c r="L42" s="2">
        <v>15944.973478324855</v>
      </c>
      <c r="M42" s="2">
        <v>30672.703378868671</v>
      </c>
      <c r="N42" s="2">
        <v>31688.625184223063</v>
      </c>
      <c r="O42" s="2">
        <v>13733.614930311276</v>
      </c>
      <c r="P42" s="2">
        <f>SUM(D42:O42)</f>
        <v>129768.21322814038</v>
      </c>
      <c r="Q42" s="22">
        <f>+'Test Year Monthly - (Prop)'!Q42-'Test Year Monthly - (Current)'!Q42</f>
        <v>67362</v>
      </c>
      <c r="R42" s="45">
        <f>IF('Test Year Monthly - (Current)'!Q42=0,0,+Q42/'Test Year Monthly - (Current)'!Q42)</f>
        <v>0.48233887309622864</v>
      </c>
      <c r="S42" s="28"/>
    </row>
    <row r="43" spans="1:19" x14ac:dyDescent="0.2">
      <c r="A43" s="5">
        <v>32</v>
      </c>
      <c r="B43" s="1" t="s">
        <v>28</v>
      </c>
      <c r="C43" s="31">
        <f>C34</f>
        <v>1.3174999999999999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f>SUM(D43:O43)</f>
        <v>0</v>
      </c>
      <c r="Q43" s="22">
        <f>+'Test Year Monthly - (Prop)'!Q43-'Test Year Monthly - (Current)'!Q43</f>
        <v>0</v>
      </c>
      <c r="R43" s="45">
        <f>IF('Test Year Monthly - (Current)'!Q43=0,0,+Q43/'Test Year Monthly - (Current)'!Q43)</f>
        <v>0</v>
      </c>
      <c r="S43" s="28"/>
    </row>
    <row r="44" spans="1:19" x14ac:dyDescent="0.2">
      <c r="A44" s="5">
        <v>33</v>
      </c>
      <c r="B44" s="32" t="s">
        <v>29</v>
      </c>
      <c r="C44" s="32"/>
      <c r="D44" s="33">
        <f t="shared" ref="D44:P44" si="6">D41+D42+D43</f>
        <v>80016.07190000001</v>
      </c>
      <c r="E44" s="33">
        <f t="shared" si="6"/>
        <v>46074.2716</v>
      </c>
      <c r="F44" s="33">
        <f t="shared" si="6"/>
        <v>26223.145799999998</v>
      </c>
      <c r="G44" s="33">
        <f t="shared" si="6"/>
        <v>24108.536100000001</v>
      </c>
      <c r="H44" s="33">
        <f t="shared" si="6"/>
        <v>24156.099600000001</v>
      </c>
      <c r="I44" s="33">
        <f t="shared" si="6"/>
        <v>24526.189399999999</v>
      </c>
      <c r="J44" s="33">
        <f t="shared" si="6"/>
        <v>35793.914499999999</v>
      </c>
      <c r="K44" s="33">
        <f t="shared" si="6"/>
        <v>82648.873099999997</v>
      </c>
      <c r="L44" s="33">
        <f t="shared" si="6"/>
        <v>130630.48140000002</v>
      </c>
      <c r="M44" s="33">
        <f t="shared" si="6"/>
        <v>155651.06340000001</v>
      </c>
      <c r="N44" s="33">
        <f t="shared" si="6"/>
        <v>166089.93960000001</v>
      </c>
      <c r="O44" s="33">
        <f t="shared" si="6"/>
        <v>119472.7298</v>
      </c>
      <c r="P44" s="33">
        <f t="shared" si="6"/>
        <v>915391.31620000012</v>
      </c>
      <c r="Q44" s="33">
        <f>SUM(Q40:Q43)</f>
        <v>816228</v>
      </c>
      <c r="R44" s="46">
        <f>IF('Test Year Monthly - (Current)'!Q44=0,0,+Q44/'Test Year Monthly - (Current)'!Q44)</f>
        <v>0.32068991935879931</v>
      </c>
      <c r="S44" s="28"/>
    </row>
    <row r="45" spans="1:19" x14ac:dyDescent="0.2">
      <c r="A45" s="5">
        <v>34</v>
      </c>
      <c r="B45" s="1" t="s">
        <v>69</v>
      </c>
      <c r="D45" s="26">
        <f>+D39/D40</f>
        <v>47.604587925671517</v>
      </c>
      <c r="E45" s="26">
        <f t="shared" ref="E45:P45" si="7">+E39/E40</f>
        <v>30.720279494205307</v>
      </c>
      <c r="F45" s="26">
        <f t="shared" si="7"/>
        <v>21.629885121916264</v>
      </c>
      <c r="G45" s="26">
        <f t="shared" si="7"/>
        <v>20.663237855625855</v>
      </c>
      <c r="H45" s="26">
        <f t="shared" si="7"/>
        <v>20.670701731187894</v>
      </c>
      <c r="I45" s="26">
        <f t="shared" si="7"/>
        <v>21.10895225955948</v>
      </c>
      <c r="J45" s="26">
        <f t="shared" si="7"/>
        <v>26.14033265729368</v>
      </c>
      <c r="K45" s="26">
        <f t="shared" si="7"/>
        <v>48.693345525202226</v>
      </c>
      <c r="L45" s="26">
        <f t="shared" si="7"/>
        <v>71.325264133049401</v>
      </c>
      <c r="M45" s="26">
        <f t="shared" si="7"/>
        <v>81.068627696406082</v>
      </c>
      <c r="N45" s="26">
        <f t="shared" si="7"/>
        <v>86.72486156941612</v>
      </c>
      <c r="O45" s="26">
        <f t="shared" si="7"/>
        <v>66.130119771073723</v>
      </c>
      <c r="P45" s="26">
        <f t="shared" si="7"/>
        <v>45.300700010329244</v>
      </c>
      <c r="Q45" s="26"/>
      <c r="R45" s="26"/>
      <c r="S45" s="28"/>
    </row>
    <row r="46" spans="1:19" x14ac:dyDescent="0.2">
      <c r="A46" s="5">
        <v>35</v>
      </c>
      <c r="B46" s="1" t="s">
        <v>70</v>
      </c>
      <c r="D46" s="47">
        <f>+D45/'Test Year Monthly - (Current)'!D45</f>
        <v>0.32597689583867023</v>
      </c>
      <c r="E46" s="47">
        <f>+E45/'Test Year Monthly - (Current)'!E45</f>
        <v>0.27668105383588232</v>
      </c>
      <c r="F46" s="47">
        <f>+F45/'Test Year Monthly - (Current)'!F45</f>
        <v>0.23463613055406857</v>
      </c>
      <c r="G46" s="47">
        <f>+G45/'Test Year Monthly - (Current)'!G45</f>
        <v>0.22913143829054791</v>
      </c>
      <c r="H46" s="47">
        <f>+H45/'Test Year Monthly - (Current)'!H45</f>
        <v>0.22917487712312121</v>
      </c>
      <c r="I46" s="47">
        <f>+I45/'Test Year Monthly - (Current)'!I45</f>
        <v>0.23169961569243533</v>
      </c>
      <c r="J46" s="47">
        <f>+J45/'Test Year Monthly - (Current)'!J45</f>
        <v>0.25744875255405247</v>
      </c>
      <c r="K46" s="47">
        <f>+K45/'Test Year Monthly - (Current)'!K45</f>
        <v>0.32835697207053144</v>
      </c>
      <c r="L46" s="47">
        <f>+L45/'Test Year Monthly - (Current)'!L45</f>
        <v>0.36536706413151332</v>
      </c>
      <c r="M46" s="47">
        <f>+M45/'Test Year Monthly - (Current)'!M45</f>
        <v>0.37633602388371656</v>
      </c>
      <c r="N46" s="47">
        <f>+N45/'Test Year Monthly - (Current)'!N45</f>
        <v>0.3818085293021361</v>
      </c>
      <c r="O46" s="47">
        <f>+O45/'Test Year Monthly - (Current)'!O45</f>
        <v>0.35853652285126975</v>
      </c>
      <c r="P46" s="47">
        <f>+P45/'Test Year Monthly - (Current)'!P45</f>
        <v>0.32068994940437306</v>
      </c>
      <c r="Q46" s="34"/>
      <c r="R46" s="34"/>
      <c r="S46" s="28"/>
    </row>
    <row r="47" spans="1:19" x14ac:dyDescent="0.2">
      <c r="A47" s="5">
        <v>36</v>
      </c>
      <c r="D47" s="35"/>
      <c r="R47" s="1"/>
      <c r="S47" s="28"/>
    </row>
    <row r="48" spans="1:19" x14ac:dyDescent="0.2">
      <c r="A48" s="5">
        <v>37</v>
      </c>
      <c r="B48" s="21" t="s">
        <v>34</v>
      </c>
      <c r="D48" s="22">
        <f>+'Test Year Monthly - (Prop)'!D48-'Test Year Monthly - (Current)'!D48</f>
        <v>679.67079708000028</v>
      </c>
      <c r="E48" s="22">
        <f>+'Test Year Monthly - (Prop)'!E48-'Test Year Monthly - (Current)'!E48</f>
        <v>795.16419213000017</v>
      </c>
      <c r="F48" s="22">
        <f>+'Test Year Monthly - (Prop)'!F48-'Test Year Monthly - (Current)'!F48</f>
        <v>350.15654586000005</v>
      </c>
      <c r="G48" s="22">
        <f>+'Test Year Monthly - (Prop)'!G48-'Test Year Monthly - (Current)'!G48</f>
        <v>336.48012552</v>
      </c>
      <c r="H48" s="22">
        <f>+'Test Year Monthly - (Prop)'!H48-'Test Year Monthly - (Current)'!H48</f>
        <v>339.75431424000021</v>
      </c>
      <c r="I48" s="22">
        <f>+'Test Year Monthly - (Prop)'!I48-'Test Year Monthly - (Current)'!I48</f>
        <v>371.60933436000005</v>
      </c>
      <c r="J48" s="22">
        <f>+'Test Year Monthly - (Prop)'!J48-'Test Year Monthly - (Current)'!J48</f>
        <v>345.07487091000007</v>
      </c>
      <c r="K48" s="22">
        <f>+'Test Year Monthly - (Prop)'!K48-'Test Year Monthly - (Current)'!K48</f>
        <v>552.76128039000014</v>
      </c>
      <c r="L48" s="22">
        <f>+'Test Year Monthly - (Prop)'!L48-'Test Year Monthly - (Current)'!L48</f>
        <v>824.84959886999968</v>
      </c>
      <c r="M48" s="22">
        <f>+'Test Year Monthly - (Prop)'!M48-'Test Year Monthly - (Current)'!M48</f>
        <v>1000.8775547099999</v>
      </c>
      <c r="N48" s="22">
        <f>+'Test Year Monthly - (Prop)'!N48-'Test Year Monthly - (Current)'!N48</f>
        <v>1129.9054641599996</v>
      </c>
      <c r="O48" s="22">
        <f>+'Test Year Monthly - (Prop)'!O48-'Test Year Monthly - (Current)'!O48</f>
        <v>868.56947429999991</v>
      </c>
      <c r="P48" s="22">
        <f>+'Test Year Monthly - (Prop)'!P48-'Test Year Monthly - (Current)'!P48</f>
        <v>7594.8735525300071</v>
      </c>
      <c r="Q48" s="23"/>
      <c r="R48" s="23"/>
      <c r="S48" s="28"/>
    </row>
    <row r="49" spans="1:19" x14ac:dyDescent="0.2">
      <c r="A49" s="5">
        <v>38</v>
      </c>
      <c r="B49" s="1" t="s">
        <v>35</v>
      </c>
      <c r="C49" s="36">
        <v>685</v>
      </c>
      <c r="D49" s="2">
        <v>3</v>
      </c>
      <c r="E49" s="2">
        <v>4</v>
      </c>
      <c r="F49" s="2">
        <v>2</v>
      </c>
      <c r="G49" s="2">
        <v>2</v>
      </c>
      <c r="H49" s="2">
        <v>2</v>
      </c>
      <c r="I49" s="2">
        <v>2</v>
      </c>
      <c r="J49" s="2">
        <v>2</v>
      </c>
      <c r="K49" s="2">
        <v>3</v>
      </c>
      <c r="L49" s="2">
        <v>3</v>
      </c>
      <c r="M49" s="2">
        <v>3</v>
      </c>
      <c r="N49" s="2">
        <v>3</v>
      </c>
      <c r="O49" s="2">
        <v>3</v>
      </c>
      <c r="P49" s="2">
        <f>SUM(D49:O49)</f>
        <v>32</v>
      </c>
      <c r="Q49" s="22">
        <f>+'Test Year Monthly - (Prop)'!Q49-'Test Year Monthly - (Current)'!Q49</f>
        <v>5280</v>
      </c>
      <c r="R49" s="45">
        <f>IF('Test Year Monthly - (Current)'!Q49=0,0,+Q49/'Test Year Monthly - (Current)'!Q49)</f>
        <v>0.31730769230769229</v>
      </c>
      <c r="S49" s="28"/>
    </row>
    <row r="50" spans="1:19" x14ac:dyDescent="0.2">
      <c r="A50" s="5">
        <v>39</v>
      </c>
      <c r="B50" s="1" t="s">
        <v>36</v>
      </c>
      <c r="C50" s="31">
        <v>1.2955999999999999</v>
      </c>
      <c r="D50" s="2">
        <v>543.30920000000003</v>
      </c>
      <c r="E50" s="2">
        <v>397.65870000000001</v>
      </c>
      <c r="F50" s="2">
        <v>59.301400000000001</v>
      </c>
      <c r="G50" s="2">
        <v>19.064800000000002</v>
      </c>
      <c r="H50" s="2">
        <v>28.697600000000001</v>
      </c>
      <c r="I50" s="2">
        <v>122.4164</v>
      </c>
      <c r="J50" s="2">
        <v>44.350900000000003</v>
      </c>
      <c r="K50" s="2">
        <v>169.93610000000001</v>
      </c>
      <c r="L50" s="2">
        <v>970.43129999999996</v>
      </c>
      <c r="M50" s="2">
        <v>1488.3128999999999</v>
      </c>
      <c r="N50" s="2">
        <v>1867.9184</v>
      </c>
      <c r="O50" s="2">
        <v>1099.057</v>
      </c>
      <c r="P50" s="2">
        <f>SUM(C50:O50)</f>
        <v>6811.7503000000006</v>
      </c>
      <c r="Q50" s="22">
        <f>+'Test Year Monthly - (Prop)'!Q50-'Test Year Monthly - (Current)'!Q50</f>
        <v>2315</v>
      </c>
      <c r="R50" s="45">
        <f>IF('Test Year Monthly - (Current)'!Q50=0,0,+Q50/'Test Year Monthly - (Current)'!Q50)</f>
        <v>0.35560675883256526</v>
      </c>
      <c r="S50" s="28"/>
    </row>
    <row r="51" spans="1:19" x14ac:dyDescent="0.2">
      <c r="A51" s="5">
        <v>40</v>
      </c>
      <c r="B51" s="1" t="s">
        <v>28</v>
      </c>
      <c r="C51" s="31">
        <v>1.0624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f>SUM(C51:O51)</f>
        <v>1.0624</v>
      </c>
      <c r="Q51" s="22">
        <f>+'Test Year Monthly - (Prop)'!Q51-'Test Year Monthly - (Current)'!Q51</f>
        <v>0</v>
      </c>
      <c r="R51" s="45">
        <f>IF('Test Year Monthly - (Current)'!Q51=0,0,+Q51/'Test Year Monthly - (Current)'!Q51)</f>
        <v>0</v>
      </c>
      <c r="S51" s="28"/>
    </row>
    <row r="52" spans="1:19" x14ac:dyDescent="0.2">
      <c r="A52" s="5">
        <v>41</v>
      </c>
      <c r="B52" s="32" t="s">
        <v>29</v>
      </c>
      <c r="C52" s="32"/>
      <c r="D52" s="33">
        <f t="shared" ref="D52:P52" si="8">D50+D51</f>
        <v>543.30920000000003</v>
      </c>
      <c r="E52" s="33">
        <f t="shared" si="8"/>
        <v>397.65870000000001</v>
      </c>
      <c r="F52" s="33">
        <f t="shared" si="8"/>
        <v>59.301400000000001</v>
      </c>
      <c r="G52" s="33">
        <f t="shared" si="8"/>
        <v>19.064800000000002</v>
      </c>
      <c r="H52" s="33">
        <f t="shared" si="8"/>
        <v>28.697600000000001</v>
      </c>
      <c r="I52" s="33">
        <f t="shared" si="8"/>
        <v>122.4164</v>
      </c>
      <c r="J52" s="33">
        <f t="shared" si="8"/>
        <v>44.350900000000003</v>
      </c>
      <c r="K52" s="33">
        <f t="shared" si="8"/>
        <v>169.93610000000001</v>
      </c>
      <c r="L52" s="33">
        <f t="shared" si="8"/>
        <v>970.43129999999996</v>
      </c>
      <c r="M52" s="33">
        <f t="shared" si="8"/>
        <v>1488.3128999999999</v>
      </c>
      <c r="N52" s="33">
        <f t="shared" si="8"/>
        <v>1867.9184</v>
      </c>
      <c r="O52" s="33">
        <f t="shared" si="8"/>
        <v>1099.057</v>
      </c>
      <c r="P52" s="33">
        <f t="shared" si="8"/>
        <v>6812.8127000000004</v>
      </c>
      <c r="Q52" s="33">
        <f>SUM(Q49:Q51)</f>
        <v>7595</v>
      </c>
      <c r="R52" s="46">
        <f>IF('Test Year Monthly - (Current)'!Q52=0,0,+Q52/'Test Year Monthly - (Current)'!Q52)</f>
        <v>0.32806358256662776</v>
      </c>
      <c r="S52" s="28"/>
    </row>
    <row r="53" spans="1:19" x14ac:dyDescent="0.2">
      <c r="A53" s="5">
        <v>42</v>
      </c>
      <c r="B53" s="1" t="s">
        <v>69</v>
      </c>
      <c r="D53" s="26">
        <f>+D48/D49</f>
        <v>226.5569323600001</v>
      </c>
      <c r="E53" s="26">
        <f t="shared" ref="E53:P53" si="9">+E48/E49</f>
        <v>198.79104803250004</v>
      </c>
      <c r="F53" s="26">
        <f t="shared" si="9"/>
        <v>175.07827293000003</v>
      </c>
      <c r="G53" s="26">
        <f t="shared" si="9"/>
        <v>168.24006276</v>
      </c>
      <c r="H53" s="26">
        <f t="shared" si="9"/>
        <v>169.87715712000011</v>
      </c>
      <c r="I53" s="26">
        <f t="shared" si="9"/>
        <v>185.80466718000002</v>
      </c>
      <c r="J53" s="26">
        <f t="shared" si="9"/>
        <v>172.53743545500004</v>
      </c>
      <c r="K53" s="26">
        <f t="shared" si="9"/>
        <v>184.25376013000005</v>
      </c>
      <c r="L53" s="26">
        <f t="shared" si="9"/>
        <v>274.94986628999987</v>
      </c>
      <c r="M53" s="26">
        <f t="shared" si="9"/>
        <v>333.62585156999995</v>
      </c>
      <c r="N53" s="26">
        <f t="shared" si="9"/>
        <v>376.63515471999989</v>
      </c>
      <c r="O53" s="26">
        <f t="shared" si="9"/>
        <v>289.52315809999999</v>
      </c>
      <c r="P53" s="26">
        <f t="shared" si="9"/>
        <v>237.33979851656272</v>
      </c>
      <c r="Q53" s="26"/>
      <c r="R53" s="26"/>
      <c r="S53" s="28"/>
    </row>
    <row r="54" spans="1:19" x14ac:dyDescent="0.2">
      <c r="A54" s="5">
        <v>43</v>
      </c>
      <c r="B54" s="1" t="s">
        <v>70</v>
      </c>
      <c r="D54" s="47">
        <f>+D53/'Test Year Monthly - (Current)'!D53</f>
        <v>0.32688415005093835</v>
      </c>
      <c r="E54" s="47">
        <f>+E53/'Test Year Monthly - (Current)'!E53</f>
        <v>0.32323190275008562</v>
      </c>
      <c r="F54" s="47">
        <f>+F53/'Test Year Monthly - (Current)'!F53</f>
        <v>0.31928944677603222</v>
      </c>
      <c r="G54" s="47">
        <f>+G53/'Test Year Monthly - (Current)'!G53</f>
        <v>0.31796795807192185</v>
      </c>
      <c r="H54" s="47">
        <f>+H53/'Test Year Monthly - (Current)'!H53</f>
        <v>0.31829299635142816</v>
      </c>
      <c r="I54" s="47">
        <f>+I53/'Test Year Monthly - (Current)'!I53</f>
        <v>0.32118536657300145</v>
      </c>
      <c r="J54" s="47">
        <f>+J53/'Test Year Monthly - (Current)'!J53</f>
        <v>0.318809390968748</v>
      </c>
      <c r="K54" s="47">
        <f>+K53/'Test Year Monthly - (Current)'!K53</f>
        <v>0.32092355737289774</v>
      </c>
      <c r="L54" s="47">
        <f>+L53/'Test Year Monthly - (Current)'!L53</f>
        <v>0.33160566812806713</v>
      </c>
      <c r="M54" s="47">
        <f>+M53/'Test Year Monthly - (Current)'!M53</f>
        <v>0.33559685231973851</v>
      </c>
      <c r="N54" s="47">
        <f>+N53/'Test Year Monthly - (Current)'!N53</f>
        <v>0.33777224901659647</v>
      </c>
      <c r="O54" s="47">
        <f>+O53/'Test Year Monthly - (Current)'!O53</f>
        <v>0.33273822559162114</v>
      </c>
      <c r="P54" s="47">
        <f>+P53/'Test Year Monthly - (Current)'!P53</f>
        <v>0.32808998506454129</v>
      </c>
      <c r="Q54" s="34"/>
      <c r="R54" s="34"/>
      <c r="S54" s="28"/>
    </row>
    <row r="55" spans="1:19" x14ac:dyDescent="0.2">
      <c r="A55" s="5">
        <v>44</v>
      </c>
      <c r="D55" s="35"/>
      <c r="R55" s="1"/>
      <c r="S55" s="28"/>
    </row>
    <row r="56" spans="1:19" x14ac:dyDescent="0.2">
      <c r="A56" s="5">
        <v>45</v>
      </c>
      <c r="B56" s="21" t="s">
        <v>37</v>
      </c>
      <c r="D56" s="22">
        <f>+'Test Year Monthly - (Prop)'!D56-'Test Year Monthly - (Current)'!D56</f>
        <v>7333.2395486999994</v>
      </c>
      <c r="E56" s="22">
        <f>+'Test Year Monthly - (Prop)'!E56-'Test Year Monthly - (Current)'!E56</f>
        <v>6315.8697741000033</v>
      </c>
      <c r="F56" s="22">
        <f>+'Test Year Monthly - (Prop)'!F56-'Test Year Monthly - (Current)'!F56</f>
        <v>6104.8668251999989</v>
      </c>
      <c r="G56" s="22">
        <f>+'Test Year Monthly - (Prop)'!G56-'Test Year Monthly - (Current)'!G56</f>
        <v>3409.2211842000015</v>
      </c>
      <c r="H56" s="22">
        <f>+'Test Year Monthly - (Prop)'!H56-'Test Year Monthly - (Current)'!H56</f>
        <v>3763.9703669999999</v>
      </c>
      <c r="I56" s="22">
        <f>+'Test Year Monthly - (Prop)'!I56-'Test Year Monthly - (Current)'!I56</f>
        <v>4681.4663172</v>
      </c>
      <c r="J56" s="22">
        <f>+'Test Year Monthly - (Prop)'!J56-'Test Year Monthly - (Current)'!J56</f>
        <v>4312.5516453000018</v>
      </c>
      <c r="K56" s="22">
        <f>+'Test Year Monthly - (Prop)'!K56-'Test Year Monthly - (Current)'!K56</f>
        <v>5529.3476256000031</v>
      </c>
      <c r="L56" s="22">
        <f>+'Test Year Monthly - (Prop)'!L56-'Test Year Monthly - (Current)'!L56</f>
        <v>7159.3358297999985</v>
      </c>
      <c r="M56" s="22">
        <f>+'Test Year Monthly - (Prop)'!M56-'Test Year Monthly - (Current)'!M56</f>
        <v>7557.4880886000028</v>
      </c>
      <c r="N56" s="22">
        <f>+'Test Year Monthly - (Prop)'!N56-'Test Year Monthly - (Current)'!N56</f>
        <v>6843.1625598000028</v>
      </c>
      <c r="O56" s="22">
        <f>+'Test Year Monthly - (Prop)'!O56-'Test Year Monthly - (Current)'!O56</f>
        <v>7763.3698449000003</v>
      </c>
      <c r="P56" s="22">
        <f>+'Test Year Monthly - (Prop)'!P56-'Test Year Monthly - (Current)'!P56</f>
        <v>70773.889610399987</v>
      </c>
      <c r="Q56" s="23"/>
      <c r="R56" s="23"/>
      <c r="S56" s="28"/>
    </row>
    <row r="57" spans="1:19" x14ac:dyDescent="0.2">
      <c r="A57" s="5">
        <v>46</v>
      </c>
      <c r="B57" s="1" t="s">
        <v>35</v>
      </c>
      <c r="C57" s="36">
        <f>C49</f>
        <v>685</v>
      </c>
      <c r="D57" s="2">
        <v>6</v>
      </c>
      <c r="E57" s="2">
        <v>6</v>
      </c>
      <c r="F57" s="2">
        <v>6</v>
      </c>
      <c r="G57" s="2">
        <v>5</v>
      </c>
      <c r="H57" s="2">
        <v>5</v>
      </c>
      <c r="I57" s="2">
        <v>6</v>
      </c>
      <c r="J57" s="2">
        <v>6</v>
      </c>
      <c r="K57" s="2">
        <v>6</v>
      </c>
      <c r="L57" s="2">
        <v>5</v>
      </c>
      <c r="M57" s="2">
        <v>8</v>
      </c>
      <c r="N57" s="2">
        <v>8</v>
      </c>
      <c r="O57" s="2">
        <v>6</v>
      </c>
      <c r="P57" s="2">
        <f>ROUND((SUM(D57:O57)),0)</f>
        <v>73</v>
      </c>
      <c r="Q57" s="22">
        <f>+'Test Year Monthly - (Prop)'!Q57-'Test Year Monthly - (Current)'!Q57</f>
        <v>12045</v>
      </c>
      <c r="R57" s="45">
        <f>IF('Test Year Monthly - (Current)'!Q57=0,0,+Q57/'Test Year Monthly - (Current)'!Q57)</f>
        <v>0.31730769230769229</v>
      </c>
      <c r="S57" s="28"/>
    </row>
    <row r="58" spans="1:19" x14ac:dyDescent="0.2">
      <c r="A58" s="5">
        <v>47</v>
      </c>
      <c r="B58" s="1" t="s">
        <v>36</v>
      </c>
      <c r="C58" s="31">
        <f>C50</f>
        <v>1.2955999999999999</v>
      </c>
      <c r="D58" s="2">
        <v>2078.4</v>
      </c>
      <c r="E58" s="2">
        <v>2200.1999999999998</v>
      </c>
      <c r="F58" s="2">
        <v>1286</v>
      </c>
      <c r="G58" s="2">
        <v>1620.8219999999999</v>
      </c>
      <c r="H58" s="2">
        <v>2041.4</v>
      </c>
      <c r="I58" s="2">
        <v>2038.1</v>
      </c>
      <c r="J58" s="2">
        <v>1556.636</v>
      </c>
      <c r="K58" s="2">
        <v>1833.412</v>
      </c>
      <c r="L58" s="2">
        <v>1436.077</v>
      </c>
      <c r="M58" s="2">
        <v>1910.44</v>
      </c>
      <c r="N58" s="2">
        <v>1860.9</v>
      </c>
      <c r="O58" s="2">
        <v>2104.9</v>
      </c>
      <c r="P58" s="2">
        <f>SUM(C58:O58)</f>
        <v>21968.582600000002</v>
      </c>
      <c r="Q58" s="22">
        <f>+'Test Year Monthly - (Prop)'!Q58-'Test Year Monthly - (Current)'!Q58</f>
        <v>7467</v>
      </c>
      <c r="R58" s="45">
        <f>IF('Test Year Monthly - (Current)'!Q58=0,0,+Q58/'Test Year Monthly - (Current)'!Q58)</f>
        <v>0.35565610859728508</v>
      </c>
      <c r="S58" s="28"/>
    </row>
    <row r="59" spans="1:19" x14ac:dyDescent="0.2">
      <c r="A59" s="5">
        <v>48</v>
      </c>
      <c r="B59" s="1" t="s">
        <v>28</v>
      </c>
      <c r="C59" s="31">
        <f>C51</f>
        <v>1.0624</v>
      </c>
      <c r="D59" s="2">
        <v>20225.300999999999</v>
      </c>
      <c r="E59" s="2">
        <v>16426.343000000001</v>
      </c>
      <c r="F59" s="2">
        <v>16784.196</v>
      </c>
      <c r="G59" s="2">
        <v>7295.6719999999996</v>
      </c>
      <c r="H59" s="2">
        <v>8055.6100000000006</v>
      </c>
      <c r="I59" s="2">
        <v>10759.655999999999</v>
      </c>
      <c r="J59" s="2">
        <v>10023.146999999999</v>
      </c>
      <c r="K59" s="2">
        <v>14051.564</v>
      </c>
      <c r="L59" s="2">
        <v>20976.724999999999</v>
      </c>
      <c r="M59" s="2">
        <v>20050.698</v>
      </c>
      <c r="N59" s="2">
        <v>17548.054</v>
      </c>
      <c r="O59" s="2">
        <v>21736.326999999997</v>
      </c>
      <c r="P59" s="2">
        <f>SUM(C59:O59)</f>
        <v>183934.3554</v>
      </c>
      <c r="Q59" s="22">
        <f>+'Test Year Monthly - (Prop)'!Q59-'Test Year Monthly - (Current)'!Q59</f>
        <v>51263</v>
      </c>
      <c r="R59" s="45">
        <f>IF('Test Year Monthly - (Current)'!Q59=0,0,+Q59/'Test Year Monthly - (Current)'!Q59)</f>
        <v>0.35562508238003732</v>
      </c>
      <c r="S59" s="28"/>
    </row>
    <row r="60" spans="1:19" x14ac:dyDescent="0.2">
      <c r="A60" s="5">
        <v>49</v>
      </c>
      <c r="B60" s="32" t="s">
        <v>29</v>
      </c>
      <c r="C60" s="32"/>
      <c r="D60" s="33">
        <f t="shared" ref="D60:P60" si="10">D58+D59</f>
        <v>22303.701000000001</v>
      </c>
      <c r="E60" s="33">
        <f t="shared" si="10"/>
        <v>18626.543000000001</v>
      </c>
      <c r="F60" s="33">
        <f t="shared" si="10"/>
        <v>18070.196</v>
      </c>
      <c r="G60" s="33">
        <f t="shared" si="10"/>
        <v>8916.4939999999988</v>
      </c>
      <c r="H60" s="33">
        <f t="shared" si="10"/>
        <v>10097.01</v>
      </c>
      <c r="I60" s="33">
        <f t="shared" si="10"/>
        <v>12797.755999999999</v>
      </c>
      <c r="J60" s="33">
        <f t="shared" si="10"/>
        <v>11579.782999999999</v>
      </c>
      <c r="K60" s="33">
        <f t="shared" si="10"/>
        <v>15884.976000000001</v>
      </c>
      <c r="L60" s="33">
        <f t="shared" si="10"/>
        <v>22412.802</v>
      </c>
      <c r="M60" s="33">
        <f t="shared" si="10"/>
        <v>21961.137999999999</v>
      </c>
      <c r="N60" s="33">
        <f t="shared" si="10"/>
        <v>19408.954000000002</v>
      </c>
      <c r="O60" s="33">
        <f t="shared" si="10"/>
        <v>23841.226999999999</v>
      </c>
      <c r="P60" s="33">
        <f t="shared" si="10"/>
        <v>205902.93799999999</v>
      </c>
      <c r="Q60" s="33">
        <f>SUM(Q57:Q59)</f>
        <v>70775</v>
      </c>
      <c r="R60" s="46">
        <f>IF('Test Year Monthly - (Current)'!Q60=0,0,+Q60/'Test Year Monthly - (Current)'!Q60)</f>
        <v>0.34846679533637936</v>
      </c>
      <c r="S60" s="28"/>
    </row>
    <row r="61" spans="1:19" x14ac:dyDescent="0.2">
      <c r="A61" s="5">
        <v>50</v>
      </c>
      <c r="B61" s="1" t="s">
        <v>69</v>
      </c>
      <c r="D61" s="26">
        <f>+D56/D57</f>
        <v>1222.2065914499999</v>
      </c>
      <c r="E61" s="26">
        <f t="shared" ref="E61:P61" si="11">+E56/E57</f>
        <v>1052.6449623500005</v>
      </c>
      <c r="F61" s="26">
        <f t="shared" si="11"/>
        <v>1017.4778041999998</v>
      </c>
      <c r="G61" s="26">
        <f t="shared" si="11"/>
        <v>681.84423684000035</v>
      </c>
      <c r="H61" s="26">
        <f t="shared" si="11"/>
        <v>752.7940734</v>
      </c>
      <c r="I61" s="26">
        <f t="shared" si="11"/>
        <v>780.24438620000001</v>
      </c>
      <c r="J61" s="26">
        <f t="shared" si="11"/>
        <v>718.75860755000031</v>
      </c>
      <c r="K61" s="26">
        <f t="shared" si="11"/>
        <v>921.55793760000051</v>
      </c>
      <c r="L61" s="26">
        <f t="shared" si="11"/>
        <v>1431.8671659599997</v>
      </c>
      <c r="M61" s="26">
        <f t="shared" si="11"/>
        <v>944.68601107500035</v>
      </c>
      <c r="N61" s="26">
        <f t="shared" si="11"/>
        <v>855.39531997500035</v>
      </c>
      <c r="O61" s="26">
        <f t="shared" si="11"/>
        <v>1293.8949741500001</v>
      </c>
      <c r="P61" s="26">
        <f t="shared" si="11"/>
        <v>969.505337128767</v>
      </c>
      <c r="Q61" s="26"/>
      <c r="R61" s="26"/>
      <c r="S61" s="28"/>
    </row>
    <row r="62" spans="1:19" x14ac:dyDescent="0.2">
      <c r="A62" s="5">
        <v>51</v>
      </c>
      <c r="B62" s="1" t="s">
        <v>70</v>
      </c>
      <c r="D62" s="47">
        <f>+D61/'Test Year Monthly - (Current)'!D61</f>
        <v>0.34992013143773731</v>
      </c>
      <c r="E62" s="47">
        <f>+E61/'Test Year Monthly - (Current)'!E61</f>
        <v>0.34901913002818136</v>
      </c>
      <c r="F62" s="47">
        <f>+F61/'Test Year Monthly - (Current)'!F61</f>
        <v>0.34879363410057568</v>
      </c>
      <c r="G62" s="47">
        <f>+G61/'Test Year Monthly - (Current)'!G61</f>
        <v>0.34553018737194968</v>
      </c>
      <c r="H62" s="47">
        <f>+H61/'Test Year Monthly - (Current)'!H61</f>
        <v>0.34645795762447584</v>
      </c>
      <c r="I62" s="47">
        <f>+I61/'Test Year Monthly - (Current)'!I61</f>
        <v>0.34677131216752038</v>
      </c>
      <c r="J62" s="47">
        <f>+J61/'Test Year Monthly - (Current)'!J61</f>
        <v>0.34603344744774756</v>
      </c>
      <c r="K62" s="47">
        <f>+K61/'Test Year Monthly - (Current)'!K61</f>
        <v>0.34809918763925357</v>
      </c>
      <c r="L62" s="47">
        <f>+L61/'Test Year Monthly - (Current)'!L61</f>
        <v>0.35074292233011434</v>
      </c>
      <c r="M62" s="47">
        <f>+M61/'Test Year Monthly - (Current)'!M61</f>
        <v>0.34827873088932021</v>
      </c>
      <c r="N62" s="47">
        <f>+N61/'Test Year Monthly - (Current)'!N61</f>
        <v>0.34752968494706715</v>
      </c>
      <c r="O62" s="47">
        <f>+O61/'Test Year Monthly - (Current)'!O61</f>
        <v>0.3502312284388891</v>
      </c>
      <c r="P62" s="47">
        <f>+P61/'Test Year Monthly - (Current)'!P61</f>
        <v>0.34846363084899523</v>
      </c>
      <c r="Q62" s="34"/>
      <c r="R62" s="34"/>
      <c r="S62" s="28"/>
    </row>
    <row r="63" spans="1:19" x14ac:dyDescent="0.2">
      <c r="A63" s="5">
        <v>52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28"/>
    </row>
    <row r="64" spans="1:19" x14ac:dyDescent="0.2">
      <c r="A64" s="5">
        <v>53</v>
      </c>
      <c r="B64" s="21" t="s">
        <v>38</v>
      </c>
      <c r="D64" s="22">
        <f>+'Test Year Monthly - (Prop)'!D64-'Test Year Monthly - (Current)'!D64</f>
        <v>305286.84874988196</v>
      </c>
      <c r="E64" s="22">
        <f>+'Test Year Monthly - (Prop)'!E64-'Test Year Monthly - (Current)'!E64</f>
        <v>300412.84731789643</v>
      </c>
      <c r="F64" s="22">
        <f>+'Test Year Monthly - (Prop)'!F64-'Test Year Monthly - (Current)'!F64</f>
        <v>308073.42563871958</v>
      </c>
      <c r="G64" s="22">
        <f>+'Test Year Monthly - (Prop)'!G64-'Test Year Monthly - (Current)'!G64</f>
        <v>299795.11422589095</v>
      </c>
      <c r="H64" s="22">
        <f>+'Test Year Monthly - (Prop)'!H64-'Test Year Monthly - (Current)'!H64</f>
        <v>351601.42949309084</v>
      </c>
      <c r="I64" s="22">
        <f>+'Test Year Monthly - (Prop)'!I64-'Test Year Monthly - (Current)'!I64</f>
        <v>384302.06078999117</v>
      </c>
      <c r="J64" s="22">
        <f>+'Test Year Monthly - (Prop)'!J64-'Test Year Monthly - (Current)'!J64</f>
        <v>399353.02693209122</v>
      </c>
      <c r="K64" s="22">
        <f>+'Test Year Monthly - (Prop)'!K64-'Test Year Monthly - (Current)'!K64</f>
        <v>489535.61872049118</v>
      </c>
      <c r="L64" s="22">
        <f>+'Test Year Monthly - (Prop)'!L64-'Test Year Monthly - (Current)'!L64</f>
        <v>405868.61250479089</v>
      </c>
      <c r="M64" s="22">
        <f>+'Test Year Monthly - (Prop)'!M64-'Test Year Monthly - (Current)'!M64</f>
        <v>382123.10061069089</v>
      </c>
      <c r="N64" s="22">
        <f>+'Test Year Monthly - (Prop)'!N64-'Test Year Monthly - (Current)'!N64</f>
        <v>335289.39749345696</v>
      </c>
      <c r="O64" s="22">
        <f>+'Test Year Monthly - (Prop)'!O64-'Test Year Monthly - (Current)'!O64</f>
        <v>315333.87662579864</v>
      </c>
      <c r="P64" s="22">
        <f>+'Test Year Monthly - (Prop)'!P64-'Test Year Monthly - (Current)'!P64</f>
        <v>4276975.3591027893</v>
      </c>
      <c r="Q64" s="23"/>
      <c r="R64" s="23"/>
      <c r="S64" s="28"/>
    </row>
    <row r="65" spans="1:19" x14ac:dyDescent="0.2">
      <c r="A65" s="5">
        <v>54</v>
      </c>
      <c r="B65" s="1" t="s">
        <v>39</v>
      </c>
      <c r="C65" s="36">
        <v>685</v>
      </c>
      <c r="D65" s="2">
        <v>118.34615384615384</v>
      </c>
      <c r="E65" s="2">
        <v>118.34615384615384</v>
      </c>
      <c r="F65" s="2">
        <v>118.34615384615384</v>
      </c>
      <c r="G65" s="2">
        <v>117.34615384615384</v>
      </c>
      <c r="H65" s="2">
        <v>117.34615384615384</v>
      </c>
      <c r="I65" s="2">
        <v>117.34615384615384</v>
      </c>
      <c r="J65" s="2">
        <v>117.34615384615384</v>
      </c>
      <c r="K65" s="2">
        <v>117.34615384615384</v>
      </c>
      <c r="L65" s="2">
        <v>118.34615384615384</v>
      </c>
      <c r="M65" s="2">
        <v>118.34615384615384</v>
      </c>
      <c r="N65" s="2">
        <v>118.34615384615384</v>
      </c>
      <c r="O65" s="2">
        <v>118.34615384615384</v>
      </c>
      <c r="P65" s="2">
        <f>SUM(D65:O65)</f>
        <v>1415.153846153846</v>
      </c>
      <c r="Q65" s="22">
        <f>+'Test Year Monthly - (Prop)'!Q65-'Test Year Monthly - (Current)'!Q65</f>
        <v>233500</v>
      </c>
      <c r="R65" s="45">
        <f>IF('Test Year Monthly - (Current)'!Q65=0,0,+Q65/'Test Year Monthly - (Current)'!Q65)</f>
        <v>0.31730716964722511</v>
      </c>
      <c r="S65" s="28"/>
    </row>
    <row r="66" spans="1:19" x14ac:dyDescent="0.2">
      <c r="A66" s="5">
        <v>55</v>
      </c>
      <c r="B66" s="1" t="s">
        <v>40</v>
      </c>
      <c r="D66" s="2">
        <v>5900</v>
      </c>
      <c r="E66" s="2">
        <v>5900</v>
      </c>
      <c r="F66" s="2">
        <v>5900</v>
      </c>
      <c r="G66" s="2">
        <v>5850</v>
      </c>
      <c r="H66" s="2">
        <v>5850</v>
      </c>
      <c r="I66" s="2">
        <v>5850</v>
      </c>
      <c r="J66" s="2">
        <v>5850</v>
      </c>
      <c r="K66" s="2">
        <v>5850</v>
      </c>
      <c r="L66" s="2">
        <v>5900</v>
      </c>
      <c r="M66" s="2">
        <v>5900</v>
      </c>
      <c r="N66" s="2">
        <v>5900</v>
      </c>
      <c r="O66" s="2">
        <v>5950</v>
      </c>
      <c r="P66" s="34">
        <f t="shared" ref="P66:P71" si="12">SUM(D66:O66)</f>
        <v>70600</v>
      </c>
      <c r="Q66" s="22">
        <f>+'Test Year Monthly - (Prop)'!Q66-'Test Year Monthly - (Current)'!Q66</f>
        <v>0</v>
      </c>
      <c r="R66" s="45">
        <f>IF('Test Year Monthly - (Current)'!Q66=0,0,+Q66/'Test Year Monthly - (Current)'!Q66)</f>
        <v>0</v>
      </c>
      <c r="S66" s="28"/>
    </row>
    <row r="67" spans="1:19" x14ac:dyDescent="0.2">
      <c r="A67" s="5">
        <v>56</v>
      </c>
      <c r="B67" s="1" t="s">
        <v>41</v>
      </c>
      <c r="D67" s="2">
        <v>7050</v>
      </c>
      <c r="E67" s="2">
        <v>7050</v>
      </c>
      <c r="F67" s="2">
        <v>7125</v>
      </c>
      <c r="G67" s="2">
        <v>6750</v>
      </c>
      <c r="H67" s="2">
        <v>6900</v>
      </c>
      <c r="I67" s="2">
        <v>6750</v>
      </c>
      <c r="J67" s="2">
        <v>6900</v>
      </c>
      <c r="K67" s="2">
        <v>6900</v>
      </c>
      <c r="L67" s="2">
        <v>6975</v>
      </c>
      <c r="M67" s="2">
        <v>7050</v>
      </c>
      <c r="N67" s="2">
        <v>7200</v>
      </c>
      <c r="O67" s="2">
        <v>6975</v>
      </c>
      <c r="P67" s="34">
        <f t="shared" si="12"/>
        <v>83625</v>
      </c>
      <c r="Q67" s="22">
        <f>+'Test Year Monthly - (Prop)'!Q67-'Test Year Monthly - (Current)'!Q67</f>
        <v>0</v>
      </c>
      <c r="R67" s="45">
        <f>IF('Test Year Monthly - (Current)'!Q67=0,0,+Q67/'Test Year Monthly - (Current)'!Q67)</f>
        <v>0</v>
      </c>
      <c r="S67" s="28"/>
    </row>
    <row r="68" spans="1:19" x14ac:dyDescent="0.2">
      <c r="A68" s="5">
        <v>57</v>
      </c>
      <c r="B68" s="1" t="s">
        <v>42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34">
        <f t="shared" si="12"/>
        <v>0</v>
      </c>
      <c r="Q68" s="22">
        <f>+'Test Year Monthly - (Prop)'!Q68-'Test Year Monthly - (Current)'!Q68</f>
        <v>0</v>
      </c>
      <c r="R68" s="45">
        <f>IF('Test Year Monthly - (Current)'!Q68=0,0,+Q68/'Test Year Monthly - (Current)'!Q68)</f>
        <v>0</v>
      </c>
      <c r="S68" s="28"/>
    </row>
    <row r="69" spans="1:19" x14ac:dyDescent="0.2">
      <c r="A69" s="5">
        <v>58</v>
      </c>
      <c r="B69" s="1" t="s">
        <v>43</v>
      </c>
      <c r="C69" s="31">
        <v>2.2951000000000001</v>
      </c>
      <c r="D69" s="2">
        <v>31740.676000000003</v>
      </c>
      <c r="E69" s="2">
        <v>31401.204000000005</v>
      </c>
      <c r="F69" s="2">
        <v>31572.666000000005</v>
      </c>
      <c r="G69" s="2">
        <v>31784.461999999996</v>
      </c>
      <c r="H69" s="2">
        <v>34534.737000000001</v>
      </c>
      <c r="I69" s="2">
        <v>36151.909999999996</v>
      </c>
      <c r="J69" s="2">
        <v>36243.234000000004</v>
      </c>
      <c r="K69" s="2">
        <v>35897.127</v>
      </c>
      <c r="L69" s="2">
        <v>35221.706000000006</v>
      </c>
      <c r="M69" s="2">
        <v>35440.599000000002</v>
      </c>
      <c r="N69" s="2">
        <v>34241.104999999996</v>
      </c>
      <c r="O69" s="2">
        <v>32255.929</v>
      </c>
      <c r="P69" s="2">
        <f t="shared" si="12"/>
        <v>406485.35499999998</v>
      </c>
      <c r="Q69" s="22">
        <f>+'Test Year Monthly - (Prop)'!Q69-'Test Year Monthly - (Current)'!Q69</f>
        <v>303564</v>
      </c>
      <c r="R69" s="45">
        <f>IF('Test Year Monthly - (Current)'!Q69=0,0,+Q69/'Test Year Monthly - (Current)'!Q69)</f>
        <v>0.48233684642041691</v>
      </c>
      <c r="S69" s="28"/>
    </row>
    <row r="70" spans="1:19" x14ac:dyDescent="0.2">
      <c r="A70" s="5">
        <v>59</v>
      </c>
      <c r="B70" s="1" t="s">
        <v>44</v>
      </c>
      <c r="C70" s="31">
        <v>1.5952999999999999</v>
      </c>
      <c r="D70" s="2">
        <v>412964.15166666661</v>
      </c>
      <c r="E70" s="2">
        <v>406840.55795238109</v>
      </c>
      <c r="F70" s="2">
        <v>413844.60529166675</v>
      </c>
      <c r="G70" s="2">
        <v>404806.89472023799</v>
      </c>
      <c r="H70" s="2">
        <v>471919.80472023779</v>
      </c>
      <c r="I70" s="2">
        <v>525332.28572023823</v>
      </c>
      <c r="J70" s="2">
        <v>567791.31272023835</v>
      </c>
      <c r="K70" s="2">
        <v>676762.24672023824</v>
      </c>
      <c r="L70" s="2">
        <v>551046.99572023796</v>
      </c>
      <c r="M70" s="2">
        <v>503579.26172023814</v>
      </c>
      <c r="N70" s="2">
        <v>440323.09891666664</v>
      </c>
      <c r="O70" s="2">
        <v>411568.39083333343</v>
      </c>
      <c r="P70" s="2">
        <f t="shared" si="12"/>
        <v>5786779.6067023808</v>
      </c>
      <c r="Q70" s="22">
        <f>+'Test Year Monthly - (Prop)'!Q70-'Test Year Monthly - (Current)'!Q70</f>
        <v>3003918</v>
      </c>
      <c r="R70" s="45">
        <f>IF('Test Year Monthly - (Current)'!Q70=0,0,+Q70/'Test Year Monthly - (Current)'!Q70)</f>
        <v>0.48234541884589766</v>
      </c>
      <c r="S70" s="28"/>
    </row>
    <row r="71" spans="1:19" x14ac:dyDescent="0.2">
      <c r="A71" s="5">
        <v>60</v>
      </c>
      <c r="B71" s="1" t="s">
        <v>45</v>
      </c>
      <c r="C71" s="31">
        <v>1.3174999999999999</v>
      </c>
      <c r="D71" s="2">
        <v>111234.209</v>
      </c>
      <c r="E71" s="2">
        <v>107871.19000000002</v>
      </c>
      <c r="F71" s="2">
        <v>116960.83199999999</v>
      </c>
      <c r="G71" s="2">
        <v>108609.992</v>
      </c>
      <c r="H71" s="2">
        <v>143399.11800000002</v>
      </c>
      <c r="I71" s="2">
        <v>152185</v>
      </c>
      <c r="J71" s="2">
        <v>135721.93599999999</v>
      </c>
      <c r="K71" s="2">
        <v>214738.15400000001</v>
      </c>
      <c r="L71" s="2">
        <v>172590.22999999995</v>
      </c>
      <c r="M71" s="2">
        <v>174296.59700000001</v>
      </c>
      <c r="N71" s="2">
        <v>143735.25599999999</v>
      </c>
      <c r="O71" s="2">
        <v>135462.75199999998</v>
      </c>
      <c r="P71" s="2">
        <f t="shared" si="12"/>
        <v>1716805.2660000003</v>
      </c>
      <c r="Q71" s="22">
        <f>+'Test Year Monthly - (Prop)'!Q71-'Test Year Monthly - (Current)'!Q71</f>
        <v>735994</v>
      </c>
      <c r="R71" s="45">
        <f>IF('Test Year Monthly - (Current)'!Q71=0,0,+Q71/'Test Year Monthly - (Current)'!Q71)</f>
        <v>0.48233530834650046</v>
      </c>
      <c r="S71" s="28"/>
    </row>
    <row r="72" spans="1:19" x14ac:dyDescent="0.2">
      <c r="A72" s="5">
        <v>61</v>
      </c>
      <c r="B72" s="32" t="s">
        <v>29</v>
      </c>
      <c r="C72" s="32"/>
      <c r="D72" s="33">
        <f t="shared" ref="D72:O72" si="13">D69+D70+D71</f>
        <v>555939.03666666662</v>
      </c>
      <c r="E72" s="33">
        <f t="shared" si="13"/>
        <v>546112.95195238118</v>
      </c>
      <c r="F72" s="33">
        <f t="shared" si="13"/>
        <v>562378.10329166683</v>
      </c>
      <c r="G72" s="33">
        <f t="shared" si="13"/>
        <v>545201.34872023796</v>
      </c>
      <c r="H72" s="33">
        <f t="shared" si="13"/>
        <v>649853.65972023783</v>
      </c>
      <c r="I72" s="33">
        <f t="shared" si="13"/>
        <v>713669.19572023826</v>
      </c>
      <c r="J72" s="33">
        <f t="shared" si="13"/>
        <v>739756.48272023839</v>
      </c>
      <c r="K72" s="33">
        <f t="shared" si="13"/>
        <v>927397.5277202382</v>
      </c>
      <c r="L72" s="33">
        <f t="shared" si="13"/>
        <v>758858.93172023795</v>
      </c>
      <c r="M72" s="33">
        <f t="shared" si="13"/>
        <v>713316.45772023825</v>
      </c>
      <c r="N72" s="33">
        <f t="shared" si="13"/>
        <v>618299.45991666662</v>
      </c>
      <c r="O72" s="33">
        <f t="shared" si="13"/>
        <v>579287.07183333347</v>
      </c>
      <c r="P72" s="33">
        <f>SUM(C72:O72)</f>
        <v>7910070.2277023811</v>
      </c>
      <c r="Q72" s="33">
        <f>SUM(Q65:Q71)</f>
        <v>4276976</v>
      </c>
      <c r="R72" s="46">
        <f>IF('Test Year Monthly - (Current)'!Q72=0,0,+Q72/'Test Year Monthly - (Current)'!Q72)</f>
        <v>0.46122421909837008</v>
      </c>
      <c r="S72" s="28"/>
    </row>
    <row r="73" spans="1:19" x14ac:dyDescent="0.2">
      <c r="A73" s="5">
        <v>62</v>
      </c>
      <c r="B73" s="1" t="s">
        <v>69</v>
      </c>
      <c r="D73" s="26">
        <f>+D64/D65</f>
        <v>2579.60938170196</v>
      </c>
      <c r="E73" s="26">
        <f t="shared" ref="E73:P73" si="14">+E64/E65</f>
        <v>2538.425099208745</v>
      </c>
      <c r="F73" s="26">
        <f t="shared" si="14"/>
        <v>2603.1553677629863</v>
      </c>
      <c r="G73" s="26">
        <f t="shared" si="14"/>
        <v>2554.7928449272913</v>
      </c>
      <c r="H73" s="26">
        <f t="shared" si="14"/>
        <v>2996.2757020060185</v>
      </c>
      <c r="I73" s="26">
        <f t="shared" si="14"/>
        <v>3274.9438153194924</v>
      </c>
      <c r="J73" s="26">
        <f t="shared" si="14"/>
        <v>3403.2050803783586</v>
      </c>
      <c r="K73" s="26">
        <f t="shared" si="14"/>
        <v>4171.7227422919605</v>
      </c>
      <c r="L73" s="26">
        <f t="shared" si="14"/>
        <v>3429.5040380645314</v>
      </c>
      <c r="M73" s="26">
        <f t="shared" si="14"/>
        <v>3228.8594786733715</v>
      </c>
      <c r="N73" s="26">
        <f t="shared" si="14"/>
        <v>2833.1245807051937</v>
      </c>
      <c r="O73" s="26">
        <f t="shared" si="14"/>
        <v>2664.5046448718767</v>
      </c>
      <c r="P73" s="26">
        <f t="shared" si="14"/>
        <v>3022.2688301536268</v>
      </c>
      <c r="R73" s="1"/>
      <c r="S73" s="28"/>
    </row>
    <row r="74" spans="1:19" x14ac:dyDescent="0.2">
      <c r="A74" s="5">
        <v>63</v>
      </c>
      <c r="B74" s="21" t="s">
        <v>46</v>
      </c>
      <c r="D74" s="37">
        <f>D75*$C$75+D76*$C$76+D77*$C$77</f>
        <v>0</v>
      </c>
      <c r="E74" s="37">
        <f t="shared" ref="E74:O74" si="15">E75*$C$75+E76*$C$76+E77*$C$77</f>
        <v>0</v>
      </c>
      <c r="F74" s="37">
        <f t="shared" si="15"/>
        <v>0</v>
      </c>
      <c r="G74" s="37">
        <f t="shared" si="15"/>
        <v>0</v>
      </c>
      <c r="H74" s="37">
        <f t="shared" si="15"/>
        <v>0</v>
      </c>
      <c r="I74" s="37">
        <f t="shared" si="15"/>
        <v>0</v>
      </c>
      <c r="J74" s="37">
        <f t="shared" si="15"/>
        <v>0</v>
      </c>
      <c r="K74" s="37">
        <f t="shared" si="15"/>
        <v>0</v>
      </c>
      <c r="L74" s="37">
        <f t="shared" si="15"/>
        <v>0</v>
      </c>
      <c r="M74" s="37">
        <f t="shared" si="15"/>
        <v>0</v>
      </c>
      <c r="N74" s="37">
        <f t="shared" si="15"/>
        <v>0</v>
      </c>
      <c r="O74" s="37">
        <f t="shared" si="15"/>
        <v>0</v>
      </c>
      <c r="P74" s="37">
        <f>SUM(D74:O74)</f>
        <v>0</v>
      </c>
      <c r="R74" s="1"/>
      <c r="S74" s="28"/>
    </row>
    <row r="75" spans="1:19" x14ac:dyDescent="0.2">
      <c r="A75" s="5">
        <v>64</v>
      </c>
      <c r="B75" s="1" t="s">
        <v>43</v>
      </c>
      <c r="C75" s="38">
        <v>1.7213250000000002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f t="shared" ref="P75:P77" si="16">SUM(D75:O75)</f>
        <v>0</v>
      </c>
      <c r="Q75" s="2">
        <f t="shared" ref="Q75:Q77" si="17">P75*C75</f>
        <v>0</v>
      </c>
      <c r="R75" s="45">
        <f>IF('Test Year Monthly - (Current)'!Q75=0,0,+Q75/'Test Year Monthly - (Current)'!Q75)</f>
        <v>0</v>
      </c>
      <c r="S75" s="28"/>
    </row>
    <row r="76" spans="1:19" x14ac:dyDescent="0.2">
      <c r="A76" s="5">
        <v>65</v>
      </c>
      <c r="B76" s="1" t="s">
        <v>44</v>
      </c>
      <c r="C76" s="38">
        <v>1.196475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f t="shared" si="16"/>
        <v>0</v>
      </c>
      <c r="Q76" s="2">
        <f t="shared" si="17"/>
        <v>0</v>
      </c>
      <c r="R76" s="45">
        <f>IF('Test Year Monthly - (Current)'!Q76=0,0,+Q76/'Test Year Monthly - (Current)'!Q76)</f>
        <v>0</v>
      </c>
      <c r="S76" s="28"/>
    </row>
    <row r="77" spans="1:19" x14ac:dyDescent="0.2">
      <c r="A77" s="5">
        <v>66</v>
      </c>
      <c r="B77" s="1" t="s">
        <v>47</v>
      </c>
      <c r="C77" s="38">
        <v>0.98812499999999992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f t="shared" si="16"/>
        <v>0</v>
      </c>
      <c r="Q77" s="2">
        <f t="shared" si="17"/>
        <v>0</v>
      </c>
      <c r="R77" s="45">
        <f>IF('Test Year Monthly - (Current)'!Q77=0,0,+Q77/'Test Year Monthly - (Current)'!Q77)</f>
        <v>0</v>
      </c>
      <c r="S77" s="28"/>
    </row>
    <row r="78" spans="1:19" x14ac:dyDescent="0.2">
      <c r="A78" s="5">
        <v>67</v>
      </c>
      <c r="B78" s="32" t="s">
        <v>29</v>
      </c>
      <c r="C78" s="33"/>
      <c r="D78" s="33">
        <f t="shared" ref="D78:Q78" si="18">D75+D76+D77</f>
        <v>0</v>
      </c>
      <c r="E78" s="33">
        <f t="shared" si="18"/>
        <v>0</v>
      </c>
      <c r="F78" s="33">
        <f t="shared" si="18"/>
        <v>0</v>
      </c>
      <c r="G78" s="33">
        <f t="shared" si="18"/>
        <v>0</v>
      </c>
      <c r="H78" s="33">
        <f t="shared" si="18"/>
        <v>0</v>
      </c>
      <c r="I78" s="33">
        <f t="shared" si="18"/>
        <v>0</v>
      </c>
      <c r="J78" s="33">
        <f t="shared" si="18"/>
        <v>0</v>
      </c>
      <c r="K78" s="33">
        <f t="shared" si="18"/>
        <v>0</v>
      </c>
      <c r="L78" s="33">
        <f t="shared" si="18"/>
        <v>0</v>
      </c>
      <c r="M78" s="33">
        <f t="shared" si="18"/>
        <v>0</v>
      </c>
      <c r="N78" s="33">
        <f t="shared" si="18"/>
        <v>0</v>
      </c>
      <c r="O78" s="33">
        <f t="shared" si="18"/>
        <v>0</v>
      </c>
      <c r="P78" s="33">
        <f t="shared" si="18"/>
        <v>0</v>
      </c>
      <c r="Q78" s="33">
        <f t="shared" si="18"/>
        <v>0</v>
      </c>
      <c r="R78" s="46">
        <f>IF('Test Year Monthly - (Current)'!Q78=0,0,+Q78/'Test Year Monthly - (Current)'!Q78)</f>
        <v>0</v>
      </c>
      <c r="S78" s="28"/>
    </row>
    <row r="79" spans="1:19" x14ac:dyDescent="0.2">
      <c r="A79" s="5">
        <v>68</v>
      </c>
      <c r="D79" s="37"/>
      <c r="P79" s="26"/>
      <c r="R79" s="1"/>
      <c r="S79" s="28"/>
    </row>
    <row r="80" spans="1:19" x14ac:dyDescent="0.2">
      <c r="A80" s="5">
        <v>69</v>
      </c>
      <c r="B80" s="21" t="s">
        <v>48</v>
      </c>
      <c r="D80" s="22">
        <f>+'Test Year Monthly - (Prop)'!D80-'Test Year Monthly - (Current)'!D80</f>
        <v>0</v>
      </c>
      <c r="E80" s="22">
        <f>+'Test Year Monthly - (Prop)'!E80-'Test Year Monthly - (Current)'!E80</f>
        <v>0</v>
      </c>
      <c r="F80" s="22">
        <f>+'Test Year Monthly - (Prop)'!F80-'Test Year Monthly - (Current)'!F80</f>
        <v>0</v>
      </c>
      <c r="G80" s="22">
        <f>+'Test Year Monthly - (Prop)'!G80-'Test Year Monthly - (Current)'!G80</f>
        <v>0</v>
      </c>
      <c r="H80" s="22">
        <f>+'Test Year Monthly - (Prop)'!H80-'Test Year Monthly - (Current)'!H80</f>
        <v>0</v>
      </c>
      <c r="I80" s="22">
        <f>+'Test Year Monthly - (Prop)'!I80-'Test Year Monthly - (Current)'!I80</f>
        <v>0</v>
      </c>
      <c r="J80" s="22">
        <f>+'Test Year Monthly - (Prop)'!J80-'Test Year Monthly - (Current)'!J80</f>
        <v>0</v>
      </c>
      <c r="K80" s="22">
        <f>+'Test Year Monthly - (Prop)'!K80-'Test Year Monthly - (Current)'!K80</f>
        <v>0</v>
      </c>
      <c r="L80" s="22">
        <f>+'Test Year Monthly - (Prop)'!L80-'Test Year Monthly - (Current)'!L80</f>
        <v>0</v>
      </c>
      <c r="M80" s="22">
        <f>+'Test Year Monthly - (Prop)'!M80-'Test Year Monthly - (Current)'!M80</f>
        <v>0</v>
      </c>
      <c r="N80" s="22">
        <f>+'Test Year Monthly - (Prop)'!N80-'Test Year Monthly - (Current)'!N80</f>
        <v>0</v>
      </c>
      <c r="O80" s="22">
        <f>+'Test Year Monthly - (Prop)'!O80-'Test Year Monthly - (Current)'!O80</f>
        <v>0</v>
      </c>
      <c r="P80" s="22">
        <f>+'Test Year Monthly - (Prop)'!P80-'Test Year Monthly - (Current)'!P80</f>
        <v>0</v>
      </c>
      <c r="Q80" s="23"/>
      <c r="R80" s="23"/>
      <c r="S80" s="28"/>
    </row>
    <row r="81" spans="1:19" x14ac:dyDescent="0.2">
      <c r="A81" s="5">
        <v>70</v>
      </c>
      <c r="B81" s="1" t="s">
        <v>39</v>
      </c>
      <c r="C81" s="36">
        <v>685</v>
      </c>
      <c r="D81" s="2">
        <v>71</v>
      </c>
      <c r="E81" s="2">
        <v>71</v>
      </c>
      <c r="F81" s="2">
        <v>71</v>
      </c>
      <c r="G81" s="2">
        <v>71</v>
      </c>
      <c r="H81" s="2">
        <v>71</v>
      </c>
      <c r="I81" s="2">
        <v>71</v>
      </c>
      <c r="J81" s="2">
        <v>71</v>
      </c>
      <c r="K81" s="2">
        <v>71</v>
      </c>
      <c r="L81" s="2">
        <v>71</v>
      </c>
      <c r="M81" s="2">
        <v>71</v>
      </c>
      <c r="N81" s="2">
        <v>71</v>
      </c>
      <c r="O81" s="2">
        <v>71</v>
      </c>
      <c r="P81" s="2">
        <f>SUM(D81:O81)</f>
        <v>852</v>
      </c>
      <c r="Q81" s="22">
        <f>+'Test Year Monthly - (Prop)'!Q81-'Test Year Monthly - (Current)'!Q81</f>
        <v>0</v>
      </c>
      <c r="R81" s="45">
        <f>IF('Test Year Monthly - (Current)'!Q81=0,0,+Q81/'Test Year Monthly - (Current)'!Q81)</f>
        <v>0</v>
      </c>
      <c r="S81" s="28"/>
    </row>
    <row r="82" spans="1:19" x14ac:dyDescent="0.2">
      <c r="A82" s="5">
        <v>71</v>
      </c>
      <c r="B82" s="1" t="s">
        <v>40</v>
      </c>
      <c r="D82" s="2">
        <v>3500</v>
      </c>
      <c r="E82" s="2">
        <v>3500</v>
      </c>
      <c r="F82" s="2">
        <v>3500</v>
      </c>
      <c r="G82" s="2">
        <v>3500</v>
      </c>
      <c r="H82" s="2">
        <v>3500</v>
      </c>
      <c r="I82" s="2">
        <v>3500</v>
      </c>
      <c r="J82" s="2">
        <v>3500</v>
      </c>
      <c r="K82" s="2">
        <v>3500</v>
      </c>
      <c r="L82" s="2">
        <v>3500</v>
      </c>
      <c r="M82" s="2">
        <v>3500</v>
      </c>
      <c r="N82" s="2">
        <v>3500</v>
      </c>
      <c r="O82" s="2">
        <v>3500</v>
      </c>
      <c r="P82" s="34">
        <f t="shared" ref="P82:P86" si="19">SUM(C82:O82)</f>
        <v>42000</v>
      </c>
      <c r="Q82" s="22">
        <f>+'Test Year Monthly - (Prop)'!Q82-'Test Year Monthly - (Current)'!Q82</f>
        <v>0</v>
      </c>
      <c r="R82" s="45">
        <f>IF('Test Year Monthly - (Current)'!Q82=0,0,+Q82/'Test Year Monthly - (Current)'!Q82)</f>
        <v>0</v>
      </c>
      <c r="S82" s="28"/>
    </row>
    <row r="83" spans="1:19" x14ac:dyDescent="0.2">
      <c r="A83" s="5">
        <v>72</v>
      </c>
      <c r="B83" s="1" t="s">
        <v>41</v>
      </c>
      <c r="D83" s="2">
        <v>3975</v>
      </c>
      <c r="E83" s="2">
        <v>3975</v>
      </c>
      <c r="F83" s="2">
        <v>3975</v>
      </c>
      <c r="G83" s="2">
        <v>3975</v>
      </c>
      <c r="H83" s="2">
        <v>3975</v>
      </c>
      <c r="I83" s="2">
        <v>3975</v>
      </c>
      <c r="J83" s="2">
        <v>3975</v>
      </c>
      <c r="K83" s="2">
        <v>3975</v>
      </c>
      <c r="L83" s="2">
        <v>3975</v>
      </c>
      <c r="M83" s="2">
        <v>3975</v>
      </c>
      <c r="N83" s="2">
        <v>3975</v>
      </c>
      <c r="O83" s="2">
        <v>3975</v>
      </c>
      <c r="P83" s="34">
        <f t="shared" si="19"/>
        <v>47700</v>
      </c>
      <c r="Q83" s="22">
        <f>+'Test Year Monthly - (Prop)'!Q83-'Test Year Monthly - (Current)'!Q83</f>
        <v>0</v>
      </c>
      <c r="R83" s="45">
        <f>IF('Test Year Monthly - (Current)'!Q83=0,0,+Q83/'Test Year Monthly - (Current)'!Q83)</f>
        <v>0</v>
      </c>
      <c r="S83" s="28"/>
    </row>
    <row r="84" spans="1:19" x14ac:dyDescent="0.2">
      <c r="A84" s="5">
        <v>73</v>
      </c>
      <c r="B84" s="1" t="s">
        <v>42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34">
        <f t="shared" si="19"/>
        <v>0</v>
      </c>
      <c r="Q84" s="22">
        <f>+'Test Year Monthly - (Prop)'!Q84-'Test Year Monthly - (Current)'!Q84</f>
        <v>0</v>
      </c>
      <c r="R84" s="45">
        <f>IF('Test Year Monthly - (Current)'!Q84=0,0,+Q84/'Test Year Monthly - (Current)'!Q84)</f>
        <v>0</v>
      </c>
      <c r="S84" s="28"/>
    </row>
    <row r="85" spans="1:19" x14ac:dyDescent="0.2">
      <c r="A85" s="5">
        <v>74</v>
      </c>
      <c r="B85" s="1" t="s">
        <v>49</v>
      </c>
      <c r="C85" s="39">
        <v>1.2955999999999999</v>
      </c>
      <c r="D85" s="2">
        <v>417295.32500000007</v>
      </c>
      <c r="E85" s="2">
        <v>401974.18699999986</v>
      </c>
      <c r="F85" s="2">
        <v>388998.01500000001</v>
      </c>
      <c r="G85" s="2">
        <v>399640.08999999991</v>
      </c>
      <c r="H85" s="2">
        <v>444351.85199999996</v>
      </c>
      <c r="I85" s="2">
        <v>465474.78000000009</v>
      </c>
      <c r="J85" s="2">
        <v>465884.10000000003</v>
      </c>
      <c r="K85" s="2">
        <v>488045.31699999992</v>
      </c>
      <c r="L85" s="2">
        <v>447164.79100000003</v>
      </c>
      <c r="M85" s="2">
        <v>436683.45099999994</v>
      </c>
      <c r="N85" s="2">
        <v>426391.45600000001</v>
      </c>
      <c r="O85" s="2">
        <v>425511.52199999994</v>
      </c>
      <c r="P85" s="2">
        <f t="shared" si="19"/>
        <v>5207416.1816000007</v>
      </c>
      <c r="Q85" s="22">
        <f>+'Test Year Monthly - (Prop)'!Q85-'Test Year Monthly - (Current)'!Q85</f>
        <v>0</v>
      </c>
      <c r="R85" s="45">
        <f>IF('Test Year Monthly - (Current)'!Q85=0,0,+Q85/'Test Year Monthly - (Current)'!Q85)</f>
        <v>0</v>
      </c>
      <c r="S85" s="28"/>
    </row>
    <row r="86" spans="1:19" x14ac:dyDescent="0.2">
      <c r="A86" s="5">
        <v>75</v>
      </c>
      <c r="B86" s="1" t="s">
        <v>50</v>
      </c>
      <c r="C86" s="39">
        <v>1.0624</v>
      </c>
      <c r="D86" s="2">
        <v>272196.22100000002</v>
      </c>
      <c r="E86" s="2">
        <v>245261.25299999994</v>
      </c>
      <c r="F86" s="2">
        <v>173601.33800000002</v>
      </c>
      <c r="G86" s="2">
        <v>247659.10700000005</v>
      </c>
      <c r="H86" s="2">
        <v>313000.67499999999</v>
      </c>
      <c r="I86" s="2">
        <v>310632.62900000002</v>
      </c>
      <c r="J86" s="2">
        <v>314147.96799999994</v>
      </c>
      <c r="K86" s="2">
        <v>354311.09900000005</v>
      </c>
      <c r="L86" s="2">
        <v>308383.99300000007</v>
      </c>
      <c r="M86" s="2">
        <v>319776.386</v>
      </c>
      <c r="N86" s="2">
        <v>277573.55499999993</v>
      </c>
      <c r="O86" s="2">
        <v>270524.43799999997</v>
      </c>
      <c r="P86" s="2">
        <f t="shared" si="19"/>
        <v>3407069.7243999997</v>
      </c>
      <c r="Q86" s="22">
        <f>+'Test Year Monthly - (Prop)'!Q86-'Test Year Monthly - (Current)'!Q86</f>
        <v>0</v>
      </c>
      <c r="R86" s="45">
        <f>IF('Test Year Monthly - (Current)'!Q86=0,0,+Q86/'Test Year Monthly - (Current)'!Q86)</f>
        <v>0</v>
      </c>
      <c r="S86" s="28"/>
    </row>
    <row r="87" spans="1:19" x14ac:dyDescent="0.2">
      <c r="A87" s="5">
        <v>76</v>
      </c>
      <c r="B87" s="32" t="s">
        <v>29</v>
      </c>
      <c r="C87" s="32"/>
      <c r="D87" s="33">
        <f t="shared" ref="D87:P87" si="20">D85+D86</f>
        <v>689491.54600000009</v>
      </c>
      <c r="E87" s="33">
        <f t="shared" si="20"/>
        <v>647235.43999999983</v>
      </c>
      <c r="F87" s="33">
        <f t="shared" si="20"/>
        <v>562599.353</v>
      </c>
      <c r="G87" s="33">
        <f t="shared" si="20"/>
        <v>647299.19699999993</v>
      </c>
      <c r="H87" s="33">
        <f t="shared" si="20"/>
        <v>757352.527</v>
      </c>
      <c r="I87" s="33">
        <f t="shared" si="20"/>
        <v>776107.4090000001</v>
      </c>
      <c r="J87" s="33">
        <f t="shared" si="20"/>
        <v>780032.06799999997</v>
      </c>
      <c r="K87" s="33">
        <f t="shared" si="20"/>
        <v>842356.41599999997</v>
      </c>
      <c r="L87" s="33">
        <f t="shared" si="20"/>
        <v>755548.7840000001</v>
      </c>
      <c r="M87" s="33">
        <f t="shared" si="20"/>
        <v>756459.83699999994</v>
      </c>
      <c r="N87" s="33">
        <f t="shared" si="20"/>
        <v>703965.01099999994</v>
      </c>
      <c r="O87" s="33">
        <f t="shared" si="20"/>
        <v>696035.96</v>
      </c>
      <c r="P87" s="33">
        <f t="shared" si="20"/>
        <v>8614485.9059999995</v>
      </c>
      <c r="Q87" s="33">
        <f>SUM(Q81:Q86)</f>
        <v>0</v>
      </c>
      <c r="R87" s="46">
        <f>IF('Test Year Monthly - (Current)'!Q87=0,0,+Q87/'Test Year Monthly - (Current)'!Q87)</f>
        <v>0</v>
      </c>
      <c r="S87" s="28"/>
    </row>
    <row r="88" spans="1:19" x14ac:dyDescent="0.2">
      <c r="A88" s="5">
        <v>77</v>
      </c>
      <c r="B88" s="1" t="s">
        <v>69</v>
      </c>
      <c r="D88" s="26">
        <f>+D80/D81</f>
        <v>0</v>
      </c>
      <c r="E88" s="26">
        <f t="shared" ref="E88:P88" si="21">+E80/E81</f>
        <v>0</v>
      </c>
      <c r="F88" s="26">
        <f t="shared" si="21"/>
        <v>0</v>
      </c>
      <c r="G88" s="26">
        <f t="shared" si="21"/>
        <v>0</v>
      </c>
      <c r="H88" s="26">
        <f t="shared" si="21"/>
        <v>0</v>
      </c>
      <c r="I88" s="26">
        <f t="shared" si="21"/>
        <v>0</v>
      </c>
      <c r="J88" s="26">
        <f t="shared" si="21"/>
        <v>0</v>
      </c>
      <c r="K88" s="26">
        <f t="shared" si="21"/>
        <v>0</v>
      </c>
      <c r="L88" s="26">
        <f t="shared" si="21"/>
        <v>0</v>
      </c>
      <c r="M88" s="26">
        <f t="shared" si="21"/>
        <v>0</v>
      </c>
      <c r="N88" s="26">
        <f t="shared" si="21"/>
        <v>0</v>
      </c>
      <c r="O88" s="26">
        <f t="shared" si="21"/>
        <v>0</v>
      </c>
      <c r="P88" s="26">
        <f t="shared" si="21"/>
        <v>0</v>
      </c>
      <c r="R88" s="1"/>
      <c r="S88" s="28"/>
    </row>
    <row r="89" spans="1:19" x14ac:dyDescent="0.2">
      <c r="A89" s="5">
        <v>78</v>
      </c>
      <c r="B89" s="21" t="s">
        <v>51</v>
      </c>
      <c r="D89" s="22">
        <f>+'Test Year Monthly - (Prop)'!D89-'Test Year Monthly - (Current)'!D89</f>
        <v>0</v>
      </c>
      <c r="E89" s="22">
        <f>+'Test Year Monthly - (Prop)'!E89-'Test Year Monthly - (Current)'!E89</f>
        <v>0</v>
      </c>
      <c r="F89" s="22">
        <f>+'Test Year Monthly - (Prop)'!F89-'Test Year Monthly - (Current)'!F89</f>
        <v>0</v>
      </c>
      <c r="G89" s="22">
        <f>+'Test Year Monthly - (Prop)'!G89-'Test Year Monthly - (Current)'!G89</f>
        <v>0</v>
      </c>
      <c r="H89" s="22">
        <f>+'Test Year Monthly - (Prop)'!H89-'Test Year Monthly - (Current)'!H89</f>
        <v>0</v>
      </c>
      <c r="I89" s="22">
        <f>+'Test Year Monthly - (Prop)'!I89-'Test Year Monthly - (Current)'!I89</f>
        <v>0</v>
      </c>
      <c r="J89" s="22">
        <f>+'Test Year Monthly - (Prop)'!J89-'Test Year Monthly - (Current)'!J89</f>
        <v>0</v>
      </c>
      <c r="K89" s="22">
        <f>+'Test Year Monthly - (Prop)'!K89-'Test Year Monthly - (Current)'!K89</f>
        <v>0</v>
      </c>
      <c r="L89" s="22">
        <f>+'Test Year Monthly - (Prop)'!L89-'Test Year Monthly - (Current)'!L89</f>
        <v>0</v>
      </c>
      <c r="M89" s="22">
        <f>+'Test Year Monthly - (Prop)'!M89-'Test Year Monthly - (Current)'!M89</f>
        <v>0</v>
      </c>
      <c r="N89" s="22">
        <f>+'Test Year Monthly - (Prop)'!N89-'Test Year Monthly - (Current)'!N89</f>
        <v>0</v>
      </c>
      <c r="O89" s="22">
        <f>+'Test Year Monthly - (Prop)'!O89-'Test Year Monthly - (Current)'!O89</f>
        <v>0</v>
      </c>
      <c r="P89" s="22">
        <f>+'Test Year Monthly - (Prop)'!P89-'Test Year Monthly - (Current)'!P89</f>
        <v>0</v>
      </c>
      <c r="Q89" s="23"/>
      <c r="R89" s="23"/>
      <c r="S89" s="28"/>
    </row>
    <row r="90" spans="1:19" x14ac:dyDescent="0.2">
      <c r="A90" s="5">
        <v>79</v>
      </c>
      <c r="B90" s="1" t="s">
        <v>39</v>
      </c>
      <c r="C90" s="36">
        <v>520</v>
      </c>
      <c r="D90" s="2">
        <v>13.346153846153847</v>
      </c>
      <c r="E90" s="2">
        <v>13.346153846153847</v>
      </c>
      <c r="F90" s="2">
        <v>13.346153846153847</v>
      </c>
      <c r="G90" s="2">
        <v>12.346153846153847</v>
      </c>
      <c r="H90" s="2">
        <v>12.346153846153847</v>
      </c>
      <c r="I90" s="2">
        <v>12.346153846153847</v>
      </c>
      <c r="J90" s="2">
        <v>12.346153846153847</v>
      </c>
      <c r="K90" s="2">
        <v>12.346153846153847</v>
      </c>
      <c r="L90" s="2">
        <v>12.346153846153847</v>
      </c>
      <c r="M90" s="2">
        <v>13.346153846153847</v>
      </c>
      <c r="N90" s="2">
        <v>13.346153846153847</v>
      </c>
      <c r="O90" s="2">
        <v>13.346153846153847</v>
      </c>
      <c r="P90" s="2">
        <f>SUM(D90:O90)</f>
        <v>154.1538461538461</v>
      </c>
      <c r="Q90" s="22">
        <f>+'Test Year Monthly - (Prop)'!Q90-'Test Year Monthly - (Current)'!Q90</f>
        <v>0</v>
      </c>
      <c r="R90" s="45">
        <f>IF('Test Year Monthly - (Current)'!Q90=0,0,+Q90/'Test Year Monthly - (Current)'!Q90)</f>
        <v>0</v>
      </c>
      <c r="S90" s="28"/>
    </row>
    <row r="91" spans="1:19" x14ac:dyDescent="0.2">
      <c r="A91" s="5">
        <v>80</v>
      </c>
      <c r="B91" s="1" t="s">
        <v>40</v>
      </c>
      <c r="D91" s="2">
        <v>650</v>
      </c>
      <c r="E91" s="2">
        <v>650</v>
      </c>
      <c r="F91" s="2">
        <v>650</v>
      </c>
      <c r="G91" s="2">
        <v>600</v>
      </c>
      <c r="H91" s="2">
        <v>600</v>
      </c>
      <c r="I91" s="2">
        <v>600</v>
      </c>
      <c r="J91" s="2">
        <v>600</v>
      </c>
      <c r="K91" s="2">
        <v>600</v>
      </c>
      <c r="L91" s="2">
        <v>600</v>
      </c>
      <c r="M91" s="2">
        <v>650</v>
      </c>
      <c r="N91" s="2">
        <v>650</v>
      </c>
      <c r="O91" s="2">
        <v>650</v>
      </c>
      <c r="P91" s="34">
        <f t="shared" ref="P91:P95" si="22">SUM(C91:O91)</f>
        <v>7500</v>
      </c>
      <c r="Q91" s="22">
        <f>+'Test Year Monthly - (Prop)'!Q91-'Test Year Monthly - (Current)'!Q91</f>
        <v>0</v>
      </c>
      <c r="R91" s="45">
        <f>IF('Test Year Monthly - (Current)'!Q91=0,0,+Q91/'Test Year Monthly - (Current)'!Q91)</f>
        <v>0</v>
      </c>
      <c r="S91" s="28"/>
    </row>
    <row r="92" spans="1:19" x14ac:dyDescent="0.2">
      <c r="A92" s="5">
        <v>81</v>
      </c>
      <c r="B92" s="1" t="s">
        <v>41</v>
      </c>
      <c r="D92" s="2">
        <v>750</v>
      </c>
      <c r="E92" s="2">
        <v>750</v>
      </c>
      <c r="F92" s="2">
        <v>750</v>
      </c>
      <c r="G92" s="2">
        <v>675</v>
      </c>
      <c r="H92" s="2">
        <v>675</v>
      </c>
      <c r="I92" s="2">
        <v>675</v>
      </c>
      <c r="J92" s="2">
        <v>675</v>
      </c>
      <c r="K92" s="2">
        <v>675</v>
      </c>
      <c r="L92" s="2">
        <v>675</v>
      </c>
      <c r="M92" s="2">
        <v>750</v>
      </c>
      <c r="N92" s="2">
        <v>750</v>
      </c>
      <c r="O92" s="2">
        <v>750</v>
      </c>
      <c r="P92" s="34">
        <f t="shared" si="22"/>
        <v>8550</v>
      </c>
      <c r="Q92" s="22">
        <f>+'Test Year Monthly - (Prop)'!Q92-'Test Year Monthly - (Current)'!Q92</f>
        <v>0</v>
      </c>
      <c r="R92" s="45">
        <f>IF('Test Year Monthly - (Current)'!Q92=0,0,+Q92/'Test Year Monthly - (Current)'!Q92)</f>
        <v>0</v>
      </c>
      <c r="S92" s="28"/>
    </row>
    <row r="93" spans="1:19" x14ac:dyDescent="0.2">
      <c r="A93" s="5">
        <v>82</v>
      </c>
      <c r="B93" s="1" t="s">
        <v>42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34">
        <f t="shared" si="22"/>
        <v>0</v>
      </c>
      <c r="Q93" s="22">
        <f>+'Test Year Monthly - (Prop)'!Q93-'Test Year Monthly - (Current)'!Q93</f>
        <v>0</v>
      </c>
      <c r="R93" s="45">
        <f>IF('Test Year Monthly - (Current)'!Q93=0,0,+Q93/'Test Year Monthly - (Current)'!Q93)</f>
        <v>0</v>
      </c>
      <c r="S93" s="28"/>
    </row>
    <row r="94" spans="1:19" x14ac:dyDescent="0.2">
      <c r="A94" s="5">
        <v>83</v>
      </c>
      <c r="B94" s="1" t="s">
        <v>52</v>
      </c>
      <c r="C94" s="40" t="s">
        <v>53</v>
      </c>
      <c r="D94" s="2">
        <v>1174024.8120000002</v>
      </c>
      <c r="E94" s="2">
        <v>1325397.4870000002</v>
      </c>
      <c r="F94" s="2">
        <v>1227574.175</v>
      </c>
      <c r="G94" s="2">
        <v>1095711.6499999999</v>
      </c>
      <c r="H94" s="2">
        <v>1171325.5090000001</v>
      </c>
      <c r="I94" s="2">
        <v>1223327.2750000001</v>
      </c>
      <c r="J94" s="2">
        <v>1296950.4989999998</v>
      </c>
      <c r="K94" s="2">
        <v>1535323.86</v>
      </c>
      <c r="L94" s="2">
        <v>1391759.6110000003</v>
      </c>
      <c r="M94" s="2">
        <v>1467400.6270000001</v>
      </c>
      <c r="N94" s="2">
        <v>1320463.8700000003</v>
      </c>
      <c r="O94" s="2">
        <v>1275922.6930000002</v>
      </c>
      <c r="P94" s="2">
        <f t="shared" si="22"/>
        <v>15505182.068</v>
      </c>
      <c r="Q94" s="22">
        <f>+'Test Year Monthly - (Prop)'!Q94-'Test Year Monthly - (Current)'!Q94</f>
        <v>0</v>
      </c>
      <c r="R94" s="45">
        <f>IF('Test Year Monthly - (Current)'!Q94=0,0,+Q94/'Test Year Monthly - (Current)'!Q94)</f>
        <v>0</v>
      </c>
      <c r="S94" s="28"/>
    </row>
    <row r="95" spans="1:19" x14ac:dyDescent="0.2">
      <c r="A95" s="5">
        <v>84</v>
      </c>
      <c r="B95" s="1" t="s">
        <v>54</v>
      </c>
      <c r="C95" s="40"/>
      <c r="D95" s="2">
        <v>286516.53250000003</v>
      </c>
      <c r="E95" s="2">
        <v>265775.96250000002</v>
      </c>
      <c r="F95" s="2">
        <v>247311.05249999999</v>
      </c>
      <c r="G95" s="2">
        <v>216811.49249999999</v>
      </c>
      <c r="H95" s="2">
        <v>262739.41250000003</v>
      </c>
      <c r="I95" s="2">
        <v>233136.22249999997</v>
      </c>
      <c r="J95" s="2">
        <v>208199.06249999997</v>
      </c>
      <c r="K95" s="2">
        <v>248973.56250000003</v>
      </c>
      <c r="L95" s="2">
        <v>233157.4425</v>
      </c>
      <c r="M95" s="2">
        <v>250635.85250000001</v>
      </c>
      <c r="N95" s="2">
        <v>296593.69250000006</v>
      </c>
      <c r="O95" s="2">
        <v>272179.34250000003</v>
      </c>
      <c r="P95" s="34">
        <f t="shared" si="22"/>
        <v>3022029.63</v>
      </c>
      <c r="Q95" s="22">
        <f>+'Test Year Monthly - (Prop)'!Q95-'Test Year Monthly - (Current)'!Q95</f>
        <v>0</v>
      </c>
      <c r="R95" s="45">
        <f>IF('Test Year Monthly - (Current)'!Q95=0,0,+Q95/'Test Year Monthly - (Current)'!Q95)</f>
        <v>0</v>
      </c>
      <c r="S95" s="28"/>
    </row>
    <row r="96" spans="1:19" x14ac:dyDescent="0.2">
      <c r="A96" s="5">
        <v>85</v>
      </c>
      <c r="B96" s="32" t="s">
        <v>29</v>
      </c>
      <c r="C96" s="32"/>
      <c r="D96" s="33">
        <f t="shared" ref="D96:P96" si="23">D94</f>
        <v>1174024.8120000002</v>
      </c>
      <c r="E96" s="33">
        <f t="shared" si="23"/>
        <v>1325397.4870000002</v>
      </c>
      <c r="F96" s="33">
        <f t="shared" si="23"/>
        <v>1227574.175</v>
      </c>
      <c r="G96" s="33">
        <f t="shared" si="23"/>
        <v>1095711.6499999999</v>
      </c>
      <c r="H96" s="33">
        <f t="shared" si="23"/>
        <v>1171325.5090000001</v>
      </c>
      <c r="I96" s="33">
        <f t="shared" si="23"/>
        <v>1223327.2750000001</v>
      </c>
      <c r="J96" s="33">
        <f t="shared" si="23"/>
        <v>1296950.4989999998</v>
      </c>
      <c r="K96" s="33">
        <f t="shared" si="23"/>
        <v>1535323.86</v>
      </c>
      <c r="L96" s="33">
        <f t="shared" si="23"/>
        <v>1391759.6110000003</v>
      </c>
      <c r="M96" s="33">
        <f t="shared" si="23"/>
        <v>1467400.6270000001</v>
      </c>
      <c r="N96" s="33">
        <f t="shared" si="23"/>
        <v>1320463.8700000003</v>
      </c>
      <c r="O96" s="33">
        <f t="shared" si="23"/>
        <v>1275922.6930000002</v>
      </c>
      <c r="P96" s="33">
        <f t="shared" si="23"/>
        <v>15505182.068</v>
      </c>
      <c r="Q96" s="33">
        <f>SUM(Q90:Q95)</f>
        <v>0</v>
      </c>
      <c r="R96" s="46">
        <f>IF('Test Year Monthly - (Current)'!Q96=0,0,+Q96/'Test Year Monthly - (Current)'!Q96)</f>
        <v>0</v>
      </c>
      <c r="S96" s="28"/>
    </row>
    <row r="97" spans="1:19" x14ac:dyDescent="0.2">
      <c r="A97" s="5">
        <v>86</v>
      </c>
      <c r="B97" s="1" t="s">
        <v>69</v>
      </c>
      <c r="D97" s="26">
        <f>+D89/D90</f>
        <v>0</v>
      </c>
      <c r="E97" s="26">
        <f t="shared" ref="E97:P97" si="24">+E89/E90</f>
        <v>0</v>
      </c>
      <c r="F97" s="26">
        <f t="shared" si="24"/>
        <v>0</v>
      </c>
      <c r="G97" s="26">
        <f t="shared" si="24"/>
        <v>0</v>
      </c>
      <c r="H97" s="26">
        <f t="shared" si="24"/>
        <v>0</v>
      </c>
      <c r="I97" s="26">
        <f t="shared" si="24"/>
        <v>0</v>
      </c>
      <c r="J97" s="26">
        <f t="shared" si="24"/>
        <v>0</v>
      </c>
      <c r="K97" s="26">
        <f t="shared" si="24"/>
        <v>0</v>
      </c>
      <c r="L97" s="26">
        <f t="shared" si="24"/>
        <v>0</v>
      </c>
      <c r="M97" s="26">
        <f t="shared" si="24"/>
        <v>0</v>
      </c>
      <c r="N97" s="26">
        <f t="shared" si="24"/>
        <v>0</v>
      </c>
      <c r="O97" s="26">
        <f t="shared" si="24"/>
        <v>0</v>
      </c>
      <c r="P97" s="26">
        <f t="shared" si="24"/>
        <v>0</v>
      </c>
      <c r="R97" s="1"/>
      <c r="S97" s="28"/>
    </row>
    <row r="98" spans="1:19" x14ac:dyDescent="0.2">
      <c r="A98" s="5">
        <v>87</v>
      </c>
      <c r="B98" s="1" t="s">
        <v>55</v>
      </c>
      <c r="D98" s="34"/>
      <c r="R98" s="1"/>
      <c r="S98" s="28"/>
    </row>
    <row r="99" spans="1:19" x14ac:dyDescent="0.2">
      <c r="A99" s="5">
        <v>88</v>
      </c>
      <c r="B99" s="1" t="s">
        <v>56</v>
      </c>
      <c r="D99" s="22">
        <f>+'Test Year Monthly - (Prop)'!D99-'Test Year Monthly - (Current)'!D99</f>
        <v>0</v>
      </c>
      <c r="E99" s="22">
        <f>+'Test Year Monthly - (Prop)'!E99-'Test Year Monthly - (Current)'!E99</f>
        <v>0</v>
      </c>
      <c r="F99" s="22">
        <f>+'Test Year Monthly - (Prop)'!F99-'Test Year Monthly - (Current)'!F99</f>
        <v>0</v>
      </c>
      <c r="G99" s="22">
        <f>+'Test Year Monthly - (Prop)'!G99-'Test Year Monthly - (Current)'!G99</f>
        <v>0</v>
      </c>
      <c r="H99" s="22">
        <f>+'Test Year Monthly - (Prop)'!H99-'Test Year Monthly - (Current)'!H99</f>
        <v>0</v>
      </c>
      <c r="I99" s="22">
        <f>+'Test Year Monthly - (Prop)'!I99-'Test Year Monthly - (Current)'!I99</f>
        <v>0</v>
      </c>
      <c r="J99" s="22">
        <f>+'Test Year Monthly - (Prop)'!J99-'Test Year Monthly - (Current)'!J99</f>
        <v>0</v>
      </c>
      <c r="K99" s="22">
        <f>+'Test Year Monthly - (Prop)'!K99-'Test Year Monthly - (Current)'!K99</f>
        <v>0</v>
      </c>
      <c r="L99" s="22">
        <f>+'Test Year Monthly - (Prop)'!L99-'Test Year Monthly - (Current)'!L99</f>
        <v>0</v>
      </c>
      <c r="M99" s="22">
        <f>+'Test Year Monthly - (Prop)'!M99-'Test Year Monthly - (Current)'!M99</f>
        <v>0</v>
      </c>
      <c r="N99" s="22">
        <f>+'Test Year Monthly - (Prop)'!N99-'Test Year Monthly - (Current)'!N99</f>
        <v>0</v>
      </c>
      <c r="O99" s="22">
        <f>+'Test Year Monthly - (Prop)'!O99-'Test Year Monthly - (Current)'!O99</f>
        <v>0</v>
      </c>
      <c r="P99" s="22">
        <f>+'Test Year Monthly - (Prop)'!P99-'Test Year Monthly - (Current)'!P99</f>
        <v>0</v>
      </c>
      <c r="Q99" s="34"/>
      <c r="R99" s="34"/>
      <c r="S99" s="28"/>
    </row>
    <row r="100" spans="1:19" x14ac:dyDescent="0.2">
      <c r="A100" s="5">
        <v>89</v>
      </c>
      <c r="B100" s="1" t="s">
        <v>57</v>
      </c>
      <c r="D100" s="22">
        <f>+'Test Year Monthly - (Prop)'!D100-'Test Year Monthly - (Current)'!D100</f>
        <v>0</v>
      </c>
      <c r="E100" s="22">
        <f>+'Test Year Monthly - (Prop)'!E100-'Test Year Monthly - (Current)'!E100</f>
        <v>0</v>
      </c>
      <c r="F100" s="22">
        <f>+'Test Year Monthly - (Prop)'!F100-'Test Year Monthly - (Current)'!F100</f>
        <v>0</v>
      </c>
      <c r="G100" s="22">
        <f>+'Test Year Monthly - (Prop)'!G100-'Test Year Monthly - (Current)'!G100</f>
        <v>0</v>
      </c>
      <c r="H100" s="22">
        <f>+'Test Year Monthly - (Prop)'!H100-'Test Year Monthly - (Current)'!H100</f>
        <v>0</v>
      </c>
      <c r="I100" s="22">
        <f>+'Test Year Monthly - (Prop)'!I100-'Test Year Monthly - (Current)'!I100</f>
        <v>0</v>
      </c>
      <c r="J100" s="22">
        <f>+'Test Year Monthly - (Prop)'!J100-'Test Year Monthly - (Current)'!J100</f>
        <v>0</v>
      </c>
      <c r="K100" s="22">
        <f>+'Test Year Monthly - (Prop)'!K100-'Test Year Monthly - (Current)'!K100</f>
        <v>0</v>
      </c>
      <c r="L100" s="22">
        <f>+'Test Year Monthly - (Prop)'!L100-'Test Year Monthly - (Current)'!L100</f>
        <v>0</v>
      </c>
      <c r="M100" s="22">
        <f>+'Test Year Monthly - (Prop)'!M100-'Test Year Monthly - (Current)'!M100</f>
        <v>0</v>
      </c>
      <c r="N100" s="22">
        <f>+'Test Year Monthly - (Prop)'!N100-'Test Year Monthly - (Current)'!N100</f>
        <v>0</v>
      </c>
      <c r="O100" s="22">
        <f>+'Test Year Monthly - (Prop)'!O100-'Test Year Monthly - (Current)'!O100</f>
        <v>0</v>
      </c>
      <c r="P100" s="22">
        <f>+'Test Year Monthly - (Prop)'!P100-'Test Year Monthly - (Current)'!P100</f>
        <v>0</v>
      </c>
      <c r="Q100" s="34"/>
      <c r="R100" s="34"/>
      <c r="S100" s="28"/>
    </row>
    <row r="101" spans="1:19" x14ac:dyDescent="0.2">
      <c r="A101" s="5">
        <v>90</v>
      </c>
      <c r="R101" s="1"/>
      <c r="S101" s="28"/>
    </row>
    <row r="102" spans="1:19" x14ac:dyDescent="0.2">
      <c r="A102" s="5">
        <v>91</v>
      </c>
      <c r="B102" s="41" t="s">
        <v>58</v>
      </c>
      <c r="D102" s="34">
        <f>D108+D99+D100</f>
        <v>2532040.4294962045</v>
      </c>
      <c r="E102" s="34">
        <f t="shared" ref="E102:O102" si="25">E108+E99+E100</f>
        <v>2006233.2342121988</v>
      </c>
      <c r="F102" s="34">
        <f t="shared" si="25"/>
        <v>1696313.2239332455</v>
      </c>
      <c r="G102" s="34">
        <f t="shared" si="25"/>
        <v>1635903.1546432385</v>
      </c>
      <c r="H102" s="34">
        <f t="shared" si="25"/>
        <v>1690111.8341988109</v>
      </c>
      <c r="I102" s="34">
        <f t="shared" si="25"/>
        <v>1713905.8906598932</v>
      </c>
      <c r="J102" s="34">
        <f t="shared" si="25"/>
        <v>1896163.3818720696</v>
      </c>
      <c r="K102" s="34">
        <f t="shared" si="25"/>
        <v>2710017.8510266058</v>
      </c>
      <c r="L102" s="34">
        <f t="shared" si="25"/>
        <v>3363928.199131506</v>
      </c>
      <c r="M102" s="34">
        <f t="shared" si="25"/>
        <v>3737529.511818965</v>
      </c>
      <c r="N102" s="34">
        <f t="shared" si="25"/>
        <v>3863843.3833894059</v>
      </c>
      <c r="O102" s="34">
        <f t="shared" si="25"/>
        <v>3133643.5323129967</v>
      </c>
      <c r="P102" s="34">
        <f>SUM(D102:O102)</f>
        <v>29979633.626695141</v>
      </c>
      <c r="Q102" s="2"/>
      <c r="R102" s="2"/>
      <c r="S102" s="28"/>
    </row>
    <row r="103" spans="1:19" x14ac:dyDescent="0.2">
      <c r="A103" s="5">
        <v>92</v>
      </c>
      <c r="B103" s="1" t="s">
        <v>30</v>
      </c>
      <c r="D103" s="34">
        <f t="shared" ref="D103:O103" si="26">D62+D54+D46+D37+D28+D19</f>
        <v>2.0416184968176898</v>
      </c>
      <c r="E103" s="34">
        <f t="shared" si="26"/>
        <v>1.9247397293304394</v>
      </c>
      <c r="F103" s="34">
        <f t="shared" si="26"/>
        <v>1.765245064791571</v>
      </c>
      <c r="G103" s="34">
        <f t="shared" si="26"/>
        <v>1.7408027273998572</v>
      </c>
      <c r="H103" s="34">
        <f t="shared" si="26"/>
        <v>1.758802455608782</v>
      </c>
      <c r="I103" s="34">
        <f t="shared" si="26"/>
        <v>1.7608374692664637</v>
      </c>
      <c r="J103" s="34">
        <f t="shared" si="26"/>
        <v>1.8231993631060641</v>
      </c>
      <c r="K103" s="34">
        <f t="shared" si="26"/>
        <v>2.033592796170526</v>
      </c>
      <c r="L103" s="34">
        <f t="shared" si="26"/>
        <v>2.1678932520543897</v>
      </c>
      <c r="M103" s="34">
        <f t="shared" si="26"/>
        <v>2.2182633139399708</v>
      </c>
      <c r="N103" s="34">
        <f t="shared" si="26"/>
        <v>2.2328794919779935</v>
      </c>
      <c r="O103" s="34">
        <f t="shared" si="26"/>
        <v>2.1467611005628315</v>
      </c>
      <c r="P103" s="34">
        <f>SUM(D103:O103)</f>
        <v>23.614635261026578</v>
      </c>
      <c r="Q103" s="2"/>
      <c r="R103" s="2"/>
      <c r="S103" s="28"/>
    </row>
    <row r="104" spans="1:19" x14ac:dyDescent="0.2">
      <c r="A104" s="5">
        <v>93</v>
      </c>
      <c r="B104" s="41" t="s">
        <v>59</v>
      </c>
      <c r="D104" s="34">
        <f>D102+D103</f>
        <v>2532042.4711147011</v>
      </c>
      <c r="E104" s="34">
        <f t="shared" ref="E104:O104" si="27">E102+E103</f>
        <v>2006235.1589519281</v>
      </c>
      <c r="F104" s="34">
        <f t="shared" si="27"/>
        <v>1696314.9891783104</v>
      </c>
      <c r="G104" s="34">
        <f t="shared" si="27"/>
        <v>1635904.8954459659</v>
      </c>
      <c r="H104" s="34">
        <f t="shared" si="27"/>
        <v>1690113.5930012665</v>
      </c>
      <c r="I104" s="34">
        <f t="shared" si="27"/>
        <v>1713907.6514973624</v>
      </c>
      <c r="J104" s="34">
        <f t="shared" si="27"/>
        <v>1896165.2050714327</v>
      </c>
      <c r="K104" s="34">
        <f t="shared" si="27"/>
        <v>2710019.8846194018</v>
      </c>
      <c r="L104" s="34">
        <f t="shared" si="27"/>
        <v>3363930.3670247579</v>
      </c>
      <c r="M104" s="34">
        <f t="shared" si="27"/>
        <v>3737531.7300822791</v>
      </c>
      <c r="N104" s="34">
        <f t="shared" si="27"/>
        <v>3863845.6162688979</v>
      </c>
      <c r="O104" s="34">
        <f t="shared" si="27"/>
        <v>3133645.6790740974</v>
      </c>
      <c r="P104" s="34">
        <f>SUM(D104:O104)</f>
        <v>29979657.2413304</v>
      </c>
      <c r="Q104" s="2"/>
      <c r="R104" s="2"/>
      <c r="S104" s="28"/>
    </row>
    <row r="105" spans="1:19" x14ac:dyDescent="0.2">
      <c r="Q105" s="2"/>
      <c r="R105" s="2"/>
    </row>
    <row r="106" spans="1:19" x14ac:dyDescent="0.2">
      <c r="A106" s="5"/>
      <c r="Q106" s="2"/>
      <c r="R106" s="2"/>
    </row>
    <row r="107" spans="1:19" x14ac:dyDescent="0.2">
      <c r="A107" s="5"/>
      <c r="D107" s="2">
        <f t="shared" ref="D107:P107" si="28">D17+D26+D35+D44+D52+D60+D72+D87+D96</f>
        <v>3949013.2276285691</v>
      </c>
      <c r="E107" s="2">
        <f t="shared" si="28"/>
        <v>3356656.9341787314</v>
      </c>
      <c r="F107" s="2">
        <f t="shared" si="28"/>
        <v>2766078.2270126566</v>
      </c>
      <c r="G107" s="2">
        <f t="shared" si="28"/>
        <v>2641755.6318805488</v>
      </c>
      <c r="H107" s="2">
        <f t="shared" si="28"/>
        <v>2938388.4560630769</v>
      </c>
      <c r="I107" s="2">
        <f t="shared" si="28"/>
        <v>3078106.7590189362</v>
      </c>
      <c r="J107" s="2">
        <f t="shared" si="28"/>
        <v>3404159.1005430473</v>
      </c>
      <c r="K107" s="2">
        <f t="shared" si="28"/>
        <v>4850806.9602762721</v>
      </c>
      <c r="L107" s="2">
        <f t="shared" si="28"/>
        <v>5450053.3082100209</v>
      </c>
      <c r="M107" s="2">
        <f t="shared" si="28"/>
        <v>6034486.5438986626</v>
      </c>
      <c r="N107" s="2">
        <f t="shared" si="28"/>
        <v>5964347.4549069908</v>
      </c>
      <c r="O107" s="2">
        <f t="shared" si="28"/>
        <v>4889388.0623689126</v>
      </c>
      <c r="P107" s="2">
        <f t="shared" si="28"/>
        <v>49323247.73998642</v>
      </c>
      <c r="Q107" s="2"/>
      <c r="R107" s="2"/>
    </row>
    <row r="108" spans="1:19" x14ac:dyDescent="0.2">
      <c r="A108" s="5"/>
      <c r="C108" s="2"/>
      <c r="D108" s="34">
        <f>D89+D80+D64+D56+D48+D39+D30+D21+D12+D74</f>
        <v>2532040.4294962045</v>
      </c>
      <c r="E108" s="34">
        <f t="shared" ref="E108:O108" si="29">E89+E80+E64+E56+E48+E39+E30+E21+E12+E74</f>
        <v>2006233.2342121988</v>
      </c>
      <c r="F108" s="34">
        <f t="shared" si="29"/>
        <v>1696313.2239332455</v>
      </c>
      <c r="G108" s="34">
        <f t="shared" si="29"/>
        <v>1635903.1546432385</v>
      </c>
      <c r="H108" s="34">
        <f t="shared" si="29"/>
        <v>1690111.8341988109</v>
      </c>
      <c r="I108" s="34">
        <f t="shared" si="29"/>
        <v>1713905.8906598932</v>
      </c>
      <c r="J108" s="34">
        <f t="shared" si="29"/>
        <v>1896163.3818720696</v>
      </c>
      <c r="K108" s="34">
        <f t="shared" si="29"/>
        <v>2710017.8510266058</v>
      </c>
      <c r="L108" s="34">
        <f t="shared" si="29"/>
        <v>3363928.199131506</v>
      </c>
      <c r="M108" s="34">
        <f t="shared" si="29"/>
        <v>3737529.511818965</v>
      </c>
      <c r="N108" s="34">
        <f t="shared" si="29"/>
        <v>3863843.3833894059</v>
      </c>
      <c r="O108" s="34">
        <f t="shared" si="29"/>
        <v>3133643.5323129967</v>
      </c>
      <c r="P108" s="34">
        <f>P89+P80+P64+P56+P48+P39+P30+P21+P12</f>
        <v>29979633.626695137</v>
      </c>
      <c r="Q108" s="2"/>
      <c r="R108" s="2"/>
    </row>
    <row r="109" spans="1:19" x14ac:dyDescent="0.2">
      <c r="A109" s="5"/>
      <c r="C109" s="2"/>
      <c r="D109" s="34">
        <f>D62+D54+D46+D37+D28+D19</f>
        <v>2.0416184968176898</v>
      </c>
      <c r="E109" s="34">
        <f>E62+E54+E46+E37+E28+E19</f>
        <v>1.9247397293304394</v>
      </c>
      <c r="F109" s="34">
        <f>F62+F54+F46+F37+F28+F19</f>
        <v>1.765245064791571</v>
      </c>
      <c r="G109" s="34">
        <f>G62+G54+G46+G37+G28+G19</f>
        <v>1.7408027273998572</v>
      </c>
      <c r="H109" s="34">
        <f t="shared" ref="H109:P109" si="30">H62+H54+H46+H37+H28+H19</f>
        <v>1.758802455608782</v>
      </c>
      <c r="I109" s="34">
        <f t="shared" si="30"/>
        <v>1.7608374692664637</v>
      </c>
      <c r="J109" s="34">
        <f t="shared" si="30"/>
        <v>1.8231993631060641</v>
      </c>
      <c r="K109" s="34">
        <f t="shared" si="30"/>
        <v>2.033592796170526</v>
      </c>
      <c r="L109" s="34">
        <f t="shared" si="30"/>
        <v>2.1678932520543897</v>
      </c>
      <c r="M109" s="34">
        <f t="shared" si="30"/>
        <v>2.2182633139399708</v>
      </c>
      <c r="N109" s="34">
        <f t="shared" si="30"/>
        <v>2.2328794919779935</v>
      </c>
      <c r="O109" s="34">
        <f t="shared" si="30"/>
        <v>2.1467611005628315</v>
      </c>
      <c r="P109" s="34">
        <f t="shared" si="30"/>
        <v>2.0319270150059308</v>
      </c>
      <c r="Q109" s="2"/>
      <c r="R109" s="2"/>
    </row>
    <row r="110" spans="1:19" x14ac:dyDescent="0.2">
      <c r="A110" s="5"/>
      <c r="D110" s="34"/>
      <c r="Q110" s="2"/>
      <c r="R110" s="2"/>
    </row>
    <row r="111" spans="1:19" x14ac:dyDescent="0.2">
      <c r="A111" s="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43"/>
      <c r="R111" s="43"/>
    </row>
    <row r="112" spans="1:19" x14ac:dyDescent="0.2">
      <c r="A112" s="5"/>
      <c r="B112" s="1" t="s">
        <v>60</v>
      </c>
      <c r="D112" s="2">
        <v>2185530.8774090242</v>
      </c>
      <c r="E112" s="2">
        <v>1665159.244804672</v>
      </c>
      <c r="F112" s="2">
        <v>1368310.5663047852</v>
      </c>
      <c r="G112" s="2">
        <v>1320368.2265086677</v>
      </c>
      <c r="H112" s="2">
        <v>1319281.0946847992</v>
      </c>
      <c r="I112" s="2">
        <v>1310304.5256639421</v>
      </c>
      <c r="J112" s="2">
        <v>1475611.4578802092</v>
      </c>
      <c r="K112" s="2">
        <v>2184614.2103205649</v>
      </c>
      <c r="L112" s="2">
        <v>2902818.6631048452</v>
      </c>
      <c r="M112" s="2">
        <v>3271554.6415787265</v>
      </c>
      <c r="N112" s="2">
        <v>3450018.0322594699</v>
      </c>
      <c r="O112" s="2">
        <v>2764597.4360782392</v>
      </c>
      <c r="P112" s="2"/>
      <c r="R112" s="1"/>
    </row>
    <row r="113" spans="2:18" x14ac:dyDescent="0.2">
      <c r="R113" s="1"/>
    </row>
    <row r="114" spans="2:18" x14ac:dyDescent="0.2">
      <c r="B114" s="1" t="s">
        <v>61</v>
      </c>
      <c r="D114" s="2">
        <f>D17+D26+D35+D44</f>
        <v>1506710.8227619021</v>
      </c>
      <c r="E114" s="2">
        <f t="shared" ref="E114:O114" si="31">E17+E26+E35+E44</f>
        <v>818886.85352635011</v>
      </c>
      <c r="F114" s="2">
        <f t="shared" si="31"/>
        <v>395397.09832098981</v>
      </c>
      <c r="G114" s="2">
        <f t="shared" si="31"/>
        <v>344607.87736031122</v>
      </c>
      <c r="H114" s="2">
        <f t="shared" si="31"/>
        <v>349731.05274283863</v>
      </c>
      <c r="I114" s="2">
        <f t="shared" si="31"/>
        <v>352082.70689869771</v>
      </c>
      <c r="J114" s="2">
        <f t="shared" si="31"/>
        <v>575795.91692280897</v>
      </c>
      <c r="K114" s="2">
        <f t="shared" si="31"/>
        <v>1529674.2444560339</v>
      </c>
      <c r="L114" s="2">
        <f t="shared" si="31"/>
        <v>2520502.7481897827</v>
      </c>
      <c r="M114" s="2">
        <f t="shared" si="31"/>
        <v>3073860.1712784241</v>
      </c>
      <c r="N114" s="2">
        <f t="shared" si="31"/>
        <v>3300342.2415903243</v>
      </c>
      <c r="O114" s="2">
        <f t="shared" si="31"/>
        <v>2313202.0535355792</v>
      </c>
      <c r="P114" s="2">
        <f>SUM(D114:O114)</f>
        <v>17080793.787584044</v>
      </c>
      <c r="R114" s="1"/>
    </row>
  </sheetData>
  <mergeCells count="5">
    <mergeCell ref="O3:P3"/>
    <mergeCell ref="A4:P4"/>
    <mergeCell ref="A5:P5"/>
    <mergeCell ref="A6:P6"/>
    <mergeCell ref="A7:P7"/>
  </mergeCells>
  <pageMargins left="0.7" right="0.7" top="0.75" bottom="0.75" header="0.3" footer="0.3"/>
  <pageSetup scale="60" orientation="landscape" horizontalDpi="1200" verticalDpi="1200" r:id="rId1"/>
  <headerFooter>
    <oddHeader>&amp;RCASE NO. 2024-00276
ATTACHMENT 1
TO STAFF DR 4-10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Test Year Monthly - (Current)</vt:lpstr>
      <vt:lpstr>Test Year Monthly - (Prop)</vt:lpstr>
      <vt:lpstr>Test Year Monthly - (Delta)</vt:lpstr>
      <vt:lpstr>'Test Year Monthly - (Prop)'!Print_Area</vt:lpstr>
      <vt:lpstr>'Test Year Monthly - (Current)'!Print_Titles</vt:lpstr>
      <vt:lpstr>'Test Year Monthly - (Delta)'!Print_Titles</vt:lpstr>
      <vt:lpstr>'Test Year Monthly - (Prop)'!Print_Titles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Troup, Thomas</dc:creator>
  <cp:lastModifiedBy>Wilen, Eric</cp:lastModifiedBy>
  <cp:lastPrinted>2025-04-11T19:03:32Z</cp:lastPrinted>
  <dcterms:created xsi:type="dcterms:W3CDTF">2024-09-16T19:30:39Z</dcterms:created>
  <dcterms:modified xsi:type="dcterms:W3CDTF">2025-04-11T19:03:39Z</dcterms:modified>
</cp:coreProperties>
</file>