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MdSt-KY Rate Case\2024 KY Rate Case\Rebuttal Testimony\Christian\"/>
    </mc:Choice>
  </mc:AlternateContent>
  <xr:revisionPtr revIDLastSave="0" documentId="13_ncr:1_{FCBCC04D-62D9-4CDC-81C7-38262A88A17E}" xr6:coauthVersionLast="47" xr6:coauthVersionMax="47" xr10:uidLastSave="{00000000-0000-0000-0000-000000000000}"/>
  <bookViews>
    <workbookView xWindow="28680" yWindow="780" windowWidth="29040" windowHeight="15720" xr2:uid="{B110528A-54F6-48CE-B6C7-17152671E4BA}"/>
  </bookViews>
  <sheets>
    <sheet name="ATO-CWC1A_R" sheetId="1" r:id="rId1"/>
    <sheet name="ATO-CWC1B_R" sheetId="2" r:id="rId2"/>
  </sheets>
  <externalReferences>
    <externalReference r:id="rId3"/>
    <externalReference r:id="rId4"/>
    <externalReference r:id="rId5"/>
    <externalReference r:id="rId6"/>
  </externalReferences>
  <definedNames>
    <definedName name="_Dist_Bin" hidden="1">#REF!</definedName>
    <definedName name="_Dist_Values" hidden="1">#REF!</definedName>
    <definedName name="_Fill" hidden="1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TTR_YEAR">#REF!</definedName>
    <definedName name="COMPANY">#REF!</definedName>
    <definedName name="csDesignMode">1</definedName>
    <definedName name="HISTORIC_YEAR">#REF!</definedName>
    <definedName name="JURISDICTION">#REF!</definedName>
    <definedName name="_xlnm.Print_Area" localSheetId="0">'ATO-CWC1A_R'!$A$1:$R$55</definedName>
    <definedName name="_xlnm.Print_Area" localSheetId="1">'ATO-CWC1B_R'!$A$1:$R$55</definedName>
    <definedName name="test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" i="2" l="1"/>
  <c r="H51" i="2"/>
  <c r="E51" i="2"/>
  <c r="F51" i="2" s="1"/>
  <c r="N51" i="2" s="1"/>
  <c r="R51" i="2" s="1"/>
  <c r="J49" i="2"/>
  <c r="H49" i="2"/>
  <c r="L49" i="2" s="1"/>
  <c r="E49" i="2"/>
  <c r="F49" i="2" s="1"/>
  <c r="H47" i="2"/>
  <c r="L47" i="2" s="1"/>
  <c r="N47" i="2" s="1"/>
  <c r="R47" i="2" s="1"/>
  <c r="F47" i="2"/>
  <c r="E47" i="2"/>
  <c r="L45" i="2"/>
  <c r="H45" i="2"/>
  <c r="E45" i="2"/>
  <c r="F45" i="2" s="1"/>
  <c r="J43" i="2"/>
  <c r="H43" i="2"/>
  <c r="L43" i="2" s="1"/>
  <c r="L42" i="2"/>
  <c r="J42" i="2"/>
  <c r="H42" i="2"/>
  <c r="E41" i="2"/>
  <c r="E37" i="2" s="1"/>
  <c r="E39" i="2" s="1"/>
  <c r="F39" i="2" s="1"/>
  <c r="N39" i="2" s="1"/>
  <c r="R39" i="2" s="1"/>
  <c r="H39" i="2"/>
  <c r="L39" i="2" s="1"/>
  <c r="J38" i="2"/>
  <c r="H38" i="2"/>
  <c r="L38" i="2" s="1"/>
  <c r="J34" i="2"/>
  <c r="H34" i="2"/>
  <c r="L34" i="2" s="1"/>
  <c r="N34" i="2" s="1"/>
  <c r="R34" i="2" s="1"/>
  <c r="E34" i="2"/>
  <c r="F34" i="2" s="1"/>
  <c r="J33" i="2"/>
  <c r="L33" i="2" s="1"/>
  <c r="N33" i="2" s="1"/>
  <c r="R33" i="2" s="1"/>
  <c r="H33" i="2"/>
  <c r="F33" i="2"/>
  <c r="L30" i="2"/>
  <c r="J30" i="2"/>
  <c r="H30" i="2"/>
  <c r="L29" i="2"/>
  <c r="J29" i="2"/>
  <c r="H29" i="2"/>
  <c r="F29" i="2"/>
  <c r="E29" i="2"/>
  <c r="E30" i="2" s="1"/>
  <c r="L26" i="2"/>
  <c r="J26" i="2"/>
  <c r="H26" i="2"/>
  <c r="F26" i="2"/>
  <c r="N26" i="2" s="1"/>
  <c r="R26" i="2" s="1"/>
  <c r="E26" i="2"/>
  <c r="J25" i="2"/>
  <c r="H25" i="2"/>
  <c r="L25" i="2" s="1"/>
  <c r="N25" i="2" s="1"/>
  <c r="R25" i="2" s="1"/>
  <c r="F25" i="2"/>
  <c r="E25" i="2"/>
  <c r="J24" i="2"/>
  <c r="L24" i="2" s="1"/>
  <c r="H24" i="2"/>
  <c r="E24" i="2"/>
  <c r="F24" i="2" s="1"/>
  <c r="J23" i="2"/>
  <c r="L23" i="2" s="1"/>
  <c r="H23" i="2"/>
  <c r="E23" i="2"/>
  <c r="F23" i="2" s="1"/>
  <c r="J22" i="2"/>
  <c r="H22" i="2"/>
  <c r="L22" i="2" s="1"/>
  <c r="N22" i="2" s="1"/>
  <c r="R22" i="2" s="1"/>
  <c r="F22" i="2"/>
  <c r="E22" i="2"/>
  <c r="J21" i="2"/>
  <c r="H21" i="2"/>
  <c r="L21" i="2" s="1"/>
  <c r="E21" i="2"/>
  <c r="F21" i="2" s="1"/>
  <c r="E18" i="2"/>
  <c r="L17" i="2"/>
  <c r="J17" i="2"/>
  <c r="H17" i="2"/>
  <c r="E17" i="2"/>
  <c r="F17" i="2" s="1"/>
  <c r="J16" i="2"/>
  <c r="H16" i="2"/>
  <c r="L16" i="2" s="1"/>
  <c r="N16" i="2" s="1"/>
  <c r="F16" i="2"/>
  <c r="E16" i="2"/>
  <c r="J13" i="2"/>
  <c r="H13" i="2"/>
  <c r="L13" i="2" s="1"/>
  <c r="E13" i="2"/>
  <c r="F13" i="2" s="1"/>
  <c r="A12" i="2"/>
  <c r="H51" i="1"/>
  <c r="L51" i="1" s="1"/>
  <c r="N51" i="1" s="1"/>
  <c r="R51" i="1" s="1"/>
  <c r="F51" i="1"/>
  <c r="E51" i="1"/>
  <c r="L49" i="1"/>
  <c r="J49" i="1"/>
  <c r="H49" i="1"/>
  <c r="E49" i="1"/>
  <c r="F49" i="1" s="1"/>
  <c r="L47" i="1"/>
  <c r="N47" i="1" s="1"/>
  <c r="R47" i="1" s="1"/>
  <c r="H47" i="1"/>
  <c r="F47" i="1"/>
  <c r="H45" i="1"/>
  <c r="L45" i="1" s="1"/>
  <c r="N45" i="1" s="1"/>
  <c r="R45" i="1" s="1"/>
  <c r="E45" i="1"/>
  <c r="F45" i="1" s="1"/>
  <c r="L43" i="1"/>
  <c r="J43" i="1"/>
  <c r="H43" i="1"/>
  <c r="E43" i="1"/>
  <c r="F43" i="1" s="1"/>
  <c r="J42" i="1"/>
  <c r="L42" i="1" s="1"/>
  <c r="H42" i="1"/>
  <c r="E41" i="1"/>
  <c r="L39" i="1"/>
  <c r="H39" i="1"/>
  <c r="J38" i="1"/>
  <c r="L38" i="1" s="1"/>
  <c r="H38" i="1"/>
  <c r="E37" i="1"/>
  <c r="P35" i="1"/>
  <c r="E35" i="1"/>
  <c r="L34" i="1"/>
  <c r="J34" i="1"/>
  <c r="H34" i="1"/>
  <c r="E34" i="1"/>
  <c r="F34" i="1" s="1"/>
  <c r="J33" i="1"/>
  <c r="H33" i="1"/>
  <c r="L33" i="1" s="1"/>
  <c r="N33" i="1" s="1"/>
  <c r="R33" i="1" s="1"/>
  <c r="F33" i="1"/>
  <c r="J30" i="1"/>
  <c r="H30" i="1"/>
  <c r="L30" i="1" s="1"/>
  <c r="E30" i="1"/>
  <c r="F30" i="1" s="1"/>
  <c r="L29" i="1"/>
  <c r="J29" i="1"/>
  <c r="H29" i="1"/>
  <c r="E29" i="1"/>
  <c r="F29" i="1" s="1"/>
  <c r="L26" i="1"/>
  <c r="N26" i="1" s="1"/>
  <c r="R26" i="1" s="1"/>
  <c r="J26" i="1"/>
  <c r="H26" i="1"/>
  <c r="F26" i="1"/>
  <c r="E26" i="1"/>
  <c r="L25" i="1"/>
  <c r="J25" i="1"/>
  <c r="H25" i="1"/>
  <c r="F25" i="1"/>
  <c r="E25" i="1"/>
  <c r="J24" i="1"/>
  <c r="L24" i="1" s="1"/>
  <c r="H24" i="1"/>
  <c r="F24" i="1"/>
  <c r="E24" i="1"/>
  <c r="J23" i="1"/>
  <c r="L23" i="1" s="1"/>
  <c r="N23" i="1" s="1"/>
  <c r="R23" i="1" s="1"/>
  <c r="H23" i="1"/>
  <c r="E23" i="1"/>
  <c r="F23" i="1" s="1"/>
  <c r="J22" i="1"/>
  <c r="L22" i="1" s="1"/>
  <c r="H22" i="1"/>
  <c r="E22" i="1"/>
  <c r="F22" i="1" s="1"/>
  <c r="N22" i="1" s="1"/>
  <c r="R22" i="1" s="1"/>
  <c r="J21" i="1"/>
  <c r="H21" i="1"/>
  <c r="L21" i="1" s="1"/>
  <c r="E21" i="1"/>
  <c r="F21" i="1" s="1"/>
  <c r="P18" i="1"/>
  <c r="E18" i="1"/>
  <c r="E17" i="1" s="1"/>
  <c r="F17" i="1" s="1"/>
  <c r="N17" i="1" s="1"/>
  <c r="R17" i="1" s="1"/>
  <c r="L17" i="1"/>
  <c r="J17" i="1"/>
  <c r="H17" i="1"/>
  <c r="L16" i="1"/>
  <c r="J16" i="1"/>
  <c r="H16" i="1"/>
  <c r="F16" i="1"/>
  <c r="E16" i="1"/>
  <c r="J13" i="1"/>
  <c r="L13" i="1" s="1"/>
  <c r="H13" i="1"/>
  <c r="F13" i="1"/>
  <c r="E13" i="1"/>
  <c r="A12" i="1"/>
  <c r="E38" i="1" l="1"/>
  <c r="F38" i="1" s="1"/>
  <c r="N38" i="1" s="1"/>
  <c r="R38" i="1" s="1"/>
  <c r="N21" i="1"/>
  <c r="R21" i="1" s="1"/>
  <c r="R35" i="1" s="1"/>
  <c r="N13" i="2"/>
  <c r="R13" i="2" s="1"/>
  <c r="N49" i="2"/>
  <c r="R49" i="2" s="1"/>
  <c r="F30" i="2"/>
  <c r="E35" i="2"/>
  <c r="N49" i="1"/>
  <c r="R49" i="1" s="1"/>
  <c r="N21" i="2"/>
  <c r="N35" i="2" s="1"/>
  <c r="N23" i="2"/>
  <c r="R23" i="2" s="1"/>
  <c r="N30" i="1"/>
  <c r="R30" i="1" s="1"/>
  <c r="N24" i="2"/>
  <c r="R24" i="2" s="1"/>
  <c r="N13" i="1"/>
  <c r="R13" i="1" s="1"/>
  <c r="N16" i="1"/>
  <c r="N25" i="1"/>
  <c r="R25" i="1" s="1"/>
  <c r="E43" i="2"/>
  <c r="F43" i="2" s="1"/>
  <c r="N43" i="1"/>
  <c r="R43" i="1" s="1"/>
  <c r="N30" i="2"/>
  <c r="R30" i="2" s="1"/>
  <c r="N29" i="1"/>
  <c r="R29" i="1" s="1"/>
  <c r="N34" i="1"/>
  <c r="R34" i="1" s="1"/>
  <c r="E39" i="1"/>
  <c r="F39" i="1" s="1"/>
  <c r="N39" i="1" s="1"/>
  <c r="R39" i="1" s="1"/>
  <c r="N29" i="2"/>
  <c r="R29" i="2" s="1"/>
  <c r="N24" i="1"/>
  <c r="R24" i="1" s="1"/>
  <c r="N45" i="2"/>
  <c r="R45" i="2" s="1"/>
  <c r="N43" i="2"/>
  <c r="R43" i="2" s="1"/>
  <c r="N38" i="2"/>
  <c r="R38" i="2" s="1"/>
  <c r="N18" i="1"/>
  <c r="R16" i="1"/>
  <c r="R18" i="1" s="1"/>
  <c r="N17" i="2"/>
  <c r="R17" i="2" s="1"/>
  <c r="R16" i="2"/>
  <c r="E38" i="2"/>
  <c r="F38" i="2" s="1"/>
  <c r="E42" i="1"/>
  <c r="R21" i="2" l="1"/>
  <c r="R35" i="2" s="1"/>
  <c r="R18" i="2"/>
  <c r="R53" i="2" s="1"/>
  <c r="N35" i="1"/>
  <c r="E42" i="2"/>
  <c r="F42" i="2" s="1"/>
  <c r="N42" i="2" s="1"/>
  <c r="R42" i="2" s="1"/>
  <c r="N18" i="2"/>
  <c r="N53" i="2" s="1"/>
  <c r="E53" i="1"/>
  <c r="F42" i="1"/>
  <c r="N42" i="1" s="1"/>
  <c r="E53" i="2"/>
  <c r="R42" i="1" l="1"/>
  <c r="R53" i="1" s="1"/>
  <c r="N53" i="1"/>
</calcChain>
</file>

<file path=xl/sharedStrings.xml><?xml version="1.0" encoding="utf-8"?>
<sst xmlns="http://schemas.openxmlformats.org/spreadsheetml/2006/main" count="214" uniqueCount="71">
  <si>
    <t>ATO-CWC1 A Rebuttal</t>
  </si>
  <si>
    <t>Test Period</t>
  </si>
  <si>
    <t>Cash Working Capital Lead/Lag Analysis</t>
  </si>
  <si>
    <t>Rebuttal</t>
  </si>
  <si>
    <t>Average</t>
  </si>
  <si>
    <t xml:space="preserve"> </t>
  </si>
  <si>
    <t>CWC</t>
  </si>
  <si>
    <t>Line</t>
  </si>
  <si>
    <t>Test Year</t>
  </si>
  <si>
    <t>Daily Expense</t>
  </si>
  <si>
    <t>Revenue</t>
  </si>
  <si>
    <t>Expense</t>
  </si>
  <si>
    <t>Net Lag</t>
  </si>
  <si>
    <t>Requirement</t>
  </si>
  <si>
    <t>Change to</t>
  </si>
  <si>
    <t>No.</t>
  </si>
  <si>
    <t>Description</t>
  </si>
  <si>
    <t>Expenses</t>
  </si>
  <si>
    <t>(b) / 365 days</t>
  </si>
  <si>
    <t>Lag</t>
  </si>
  <si>
    <t>Lead</t>
  </si>
  <si>
    <t>( d) - (e)</t>
  </si>
  <si>
    <t>(c) x (f)</t>
  </si>
  <si>
    <t>As filed</t>
  </si>
  <si>
    <t>(a)</t>
  </si>
  <si>
    <t>(b)</t>
  </si>
  <si>
    <t>( c)</t>
  </si>
  <si>
    <t>(d)</t>
  </si>
  <si>
    <t>(e)</t>
  </si>
  <si>
    <t>(f)</t>
  </si>
  <si>
    <t>(g)</t>
  </si>
  <si>
    <t>Gas Supply Expense</t>
  </si>
  <si>
    <t>Purchased Gas</t>
  </si>
  <si>
    <t>CWC2</t>
  </si>
  <si>
    <t>CWC3</t>
  </si>
  <si>
    <t>Operation and Maintenance Expense</t>
  </si>
  <si>
    <t>O&amp;M, Labor</t>
  </si>
  <si>
    <t>CWC4</t>
  </si>
  <si>
    <t>O&amp;M, Non-Labor</t>
  </si>
  <si>
    <t>CWC5</t>
  </si>
  <si>
    <t>Total O&amp;M Expense</t>
  </si>
  <si>
    <t xml:space="preserve">Taxes Other Than Income </t>
  </si>
  <si>
    <t>Ad Valorem</t>
  </si>
  <si>
    <t>CWC6</t>
  </si>
  <si>
    <t>Taxes Property and Other</t>
  </si>
  <si>
    <t>Payroll Taxes</t>
  </si>
  <si>
    <t>Franchise and other pass through</t>
  </si>
  <si>
    <t>Public Service Commission</t>
  </si>
  <si>
    <t>DOT</t>
  </si>
  <si>
    <t>Allocated Taxes-Shared Services</t>
  </si>
  <si>
    <t>Allocated Taxes-Business Unit</t>
  </si>
  <si>
    <t>Total Taxes Other Than Income</t>
  </si>
  <si>
    <t xml:space="preserve">Federal Income Tax </t>
  </si>
  <si>
    <t>Current Taxes</t>
  </si>
  <si>
    <t>CWC7</t>
  </si>
  <si>
    <t>Deferred Taxes</t>
  </si>
  <si>
    <t>State Income Tax</t>
  </si>
  <si>
    <t>CWC8</t>
  </si>
  <si>
    <t>Depreciation</t>
  </si>
  <si>
    <t>Interest Expense - STD</t>
  </si>
  <si>
    <t>(1)</t>
  </si>
  <si>
    <t>Interest Expense - LTD</t>
  </si>
  <si>
    <t>CWC9</t>
  </si>
  <si>
    <t>Return on Equity</t>
  </si>
  <si>
    <t>TOTAL</t>
  </si>
  <si>
    <t>(1) Please see prior case relied file labeled "CWC1 STD Days Outstanding.pdf (Page 9)" for calculation of average days held</t>
  </si>
  <si>
    <t>ATO-CWC1 Rebuttal</t>
  </si>
  <si>
    <t>Base Period</t>
  </si>
  <si>
    <t>(h)</t>
  </si>
  <si>
    <t>Atmos Energy Corporation-Kentucky</t>
  </si>
  <si>
    <t>For Forecast Test Year Ended  March 31,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</si>
</sst>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11" x14ac:knownFonts="1">
    <font>
      <sz val="12"/>
      <name val="Tms Rmn"/>
    </font>
    <font>
      <sz val="12"/>
      <name val="Tms Rmn"/>
    </font>
    <font>
      <sz val="12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i/>
      <sz val="11"/>
      <name val="Times New Roman"/>
      <family val="1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37" fontId="0" fillId="0" borderId="0"/>
    <xf numFmtId="9" fontId="8" fillId="0" borderId="0" applyFont="0" applyFill="0" applyBorder="0" applyAlignment="0" applyProtection="0"/>
    <xf numFmtId="37" fontId="1" fillId="0" borderId="0"/>
    <xf numFmtId="37" fontId="1" fillId="0" borderId="0"/>
    <xf numFmtId="9" fontId="8" fillId="0" borderId="0" applyFont="0" applyFill="0" applyBorder="0" applyAlignment="0" applyProtection="0"/>
  </cellStyleXfs>
  <cellXfs count="45">
    <xf numFmtId="37" fontId="0" fillId="0" borderId="0" xfId="0"/>
    <xf numFmtId="37" fontId="2" fillId="0" borderId="0" xfId="0" applyFont="1"/>
    <xf numFmtId="37" fontId="3" fillId="0" borderId="0" xfId="0" applyFont="1"/>
    <xf numFmtId="37" fontId="2" fillId="0" borderId="0" xfId="0" applyFont="1" applyAlignment="1">
      <alignment horizontal="center"/>
    </xf>
    <xf numFmtId="37" fontId="4" fillId="0" borderId="0" xfId="0" applyFont="1"/>
    <xf numFmtId="37" fontId="5" fillId="0" borderId="0" xfId="0" applyFont="1" applyAlignment="1">
      <alignment horizontal="right"/>
    </xf>
    <xf numFmtId="37" fontId="5" fillId="0" borderId="0" xfId="2" applyFont="1" applyAlignment="1">
      <alignment horizontal="centerContinuous"/>
    </xf>
    <xf numFmtId="37" fontId="2" fillId="0" borderId="0" xfId="0" applyFont="1" applyAlignment="1">
      <alignment horizontal="centerContinuous"/>
    </xf>
    <xf numFmtId="37" fontId="3" fillId="0" borderId="0" xfId="0" applyFont="1" applyAlignment="1">
      <alignment horizontal="centerContinuous"/>
    </xf>
    <xf numFmtId="37" fontId="4" fillId="0" borderId="0" xfId="0" applyFont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 applyAlignment="1">
      <alignment horizontal="center"/>
    </xf>
    <xf numFmtId="37" fontId="5" fillId="0" borderId="0" xfId="0" applyFont="1"/>
    <xf numFmtId="37" fontId="6" fillId="0" borderId="0" xfId="0" applyFont="1"/>
    <xf numFmtId="37" fontId="7" fillId="0" borderId="0" xfId="0" applyFont="1"/>
    <xf numFmtId="37" fontId="6" fillId="0" borderId="0" xfId="0" applyFont="1" applyAlignment="1">
      <alignment horizontal="center"/>
    </xf>
    <xf numFmtId="37" fontId="7" fillId="0" borderId="0" xfId="0" applyFont="1" applyAlignment="1">
      <alignment horizontal="center"/>
    </xf>
    <xf numFmtId="37" fontId="2" fillId="0" borderId="1" xfId="0" applyFont="1" applyBorder="1" applyAlignment="1">
      <alignment horizontal="center"/>
    </xf>
    <xf numFmtId="37" fontId="5" fillId="0" borderId="1" xfId="0" applyFont="1" applyBorder="1" applyAlignment="1">
      <alignment horizontal="centerContinuous"/>
    </xf>
    <xf numFmtId="37" fontId="5" fillId="0" borderId="1" xfId="0" applyFont="1" applyBorder="1" applyAlignment="1">
      <alignment horizontal="center"/>
    </xf>
    <xf numFmtId="37" fontId="5" fillId="0" borderId="1" xfId="0" quotePrefix="1" applyFont="1" applyBorder="1" applyAlignment="1">
      <alignment horizontal="center"/>
    </xf>
    <xf numFmtId="37" fontId="6" fillId="0" borderId="1" xfId="0" applyFont="1" applyBorder="1" applyAlignment="1">
      <alignment horizontal="center"/>
    </xf>
    <xf numFmtId="37" fontId="2" fillId="0" borderId="0" xfId="0" quotePrefix="1" applyFont="1" applyAlignment="1">
      <alignment horizontal="center"/>
    </xf>
    <xf numFmtId="37" fontId="3" fillId="0" borderId="0" xfId="0" applyFont="1" applyAlignment="1">
      <alignment horizontal="center"/>
    </xf>
    <xf numFmtId="37" fontId="4" fillId="0" borderId="0" xfId="0" applyFont="1" applyAlignment="1">
      <alignment horizontal="center"/>
    </xf>
    <xf numFmtId="39" fontId="2" fillId="0" borderId="0" xfId="0" applyNumberFormat="1" applyFont="1" applyAlignment="1">
      <alignment horizontal="center"/>
    </xf>
    <xf numFmtId="39" fontId="2" fillId="0" borderId="0" xfId="0" applyNumberFormat="1" applyFont="1"/>
    <xf numFmtId="39" fontId="4" fillId="0" borderId="0" xfId="0" applyNumberFormat="1" applyFont="1"/>
    <xf numFmtId="37" fontId="2" fillId="0" borderId="1" xfId="0" applyFont="1" applyBorder="1"/>
    <xf numFmtId="37" fontId="2" fillId="0" borderId="0" xfId="0" quotePrefix="1" applyFont="1"/>
    <xf numFmtId="9" fontId="2" fillId="0" borderId="0" xfId="1" applyFont="1" applyFill="1" applyProtection="1"/>
    <xf numFmtId="10" fontId="4" fillId="0" borderId="0" xfId="1" applyNumberFormat="1" applyFont="1" applyFill="1" applyProtection="1"/>
    <xf numFmtId="9" fontId="2" fillId="0" borderId="0" xfId="0" applyNumberFormat="1" applyFont="1"/>
    <xf numFmtId="37" fontId="2" fillId="0" borderId="2" xfId="0" applyFont="1" applyBorder="1"/>
    <xf numFmtId="37" fontId="3" fillId="0" borderId="0" xfId="0" quotePrefix="1" applyFont="1" applyAlignment="1">
      <alignment horizontal="center"/>
    </xf>
    <xf numFmtId="37" fontId="2" fillId="0" borderId="3" xfId="0" applyFont="1" applyBorder="1"/>
    <xf numFmtId="37" fontId="9" fillId="0" borderId="0" xfId="0" applyFont="1"/>
    <xf numFmtId="39" fontId="4" fillId="0" borderId="0" xfId="0" applyNumberFormat="1" applyFont="1" applyAlignment="1">
      <alignment horizontal="center"/>
    </xf>
    <xf numFmtId="37" fontId="10" fillId="0" borderId="0" xfId="0" applyFont="1"/>
    <xf numFmtId="39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37" fontId="4" fillId="0" borderId="0" xfId="0" quotePrefix="1" applyFont="1"/>
    <xf numFmtId="37" fontId="2" fillId="0" borderId="0" xfId="3" applyFont="1"/>
    <xf numFmtId="37" fontId="4" fillId="0" borderId="0" xfId="0" quotePrefix="1" applyFont="1" applyAlignment="1">
      <alignment horizontal="center"/>
    </xf>
    <xf numFmtId="39" fontId="2" fillId="0" borderId="0" xfId="0" applyNumberFormat="1" applyFont="1" applyFill="1" applyAlignment="1">
      <alignment horizontal="center"/>
    </xf>
  </cellXfs>
  <cellStyles count="5">
    <cellStyle name="Normal" xfId="0" builtinId="0"/>
    <cellStyle name="Normal 7" xfId="3" xr:uid="{966530B4-6989-42CB-9CA5-B2302797F703}"/>
    <cellStyle name="Normal_'Weather Adj FY96 Kansas" xfId="2" xr:uid="{A1318D20-3585-4D0F-BFC7-53F1FF5EB97D}"/>
    <cellStyle name="Percent" xfId="1" builtinId="5"/>
    <cellStyle name="Percent 2" xfId="4" xr:uid="{822C9984-DDE0-4172-8012-70D6FB2A17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MdSt-KY%20Rate%20Case\2024%20KY%20Rate%20Case\Rebuttal%20Testimony\Waller\EXHIBIT%20GKW-R-1%20-%20Rebuttal%20Rev%20Req%20Model.xlsx" TargetMode="External"/><Relationship Id="rId1" Type="http://schemas.openxmlformats.org/officeDocument/2006/relationships/externalLinkPath" Target="/MdSt-KY%20Rate%20Case/2024%20KY%20Rate%20Case/Rebuttal%20Testimony/Waller/EXHIBIT%20GKW-R-1%20-%20Rebuttal%20Rev%20Req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MdSt-KY%20Rate%20Case\2024%20KY%20Rate%20Case\Rebuttal%20Testimony\Christian\WPs\Exhibit%20JTC-R-4%20KY%202024%20Cash%20Working%20Capital.xlsx" TargetMode="External"/><Relationship Id="rId1" Type="http://schemas.openxmlformats.org/officeDocument/2006/relationships/externalLinkPath" Target="WPs/Exhibit%20JTC-R-4%20KY%202024%20Cash%20Working%20Capita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MdSt-KY%20Rate%20Case\2024%20KY%20Rate%20Case\Rebuttal%20Testimony\Christian\WPs\O&amp;M%20Detail%20-%20TME%20Jun-24_Rebuttal.xlsx" TargetMode="External"/><Relationship Id="rId1" Type="http://schemas.openxmlformats.org/officeDocument/2006/relationships/externalLinkPath" Target="WPs/O&amp;M%20Detail%20-%20TME%20Jun-24_Rebuttal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MdSt-KY%20Rate%20Case\2024%20KY%20Rate%20Case\CWC\TYE%206_30_24\Relied%20Upons\CWC6%20-%20Pass%20Through%20Taxes%20Paid%20(2024).xlsx" TargetMode="External"/><Relationship Id="rId1" Type="http://schemas.openxmlformats.org/officeDocument/2006/relationships/externalLinkPath" Target="/MdSt-KY%20Rate%20Case/2024%20KY%20Rate%20Case/CWC/TYE%206_30_24/Relied%20Upons/CWC6%20-%20Pass%20Through%20Taxes%20Paid%20(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Allocation"/>
      <sheetName val="Cover A"/>
      <sheetName val="Summ Rev Req"/>
      <sheetName val="Rate Base"/>
      <sheetName val="A.1"/>
      <sheetName val="Cover B"/>
      <sheetName val="B.1 B"/>
      <sheetName val="B.1 F "/>
      <sheetName val="B.2 B"/>
      <sheetName val="B.2 F"/>
      <sheetName val="B.3 B"/>
      <sheetName val="B.3 F"/>
      <sheetName val="B.3.1 F"/>
      <sheetName val="B.4 B"/>
      <sheetName val="B.4 F"/>
      <sheetName val="B.4.1 B"/>
      <sheetName val="B.4.1 F"/>
      <sheetName val="B.4.2 B"/>
      <sheetName val="B.4.2 F"/>
      <sheetName val="B.5 B"/>
      <sheetName val="B.5 F"/>
      <sheetName val="B.6 B"/>
      <sheetName val="B.6 F"/>
      <sheetName val="WP B.4.1B"/>
      <sheetName val="WP B.4.1F"/>
      <sheetName val="WP B.5 B"/>
      <sheetName val="WP B.5 B1"/>
      <sheetName val="WP B.5 F"/>
      <sheetName val="WP B.5 F1"/>
      <sheetName val="WP B.6 B"/>
      <sheetName val="WP B.6 F"/>
      <sheetName val="Cover C"/>
      <sheetName val="C.1"/>
      <sheetName val="C.2"/>
      <sheetName val="C.2.1 B"/>
      <sheetName val="C.2.1 F"/>
      <sheetName val="C.2.2 B 09"/>
      <sheetName val="C.2.2 B 02"/>
      <sheetName val="C.2.2 B 12"/>
      <sheetName val="C.2.2 B 91"/>
      <sheetName val="C.2.2-F 09"/>
      <sheetName val="C.2.2-F 02"/>
      <sheetName val="C.2.2-F 12"/>
      <sheetName val="C.2.2-F 91"/>
      <sheetName val="C.2.3 B"/>
      <sheetName val="C.2.3 F"/>
      <sheetName val="WP C.2.3 F"/>
      <sheetName val="Cover D"/>
      <sheetName val="D.1"/>
      <sheetName val="D.2.1"/>
      <sheetName val="D.2.2"/>
      <sheetName val="D.2.3"/>
      <sheetName val="Cover E"/>
      <sheetName val="E"/>
      <sheetName val="Cover F"/>
      <sheetName val="F.1"/>
      <sheetName val="F.2.1"/>
      <sheetName val="F.2.2"/>
      <sheetName val="F.3"/>
      <sheetName val="F.4"/>
      <sheetName val="F.5"/>
      <sheetName val="F.6"/>
      <sheetName val="F.7"/>
      <sheetName val="F.8"/>
      <sheetName val="F.9"/>
      <sheetName val="F.10"/>
      <sheetName val="F.11"/>
      <sheetName val="F.12"/>
      <sheetName val="G.1"/>
      <sheetName val="G.2"/>
      <sheetName val="G.3"/>
      <sheetName val="H.1"/>
      <sheetName val="I.1"/>
      <sheetName val="I.2"/>
      <sheetName val="I.3"/>
      <sheetName val="J-1 Base"/>
      <sheetName val="J.1"/>
      <sheetName val="J-2 B"/>
      <sheetName val="J-3 B"/>
      <sheetName val="J-4"/>
      <sheetName val="J-1 F"/>
      <sheetName val="J-3 F"/>
      <sheetName val="J-2 F"/>
      <sheetName val="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">
          <cell r="F27">
            <v>618389715.50261652</v>
          </cell>
        </row>
      </sheetData>
      <sheetData sheetId="8">
        <row r="27">
          <cell r="F27">
            <v>623012456.70698333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5">
          <cell r="H15">
            <v>30467809</v>
          </cell>
        </row>
        <row r="18">
          <cell r="D18">
            <v>52986727.226981685</v>
          </cell>
          <cell r="J18">
            <v>87640898.071899399</v>
          </cell>
        </row>
        <row r="19">
          <cell r="D19">
            <v>33536926.780049894</v>
          </cell>
          <cell r="H19">
            <v>304678.09000000003</v>
          </cell>
          <cell r="J19">
            <v>31812633.065425456</v>
          </cell>
        </row>
        <row r="20">
          <cell r="J20">
            <v>22028374.895356476</v>
          </cell>
        </row>
        <row r="21">
          <cell r="H21">
            <v>47346.975186000003</v>
          </cell>
        </row>
        <row r="23">
          <cell r="J23">
            <v>13814560.015645333</v>
          </cell>
        </row>
      </sheetData>
      <sheetData sheetId="34">
        <row r="26">
          <cell r="D26">
            <v>19915761.448384304</v>
          </cell>
        </row>
        <row r="28">
          <cell r="D28">
            <v>6428012.5134426039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4">
          <cell r="O14">
            <v>391151.23566761491</v>
          </cell>
        </row>
        <row r="15">
          <cell r="O15">
            <v>0</v>
          </cell>
        </row>
        <row r="16">
          <cell r="O16">
            <v>11322473</v>
          </cell>
        </row>
        <row r="17">
          <cell r="O17">
            <v>237689.62999999998</v>
          </cell>
        </row>
        <row r="18">
          <cell r="O18">
            <v>1102.8499999999999</v>
          </cell>
        </row>
        <row r="19">
          <cell r="O19">
            <v>302323.23</v>
          </cell>
        </row>
        <row r="30">
          <cell r="O30">
            <v>685760.53</v>
          </cell>
        </row>
        <row r="34">
          <cell r="O34">
            <v>5668494.4434184311</v>
          </cell>
        </row>
        <row r="36">
          <cell r="O36">
            <v>261256.38090443084</v>
          </cell>
        </row>
        <row r="42">
          <cell r="O42">
            <v>548000</v>
          </cell>
        </row>
        <row r="44">
          <cell r="O44">
            <v>3513066.7726472262</v>
          </cell>
        </row>
        <row r="46">
          <cell r="O46">
            <v>162640.78238435902</v>
          </cell>
        </row>
        <row r="58">
          <cell r="O58">
            <v>163557.69654330387</v>
          </cell>
        </row>
      </sheetData>
      <sheetData sheetId="46">
        <row r="14">
          <cell r="O14">
            <v>448271.24756719283</v>
          </cell>
        </row>
        <row r="16">
          <cell r="O16">
            <v>9889824.3877998516</v>
          </cell>
        </row>
        <row r="17">
          <cell r="O17">
            <v>232790</v>
          </cell>
        </row>
        <row r="18">
          <cell r="O18">
            <v>1102</v>
          </cell>
        </row>
        <row r="19">
          <cell r="O19">
            <v>291875.40854234324</v>
          </cell>
        </row>
        <row r="30">
          <cell r="O30">
            <v>736200</v>
          </cell>
        </row>
        <row r="34">
          <cell r="O34">
            <v>5479058.3154130094</v>
          </cell>
        </row>
        <row r="36">
          <cell r="O36">
            <v>218890.88361772342</v>
          </cell>
        </row>
        <row r="42">
          <cell r="O42">
            <v>589200</v>
          </cell>
        </row>
        <row r="44">
          <cell r="O44">
            <v>3663649.1951742116</v>
          </cell>
        </row>
        <row r="46">
          <cell r="O46">
            <v>131432.08953743617</v>
          </cell>
        </row>
        <row r="58">
          <cell r="O58">
            <v>94109.186173215508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>
        <row r="19">
          <cell r="G19">
            <v>25253194.08380457</v>
          </cell>
        </row>
        <row r="36">
          <cell r="E36">
            <v>0.05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39">
          <cell r="F39">
            <v>72318.891240859972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9">
          <cell r="M19">
            <v>2.9999999999999997E-4</v>
          </cell>
        </row>
        <row r="21">
          <cell r="M21">
            <v>1.54E-2</v>
          </cell>
        </row>
        <row r="25">
          <cell r="M25">
            <v>6.6699999999999995E-2</v>
          </cell>
        </row>
      </sheetData>
      <sheetData sheetId="77">
        <row r="19">
          <cell r="V19">
            <v>1.600082155051466E-2</v>
          </cell>
        </row>
        <row r="25">
          <cell r="V25">
            <v>6.6699999999999995E-2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INPUT"/>
      <sheetName val="ATO-CWC1A_R"/>
      <sheetName val="ATO-CWC1B_R"/>
      <sheetName val="ATO-CWC1AOG"/>
      <sheetName val="ATO-CWC1B"/>
      <sheetName val="ATO-CWC2"/>
      <sheetName val="WP 2-1"/>
      <sheetName val="WP 2-2"/>
      <sheetName val="ATO-CWC3"/>
      <sheetName val="ATO-CWC4"/>
      <sheetName val="ATO-CWC5"/>
      <sheetName val="WP 5-1"/>
      <sheetName val="ATO-CWC6"/>
      <sheetName val="ATO-CWC7"/>
      <sheetName val="ATO-CWC8"/>
      <sheetName val="ATO-CWC9"/>
    </sheetNames>
    <sheetDataSet>
      <sheetData sheetId="0"/>
      <sheetData sheetId="1"/>
      <sheetData sheetId="2"/>
      <sheetData sheetId="3"/>
      <sheetData sheetId="4"/>
      <sheetData sheetId="5">
        <row r="19">
          <cell r="C19">
            <v>34.630000000000003</v>
          </cell>
        </row>
      </sheetData>
      <sheetData sheetId="6"/>
      <sheetData sheetId="7"/>
      <sheetData sheetId="8">
        <row r="122">
          <cell r="L122">
            <v>39.49</v>
          </cell>
        </row>
      </sheetData>
      <sheetData sheetId="9">
        <row r="59">
          <cell r="I59">
            <v>14.33</v>
          </cell>
        </row>
      </sheetData>
      <sheetData sheetId="10">
        <row r="15">
          <cell r="E15">
            <v>26.642480052925261</v>
          </cell>
        </row>
      </sheetData>
      <sheetData sheetId="11"/>
      <sheetData sheetId="12">
        <row r="20">
          <cell r="E20">
            <v>13.680674076730011</v>
          </cell>
        </row>
        <row r="24">
          <cell r="E24">
            <v>278.98849309944291</v>
          </cell>
        </row>
        <row r="27">
          <cell r="E27">
            <v>213.5</v>
          </cell>
        </row>
        <row r="29">
          <cell r="E29">
            <v>58.821697777196263</v>
          </cell>
        </row>
        <row r="31">
          <cell r="E31">
            <v>40.374790215605223</v>
          </cell>
        </row>
        <row r="35">
          <cell r="E35">
            <v>-186.5</v>
          </cell>
        </row>
        <row r="38">
          <cell r="E38">
            <v>59</v>
          </cell>
        </row>
      </sheetData>
      <sheetData sheetId="13">
        <row r="16">
          <cell r="H16">
            <v>38.25</v>
          </cell>
        </row>
      </sheetData>
      <sheetData sheetId="14">
        <row r="16">
          <cell r="H16">
            <v>38.25</v>
          </cell>
        </row>
        <row r="17">
          <cell r="H17"/>
        </row>
      </sheetData>
      <sheetData sheetId="15">
        <row r="30">
          <cell r="U30">
            <v>91.401180616660156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O&amp;M Comparison"/>
      <sheetName val="D.1 Adj"/>
      <sheetName val="F.11 Pension Adj"/>
      <sheetName val="Div 2 forecast"/>
      <sheetName val="Div 12 forecast"/>
      <sheetName val="Div 9 forecast"/>
      <sheetName val="Div 91 forecast"/>
      <sheetName val="Div002 history"/>
      <sheetName val="Div012 history "/>
      <sheetName val="Div009 history"/>
      <sheetName val="Div091 history"/>
      <sheetName val="FY24 Budget"/>
      <sheetName val="FY25 Budget"/>
      <sheetName val="incent comp w cap credits"/>
      <sheetName val="final summary"/>
      <sheetName val="adjustment"/>
      <sheetName val="CPI Index"/>
      <sheetName val="Escalation"/>
      <sheetName val="Cost Center 1903"/>
    </sheetNames>
    <sheetDataSet>
      <sheetData sheetId="0"/>
      <sheetData sheetId="1">
        <row r="6">
          <cell r="O6">
            <v>7950059.9723360604</v>
          </cell>
          <cell r="P6">
            <v>13853745.420767127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Pass-Through Franchise Fee Pmts"/>
      <sheetName val="SalesUse Tax Pmts"/>
      <sheetName val="School Tax Pmts"/>
    </sheetNames>
    <sheetDataSet>
      <sheetData sheetId="0">
        <row r="231">
          <cell r="D231">
            <v>9795658.3100000005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62AD9-EADF-4C5F-83BC-0C43B4F8C224}">
  <sheetPr transitionEvaluation="1" transitionEntry="1">
    <tabColor rgb="FF92D050"/>
    <pageSetUpPr fitToPage="1"/>
  </sheetPr>
  <dimension ref="A1:W169"/>
  <sheetViews>
    <sheetView showGridLines="0" tabSelected="1" zoomScale="85" zoomScaleNormal="85" zoomScaleSheetLayoutView="80" workbookViewId="0">
      <selection activeCell="E13" sqref="E13"/>
    </sheetView>
  </sheetViews>
  <sheetFormatPr defaultColWidth="9.625" defaultRowHeight="15.75" x14ac:dyDescent="0.25"/>
  <cols>
    <col min="1" max="1" width="4.375" style="4" bestFit="1" customWidth="1"/>
    <col min="2" max="2" width="3.875" style="4" customWidth="1"/>
    <col min="3" max="3" width="28.25" style="4" customWidth="1"/>
    <col min="4" max="4" width="7" style="4" customWidth="1"/>
    <col min="5" max="5" width="14.375" style="4" bestFit="1" customWidth="1"/>
    <col min="6" max="6" width="16.5" style="4" bestFit="1" customWidth="1"/>
    <col min="7" max="7" width="8" style="36" customWidth="1"/>
    <col min="8" max="8" width="8.875" style="24" bestFit="1" customWidth="1"/>
    <col min="9" max="9" width="7.75" style="36" customWidth="1"/>
    <col min="10" max="10" width="10.5" style="24" bestFit="1" customWidth="1"/>
    <col min="11" max="11" width="1.375" style="4" customWidth="1"/>
    <col min="12" max="12" width="9.5" style="4" bestFit="1" customWidth="1"/>
    <col min="13" max="13" width="1.625" style="4" customWidth="1"/>
    <col min="14" max="14" width="13.375" style="4" bestFit="1" customWidth="1"/>
    <col min="15" max="15" width="2.75" style="4" customWidth="1"/>
    <col min="16" max="16" width="12" style="4" bestFit="1" customWidth="1"/>
    <col min="17" max="17" width="3.625" style="4" customWidth="1"/>
    <col min="18" max="18" width="14" style="4" bestFit="1" customWidth="1"/>
    <col min="19" max="16384" width="9.625" style="4"/>
  </cols>
  <sheetData>
    <row r="1" spans="1:20" x14ac:dyDescent="0.25">
      <c r="A1" s="1"/>
      <c r="B1" s="1"/>
      <c r="C1" s="1"/>
      <c r="D1" s="1"/>
      <c r="E1" s="1"/>
      <c r="F1" s="1"/>
      <c r="G1" s="2"/>
      <c r="H1" s="3"/>
      <c r="I1" s="2"/>
      <c r="J1" s="3"/>
      <c r="K1" s="1"/>
      <c r="L1" s="1"/>
      <c r="M1" s="1"/>
      <c r="R1" s="5" t="s">
        <v>0</v>
      </c>
    </row>
    <row r="2" spans="1:20" x14ac:dyDescent="0.25">
      <c r="A2" s="6" t="s">
        <v>69</v>
      </c>
      <c r="B2" s="7"/>
      <c r="C2" s="7"/>
      <c r="D2" s="7"/>
      <c r="E2" s="7"/>
      <c r="F2" s="7"/>
      <c r="G2" s="8"/>
      <c r="H2" s="7"/>
      <c r="I2" s="8"/>
      <c r="J2" s="7"/>
      <c r="K2" s="7"/>
      <c r="L2" s="7"/>
      <c r="M2" s="7"/>
      <c r="N2" s="7"/>
      <c r="O2" s="9"/>
      <c r="R2" s="5" t="s">
        <v>1</v>
      </c>
    </row>
    <row r="3" spans="1:20" x14ac:dyDescent="0.25">
      <c r="A3" s="10" t="s">
        <v>2</v>
      </c>
      <c r="B3" s="7"/>
      <c r="C3" s="7"/>
      <c r="D3" s="7"/>
      <c r="E3" s="7"/>
      <c r="F3" s="7"/>
      <c r="G3" s="8"/>
      <c r="H3" s="7"/>
      <c r="I3" s="8"/>
      <c r="J3" s="7"/>
      <c r="K3" s="7"/>
      <c r="L3" s="7"/>
      <c r="M3" s="7"/>
      <c r="N3" s="7"/>
      <c r="O3" s="9"/>
    </row>
    <row r="4" spans="1:20" x14ac:dyDescent="0.25">
      <c r="A4" s="10" t="s">
        <v>70</v>
      </c>
      <c r="B4" s="7"/>
      <c r="C4" s="7"/>
      <c r="D4" s="7"/>
      <c r="E4" s="7"/>
      <c r="F4" s="7"/>
      <c r="G4" s="8"/>
      <c r="H4" s="7"/>
      <c r="I4" s="8"/>
      <c r="J4" s="7"/>
      <c r="K4" s="7"/>
      <c r="L4" s="7"/>
      <c r="M4" s="7"/>
      <c r="N4" s="7"/>
      <c r="O4" s="9"/>
    </row>
    <row r="5" spans="1:20" x14ac:dyDescent="0.25">
      <c r="A5" s="10"/>
      <c r="B5" s="7"/>
      <c r="C5" s="7"/>
      <c r="D5" s="7"/>
      <c r="E5" s="7"/>
      <c r="F5" s="7"/>
      <c r="G5" s="8"/>
      <c r="H5" s="7"/>
      <c r="I5" s="8"/>
      <c r="J5" s="7"/>
      <c r="K5" s="7"/>
      <c r="L5" s="7"/>
      <c r="M5" s="7"/>
      <c r="N5" s="7"/>
      <c r="O5" s="9"/>
    </row>
    <row r="6" spans="1:20" x14ac:dyDescent="0.25">
      <c r="A6" s="1"/>
      <c r="B6" s="1"/>
      <c r="C6" s="1"/>
      <c r="D6" s="1"/>
      <c r="E6" s="1"/>
      <c r="F6" s="1"/>
      <c r="G6" s="2"/>
      <c r="H6" s="3"/>
      <c r="I6" s="2"/>
      <c r="J6" s="3"/>
      <c r="K6" s="1"/>
      <c r="L6" s="1"/>
      <c r="M6" s="1"/>
      <c r="N6" s="11" t="s">
        <v>3</v>
      </c>
    </row>
    <row r="7" spans="1:20" x14ac:dyDescent="0.25">
      <c r="A7" s="1"/>
      <c r="B7" s="12"/>
      <c r="C7" s="12"/>
      <c r="D7" s="12"/>
      <c r="E7" s="12"/>
      <c r="F7" s="11" t="s">
        <v>4</v>
      </c>
      <c r="G7" s="13"/>
      <c r="H7" s="11"/>
      <c r="I7" s="13"/>
      <c r="J7" s="11" t="s">
        <v>5</v>
      </c>
      <c r="K7" s="12"/>
      <c r="L7" s="12"/>
      <c r="M7" s="12"/>
      <c r="N7" s="11" t="s">
        <v>6</v>
      </c>
      <c r="O7" s="14"/>
      <c r="P7" s="11"/>
    </row>
    <row r="8" spans="1:20" x14ac:dyDescent="0.25">
      <c r="A8" s="3" t="s">
        <v>7</v>
      </c>
      <c r="B8" s="12"/>
      <c r="C8" s="12"/>
      <c r="D8" s="12"/>
      <c r="E8" s="11" t="s">
        <v>8</v>
      </c>
      <c r="F8" s="11" t="s">
        <v>9</v>
      </c>
      <c r="G8" s="15"/>
      <c r="H8" s="11" t="s">
        <v>10</v>
      </c>
      <c r="I8" s="15"/>
      <c r="J8" s="11" t="s">
        <v>11</v>
      </c>
      <c r="K8" s="11"/>
      <c r="L8" s="11" t="s">
        <v>12</v>
      </c>
      <c r="M8" s="11"/>
      <c r="N8" s="12" t="s">
        <v>13</v>
      </c>
      <c r="O8" s="16"/>
      <c r="P8" s="11" t="s">
        <v>6</v>
      </c>
      <c r="R8" s="11" t="s">
        <v>14</v>
      </c>
    </row>
    <row r="9" spans="1:20" x14ac:dyDescent="0.25">
      <c r="A9" s="17" t="s">
        <v>15</v>
      </c>
      <c r="B9" s="18" t="s">
        <v>16</v>
      </c>
      <c r="C9" s="18"/>
      <c r="D9" s="18"/>
      <c r="E9" s="19" t="s">
        <v>17</v>
      </c>
      <c r="F9" s="20" t="s">
        <v>18</v>
      </c>
      <c r="G9" s="21"/>
      <c r="H9" s="19" t="s">
        <v>19</v>
      </c>
      <c r="I9" s="21"/>
      <c r="J9" s="19" t="s">
        <v>20</v>
      </c>
      <c r="K9" s="19"/>
      <c r="L9" s="20" t="s">
        <v>21</v>
      </c>
      <c r="M9" s="19"/>
      <c r="N9" s="20" t="s">
        <v>22</v>
      </c>
      <c r="O9" s="16"/>
      <c r="P9" s="20" t="s">
        <v>23</v>
      </c>
      <c r="R9" s="20" t="s">
        <v>23</v>
      </c>
    </row>
    <row r="10" spans="1:20" x14ac:dyDescent="0.25">
      <c r="A10" s="1"/>
      <c r="B10" s="7" t="s">
        <v>24</v>
      </c>
      <c r="C10" s="7"/>
      <c r="D10" s="7"/>
      <c r="E10" s="3" t="s">
        <v>25</v>
      </c>
      <c r="F10" s="22" t="s">
        <v>26</v>
      </c>
      <c r="G10" s="23"/>
      <c r="H10" s="22" t="s">
        <v>27</v>
      </c>
      <c r="I10" s="3"/>
      <c r="J10" s="3" t="s">
        <v>28</v>
      </c>
      <c r="K10" s="3"/>
      <c r="L10" s="22" t="s">
        <v>29</v>
      </c>
      <c r="M10" s="3"/>
      <c r="N10" s="22" t="s">
        <v>30</v>
      </c>
      <c r="O10" s="24"/>
    </row>
    <row r="11" spans="1:20" x14ac:dyDescent="0.25">
      <c r="A11" s="1"/>
      <c r="B11" s="1"/>
      <c r="C11" s="1"/>
      <c r="D11" s="1"/>
      <c r="E11" s="1"/>
      <c r="F11" s="1"/>
      <c r="G11" s="2"/>
      <c r="H11" s="3"/>
      <c r="I11" s="2"/>
      <c r="J11" s="3"/>
      <c r="K11" s="1"/>
      <c r="L11" s="1"/>
      <c r="M11" s="1"/>
      <c r="N11" s="1"/>
    </row>
    <row r="12" spans="1:20" x14ac:dyDescent="0.25">
      <c r="A12" s="3">
        <f t="shared" ref="A12" si="0">1+A11</f>
        <v>1</v>
      </c>
      <c r="B12" s="1" t="s">
        <v>31</v>
      </c>
      <c r="C12" s="1"/>
      <c r="D12" s="1"/>
      <c r="E12" s="1"/>
      <c r="F12" s="1"/>
      <c r="G12" s="2"/>
      <c r="H12" s="3"/>
      <c r="I12" s="2"/>
      <c r="J12" s="3"/>
      <c r="K12" s="1"/>
      <c r="L12" s="1"/>
      <c r="M12" s="1"/>
      <c r="N12" s="1"/>
      <c r="P12" s="43"/>
      <c r="Q12" s="43"/>
      <c r="R12" s="43"/>
    </row>
    <row r="13" spans="1:20" x14ac:dyDescent="0.25">
      <c r="A13" s="3">
        <v>2</v>
      </c>
      <c r="B13" s="1"/>
      <c r="C13" s="1" t="s">
        <v>32</v>
      </c>
      <c r="D13" s="1"/>
      <c r="E13" s="1">
        <f>'[1]C.1'!$J$18</f>
        <v>87640898.071899399</v>
      </c>
      <c r="F13" s="1">
        <f>ROUND(E13/365,0)</f>
        <v>240112</v>
      </c>
      <c r="G13" s="2" t="s">
        <v>33</v>
      </c>
      <c r="H13" s="25">
        <f>'[2]ATO-CWC2'!$C$19</f>
        <v>34.630000000000003</v>
      </c>
      <c r="I13" s="2" t="s">
        <v>34</v>
      </c>
      <c r="J13" s="25">
        <f>'[2]ATO-CWC3'!L122</f>
        <v>39.49</v>
      </c>
      <c r="K13" s="1"/>
      <c r="L13" s="26">
        <f>H13-J13</f>
        <v>-4.8599999999999994</v>
      </c>
      <c r="M13" s="1"/>
      <c r="N13" s="1">
        <f>L13*F13</f>
        <v>-1166944.3199999998</v>
      </c>
      <c r="P13" s="1">
        <v>-1166944.3199999998</v>
      </c>
      <c r="Q13" s="27"/>
      <c r="R13" s="1">
        <f>N13-P13</f>
        <v>0</v>
      </c>
    </row>
    <row r="14" spans="1:20" x14ac:dyDescent="0.25">
      <c r="A14" s="3">
        <v>3</v>
      </c>
      <c r="B14" s="1"/>
      <c r="C14" s="1"/>
      <c r="D14" s="1"/>
      <c r="E14" s="1"/>
      <c r="F14" s="1"/>
      <c r="G14" s="2"/>
      <c r="H14" s="25"/>
      <c r="I14" s="2"/>
      <c r="J14" s="3"/>
      <c r="K14" s="1"/>
      <c r="L14" s="1"/>
      <c r="M14" s="1"/>
      <c r="N14" s="1"/>
      <c r="P14" s="1"/>
      <c r="Q14" s="27"/>
      <c r="R14" s="1"/>
    </row>
    <row r="15" spans="1:20" x14ac:dyDescent="0.25">
      <c r="A15" s="3">
        <v>4</v>
      </c>
      <c r="B15" s="1" t="s">
        <v>35</v>
      </c>
      <c r="C15" s="1"/>
      <c r="D15" s="1"/>
      <c r="E15" s="1"/>
      <c r="F15" s="1"/>
      <c r="G15" s="2"/>
      <c r="H15" s="25"/>
      <c r="I15" s="2"/>
      <c r="J15" s="3"/>
      <c r="K15" s="1"/>
      <c r="L15" s="1"/>
      <c r="M15" s="1"/>
      <c r="N15" s="1"/>
      <c r="P15" s="1"/>
      <c r="Q15" s="27"/>
      <c r="R15" s="1"/>
    </row>
    <row r="16" spans="1:20" x14ac:dyDescent="0.25">
      <c r="A16" s="3">
        <v>5</v>
      </c>
      <c r="B16" s="1"/>
      <c r="C16" s="1" t="s">
        <v>36</v>
      </c>
      <c r="D16" s="1"/>
      <c r="E16" s="1">
        <f>'[3]O&amp;M Comparison'!$P$6</f>
        <v>13853745.420767127</v>
      </c>
      <c r="F16" s="1">
        <f>ROUND(E16/365,0)</f>
        <v>37955</v>
      </c>
      <c r="G16" s="2" t="s">
        <v>33</v>
      </c>
      <c r="H16" s="25">
        <f>'[2]ATO-CWC2'!$C$19</f>
        <v>34.630000000000003</v>
      </c>
      <c r="I16" s="2" t="s">
        <v>37</v>
      </c>
      <c r="J16" s="25">
        <f>'[2]ATO-CWC4'!I59</f>
        <v>14.33</v>
      </c>
      <c r="K16" s="1"/>
      <c r="L16" s="26">
        <f>H16-J16</f>
        <v>20.300000000000004</v>
      </c>
      <c r="M16" s="1"/>
      <c r="N16" s="1">
        <f>L16*F16</f>
        <v>770486.50000000012</v>
      </c>
      <c r="P16" s="1">
        <v>782524.40000000014</v>
      </c>
      <c r="Q16"/>
      <c r="R16" s="1">
        <f t="shared" ref="R16:R17" si="1">N16-P16</f>
        <v>-12037.900000000023</v>
      </c>
      <c r="S16"/>
      <c r="T16"/>
    </row>
    <row r="17" spans="1:20" x14ac:dyDescent="0.25">
      <c r="A17" s="3">
        <v>6</v>
      </c>
      <c r="B17" s="1"/>
      <c r="C17" s="1" t="s">
        <v>38</v>
      </c>
      <c r="D17" s="1"/>
      <c r="E17" s="28">
        <f>E18-E16</f>
        <v>17958887.644658327</v>
      </c>
      <c r="F17" s="1">
        <f>ROUND(E17/365,0)</f>
        <v>49202</v>
      </c>
      <c r="G17" s="2" t="s">
        <v>33</v>
      </c>
      <c r="H17" s="25">
        <f>'[2]ATO-CWC2'!$C$19</f>
        <v>34.630000000000003</v>
      </c>
      <c r="I17" s="2" t="s">
        <v>39</v>
      </c>
      <c r="J17" s="25">
        <f>'[2]ATO-CWC5'!E15</f>
        <v>26.642480052925261</v>
      </c>
      <c r="K17" s="1"/>
      <c r="L17" s="26">
        <f>H17-J17</f>
        <v>7.9875199470747411</v>
      </c>
      <c r="M17" s="1"/>
      <c r="N17" s="28">
        <f>L17*F17</f>
        <v>393001.95643597143</v>
      </c>
      <c r="P17" s="28">
        <v>584939.97479802475</v>
      </c>
      <c r="Q17" s="27"/>
      <c r="R17" s="28">
        <f t="shared" si="1"/>
        <v>-191938.01836205332</v>
      </c>
    </row>
    <row r="18" spans="1:20" x14ac:dyDescent="0.25">
      <c r="A18" s="3">
        <v>7</v>
      </c>
      <c r="B18" s="1" t="s">
        <v>40</v>
      </c>
      <c r="C18" s="1"/>
      <c r="D18" s="1"/>
      <c r="E18" s="1">
        <f>'[1]C.1'!$J$19</f>
        <v>31812633.065425456</v>
      </c>
      <c r="F18" s="1"/>
      <c r="G18" s="2"/>
      <c r="H18" s="25"/>
      <c r="I18" s="2"/>
      <c r="J18" s="3"/>
      <c r="K18" s="1"/>
      <c r="L18" s="1"/>
      <c r="M18" s="1"/>
      <c r="N18" s="1">
        <f>SUM(N16:N17)</f>
        <v>1163488.4564359714</v>
      </c>
      <c r="P18" s="1">
        <f>SUM(P16:P17)</f>
        <v>1367464.374798025</v>
      </c>
      <c r="Q18" s="27"/>
      <c r="R18" s="1">
        <f>SUM(R16:R17)</f>
        <v>-203975.91836205334</v>
      </c>
    </row>
    <row r="19" spans="1:20" x14ac:dyDescent="0.25">
      <c r="A19" s="3">
        <v>8</v>
      </c>
      <c r="B19" s="1"/>
      <c r="C19" s="1"/>
      <c r="D19" s="1"/>
      <c r="E19" s="1"/>
      <c r="F19" s="1"/>
      <c r="G19" s="2"/>
      <c r="H19" s="25"/>
      <c r="I19" s="2"/>
      <c r="J19" s="3"/>
      <c r="K19" s="1"/>
      <c r="L19" s="1"/>
      <c r="M19" s="1"/>
      <c r="N19" s="1"/>
      <c r="P19" s="1"/>
      <c r="Q19" s="27"/>
      <c r="R19" s="1"/>
    </row>
    <row r="20" spans="1:20" x14ac:dyDescent="0.25">
      <c r="A20" s="3">
        <v>9</v>
      </c>
      <c r="B20" s="1" t="s">
        <v>41</v>
      </c>
      <c r="C20" s="1"/>
      <c r="D20" s="1"/>
      <c r="E20" s="1"/>
      <c r="F20" s="1"/>
      <c r="G20" s="2"/>
      <c r="H20" s="25"/>
      <c r="I20" s="2"/>
      <c r="J20" s="3"/>
      <c r="K20" s="1"/>
      <c r="L20" s="1"/>
      <c r="M20" s="1"/>
      <c r="N20" s="1"/>
      <c r="P20" s="1"/>
      <c r="Q20" s="27"/>
      <c r="R20" s="1"/>
    </row>
    <row r="21" spans="1:20" x14ac:dyDescent="0.25">
      <c r="A21" s="3">
        <v>10</v>
      </c>
      <c r="B21" s="1"/>
      <c r="C21" s="1" t="s">
        <v>42</v>
      </c>
      <c r="D21" s="1"/>
      <c r="E21" s="1">
        <f>'[1]C.2.3 F'!$O$16</f>
        <v>9889824.3877998516</v>
      </c>
      <c r="F21" s="1">
        <f t="shared" ref="F21:F26" si="2">ROUND(E21/365,0)</f>
        <v>27095</v>
      </c>
      <c r="G21" s="2" t="s">
        <v>33</v>
      </c>
      <c r="H21" s="25">
        <f>'[2]ATO-CWC2'!$C$19</f>
        <v>34.630000000000003</v>
      </c>
      <c r="I21" s="2" t="s">
        <v>43</v>
      </c>
      <c r="J21" s="25">
        <f>'[2]ATO-CWC6'!$E$24</f>
        <v>278.98849309944291</v>
      </c>
      <c r="K21" s="1"/>
      <c r="L21" s="26">
        <f t="shared" ref="L21:L26" si="3">H21-J21</f>
        <v>-244.35849309944291</v>
      </c>
      <c r="M21" s="1"/>
      <c r="N21" s="1">
        <f t="shared" ref="N21:N26" si="4">L21*F21</f>
        <v>-6620893.3705294058</v>
      </c>
      <c r="P21" s="1">
        <v>-8291572.3878502967</v>
      </c>
      <c r="Q21"/>
      <c r="R21" s="1">
        <f t="shared" ref="R21:R26" si="5">N21-P21</f>
        <v>1670679.0173208909</v>
      </c>
    </row>
    <row r="22" spans="1:20" x14ac:dyDescent="0.25">
      <c r="A22" s="3">
        <v>11</v>
      </c>
      <c r="B22" s="1"/>
      <c r="C22" s="1" t="s">
        <v>44</v>
      </c>
      <c r="D22" s="1"/>
      <c r="E22" s="1">
        <f>'[1]C.2.3 F'!$O$18</f>
        <v>1102</v>
      </c>
      <c r="F22" s="1">
        <f t="shared" si="2"/>
        <v>3</v>
      </c>
      <c r="G22" s="2" t="s">
        <v>33</v>
      </c>
      <c r="H22" s="25">
        <f>'[2]ATO-CWC2'!$C$19</f>
        <v>34.630000000000003</v>
      </c>
      <c r="I22" s="2" t="s">
        <v>43</v>
      </c>
      <c r="J22" s="25">
        <f>'[2]ATO-CWC6'!E29</f>
        <v>58.821697777196263</v>
      </c>
      <c r="K22" s="1"/>
      <c r="L22" s="26">
        <f t="shared" si="3"/>
        <v>-24.191697777196261</v>
      </c>
      <c r="M22" s="1"/>
      <c r="N22" s="1">
        <f t="shared" si="4"/>
        <v>-72.575093331588789</v>
      </c>
      <c r="P22" s="1">
        <v>-72.575093331588789</v>
      </c>
      <c r="Q22"/>
      <c r="R22" s="1">
        <f t="shared" si="5"/>
        <v>0</v>
      </c>
    </row>
    <row r="23" spans="1:20" x14ac:dyDescent="0.25">
      <c r="A23" s="3">
        <v>12</v>
      </c>
      <c r="B23" s="1"/>
      <c r="C23" s="1" t="s">
        <v>45</v>
      </c>
      <c r="D23" s="1"/>
      <c r="E23" s="29">
        <f>'[1]C.2.3 F'!$O$14-[1]F.10!$F$39</f>
        <v>375952.35632633284</v>
      </c>
      <c r="F23" s="1">
        <f t="shared" si="2"/>
        <v>1030</v>
      </c>
      <c r="G23" s="2" t="s">
        <v>33</v>
      </c>
      <c r="H23" s="25">
        <f>'[2]ATO-CWC2'!$C$19</f>
        <v>34.630000000000003</v>
      </c>
      <c r="I23" s="2" t="s">
        <v>43</v>
      </c>
      <c r="J23" s="25">
        <f>'[2]ATO-CWC6'!$E$20</f>
        <v>13.680674076730011</v>
      </c>
      <c r="K23" s="1"/>
      <c r="L23" s="26">
        <f t="shared" si="3"/>
        <v>20.949325923269992</v>
      </c>
      <c r="M23" s="1"/>
      <c r="N23" s="1">
        <f t="shared" si="4"/>
        <v>21577.805700968092</v>
      </c>
      <c r="P23" s="1">
        <v>21577.805700968092</v>
      </c>
      <c r="Q23"/>
      <c r="R23" s="1">
        <f t="shared" si="5"/>
        <v>0</v>
      </c>
    </row>
    <row r="24" spans="1:20" x14ac:dyDescent="0.25">
      <c r="A24" s="3">
        <v>13</v>
      </c>
      <c r="B24" s="1"/>
      <c r="C24" s="1" t="s">
        <v>46</v>
      </c>
      <c r="D24" s="1"/>
      <c r="E24" s="1">
        <f>[4]Summary!$D$231</f>
        <v>9795658.3100000005</v>
      </c>
      <c r="F24" s="1">
        <f t="shared" si="2"/>
        <v>26837</v>
      </c>
      <c r="G24" s="2" t="s">
        <v>33</v>
      </c>
      <c r="H24" s="25">
        <f>'[2]ATO-CWC2'!$C$19</f>
        <v>34.630000000000003</v>
      </c>
      <c r="I24" s="2" t="s">
        <v>43</v>
      </c>
      <c r="J24" s="25">
        <f>'[2]ATO-CWC6'!E31</f>
        <v>40.374790215605223</v>
      </c>
      <c r="K24" s="1"/>
      <c r="L24" s="26">
        <f t="shared" si="3"/>
        <v>-5.7447902156052209</v>
      </c>
      <c r="M24" s="1"/>
      <c r="N24" s="1">
        <f t="shared" si="4"/>
        <v>-154172.9350161973</v>
      </c>
      <c r="P24" s="1">
        <v>-154172.9350161973</v>
      </c>
      <c r="Q24"/>
      <c r="R24" s="1">
        <f t="shared" si="5"/>
        <v>0</v>
      </c>
      <c r="S24"/>
      <c r="T24"/>
    </row>
    <row r="25" spans="1:20" x14ac:dyDescent="0.25">
      <c r="A25" s="3">
        <v>14</v>
      </c>
      <c r="B25" s="1"/>
      <c r="C25" s="1" t="s">
        <v>47</v>
      </c>
      <c r="D25" s="1"/>
      <c r="E25" s="1">
        <f>'[1]C.2.3 F'!$O$19+'[1]C.1'!$H$21</f>
        <v>339222.38372834324</v>
      </c>
      <c r="F25" s="1">
        <f t="shared" si="2"/>
        <v>929</v>
      </c>
      <c r="G25" s="2" t="s">
        <v>33</v>
      </c>
      <c r="H25" s="25">
        <f>'[2]ATO-CWC2'!$C$19</f>
        <v>34.630000000000003</v>
      </c>
      <c r="I25" s="2" t="s">
        <v>43</v>
      </c>
      <c r="J25" s="25">
        <f>'[2]ATO-CWC6'!$E$35</f>
        <v>-186.5</v>
      </c>
      <c r="K25" s="1"/>
      <c r="L25" s="26">
        <f t="shared" si="3"/>
        <v>221.13</v>
      </c>
      <c r="M25" s="1"/>
      <c r="N25" s="1">
        <f t="shared" si="4"/>
        <v>205429.77</v>
      </c>
      <c r="P25" s="1">
        <v>210073.5</v>
      </c>
      <c r="Q25" s="27"/>
      <c r="R25" s="1">
        <f t="shared" si="5"/>
        <v>-4643.7300000000105</v>
      </c>
    </row>
    <row r="26" spans="1:20" x14ac:dyDescent="0.25">
      <c r="A26" s="3">
        <v>15</v>
      </c>
      <c r="B26" s="1"/>
      <c r="C26" s="1" t="s">
        <v>48</v>
      </c>
      <c r="D26" s="1"/>
      <c r="E26" s="1">
        <f>'[1]C.2.3 F'!$O$17</f>
        <v>232790</v>
      </c>
      <c r="F26" s="1">
        <f t="shared" si="2"/>
        <v>638</v>
      </c>
      <c r="G26" s="2" t="s">
        <v>33</v>
      </c>
      <c r="H26" s="25">
        <f>'[2]ATO-CWC2'!$C$19</f>
        <v>34.630000000000003</v>
      </c>
      <c r="I26" s="2" t="s">
        <v>43</v>
      </c>
      <c r="J26" s="25">
        <f>'[2]ATO-CWC6'!E38</f>
        <v>59</v>
      </c>
      <c r="K26" s="1"/>
      <c r="L26" s="26">
        <f t="shared" si="3"/>
        <v>-24.369999999999997</v>
      </c>
      <c r="M26" s="1"/>
      <c r="N26" s="1">
        <f t="shared" si="4"/>
        <v>-15548.059999999998</v>
      </c>
      <c r="P26" s="1">
        <v>-15548.059999999998</v>
      </c>
      <c r="Q26" s="27"/>
      <c r="R26" s="1">
        <f t="shared" si="5"/>
        <v>0</v>
      </c>
    </row>
    <row r="27" spans="1:20" x14ac:dyDescent="0.25">
      <c r="A27" s="3">
        <v>16</v>
      </c>
      <c r="B27" s="1"/>
      <c r="C27" s="1"/>
      <c r="D27" s="1"/>
      <c r="E27" s="1"/>
      <c r="F27" s="1"/>
      <c r="G27" s="2"/>
      <c r="H27" s="25"/>
      <c r="I27" s="2"/>
      <c r="J27" s="3"/>
      <c r="K27" s="1"/>
      <c r="L27" s="1"/>
      <c r="M27" s="1"/>
      <c r="N27" s="1"/>
      <c r="P27" s="1"/>
      <c r="Q27" s="27"/>
      <c r="R27" s="1"/>
    </row>
    <row r="28" spans="1:20" x14ac:dyDescent="0.25">
      <c r="A28" s="3">
        <v>17</v>
      </c>
      <c r="B28" s="1" t="s">
        <v>49</v>
      </c>
      <c r="C28" s="1"/>
      <c r="D28" s="1"/>
      <c r="E28" s="2"/>
      <c r="F28" s="1"/>
      <c r="G28" s="2"/>
      <c r="H28" s="25"/>
      <c r="I28" s="2"/>
      <c r="J28" s="3"/>
      <c r="K28" s="1"/>
      <c r="L28" s="1"/>
      <c r="M28" s="1"/>
      <c r="N28" s="1"/>
      <c r="P28" s="1"/>
      <c r="Q28" s="27"/>
      <c r="R28" s="1"/>
    </row>
    <row r="29" spans="1:20" x14ac:dyDescent="0.25">
      <c r="A29" s="3">
        <v>18</v>
      </c>
      <c r="B29" s="1"/>
      <c r="C29" s="1" t="s">
        <v>42</v>
      </c>
      <c r="D29" s="30"/>
      <c r="E29" s="1">
        <f>('[1]C.2.3 F'!$O$30/'[1]C.2.3 F'!$O$34)*'[1]C.2.3 F'!$O$36+('[1]C.2.3 F'!$O$42/'[1]C.2.3 F'!$O$44)*'[1]C.2.3 F'!$O$46</f>
        <v>50548.863296290132</v>
      </c>
      <c r="F29" s="1">
        <f>ROUND(E29/365,0)</f>
        <v>138</v>
      </c>
      <c r="G29" s="2" t="s">
        <v>33</v>
      </c>
      <c r="H29" s="25">
        <f>'[2]ATO-CWC2'!$C$19</f>
        <v>34.630000000000003</v>
      </c>
      <c r="I29" s="2" t="s">
        <v>43</v>
      </c>
      <c r="J29" s="25">
        <f>'[2]ATO-CWC6'!E27</f>
        <v>213.5</v>
      </c>
      <c r="K29" s="1"/>
      <c r="L29" s="26">
        <f>H29-J29</f>
        <v>-178.87</v>
      </c>
      <c r="M29" s="1"/>
      <c r="N29" s="1">
        <f>L29*F29</f>
        <v>-24684.06</v>
      </c>
      <c r="P29" s="1">
        <v>-24684.06</v>
      </c>
      <c r="Q29" s="27"/>
      <c r="R29" s="1">
        <f t="shared" ref="R29:R30" si="6">N29-P29</f>
        <v>0</v>
      </c>
    </row>
    <row r="30" spans="1:20" x14ac:dyDescent="0.25">
      <c r="A30" s="3">
        <v>19</v>
      </c>
      <c r="B30" s="1"/>
      <c r="C30" s="1" t="s">
        <v>45</v>
      </c>
      <c r="D30" s="30"/>
      <c r="E30" s="1">
        <f>'[1]C.2.3 F'!$O$36+'[1]C.2.3 F'!$O$46-E29</f>
        <v>299774.10985886946</v>
      </c>
      <c r="F30" s="1">
        <f>ROUND(E30/365,0)</f>
        <v>821</v>
      </c>
      <c r="G30" s="2" t="s">
        <v>33</v>
      </c>
      <c r="H30" s="25">
        <f>'[2]ATO-CWC2'!$C$19</f>
        <v>34.630000000000003</v>
      </c>
      <c r="I30" s="2" t="s">
        <v>43</v>
      </c>
      <c r="J30" s="25">
        <f>'[2]ATO-CWC6'!$E$20</f>
        <v>13.680674076730011</v>
      </c>
      <c r="K30" s="1"/>
      <c r="L30" s="26">
        <f>H30-J30</f>
        <v>20.949325923269992</v>
      </c>
      <c r="M30" s="1"/>
      <c r="N30" s="1">
        <f>L30*F30</f>
        <v>17199.396583004662</v>
      </c>
      <c r="P30" s="1">
        <v>17199.396583004662</v>
      </c>
      <c r="Q30" s="27"/>
      <c r="R30" s="1">
        <f t="shared" si="6"/>
        <v>0</v>
      </c>
      <c r="S30" s="31"/>
    </row>
    <row r="31" spans="1:20" x14ac:dyDescent="0.25">
      <c r="A31" s="3">
        <v>20</v>
      </c>
      <c r="B31" s="1"/>
      <c r="C31" s="1"/>
      <c r="D31" s="32"/>
      <c r="E31" s="1"/>
      <c r="F31" s="1"/>
      <c r="G31" s="2"/>
      <c r="H31" s="3"/>
      <c r="I31" s="2"/>
      <c r="J31" s="3"/>
      <c r="K31" s="1"/>
      <c r="L31" s="1"/>
      <c r="M31" s="1"/>
      <c r="N31" s="1"/>
      <c r="P31" s="1"/>
      <c r="Q31" s="27"/>
      <c r="R31" s="1"/>
    </row>
    <row r="32" spans="1:20" x14ac:dyDescent="0.25">
      <c r="A32" s="3">
        <v>21</v>
      </c>
      <c r="B32" s="1" t="s">
        <v>50</v>
      </c>
      <c r="C32" s="1"/>
      <c r="D32" s="32"/>
      <c r="E32" s="1"/>
      <c r="F32" s="1"/>
      <c r="G32" s="2"/>
      <c r="H32" s="3"/>
      <c r="I32" s="2"/>
      <c r="J32" s="3"/>
      <c r="K32" s="1"/>
      <c r="L32" s="1"/>
      <c r="M32" s="1"/>
      <c r="N32" s="1"/>
      <c r="P32" s="1"/>
      <c r="Q32" s="27"/>
      <c r="R32" s="1"/>
    </row>
    <row r="33" spans="1:23" x14ac:dyDescent="0.25">
      <c r="A33" s="3">
        <v>22</v>
      </c>
      <c r="B33" s="1"/>
      <c r="C33" s="1" t="s">
        <v>42</v>
      </c>
      <c r="D33" s="30"/>
      <c r="E33" s="1"/>
      <c r="F33" s="1">
        <f>ROUND(E33/365,0)</f>
        <v>0</v>
      </c>
      <c r="G33" s="2" t="s">
        <v>33</v>
      </c>
      <c r="H33" s="25">
        <f>'[2]ATO-CWC2'!$C$19</f>
        <v>34.630000000000003</v>
      </c>
      <c r="I33" s="2" t="s">
        <v>43</v>
      </c>
      <c r="J33" s="25">
        <f>'[2]ATO-CWC6'!$E$24</f>
        <v>278.98849309944291</v>
      </c>
      <c r="K33" s="1"/>
      <c r="L33" s="26">
        <f>H33-J33</f>
        <v>-244.35849309944291</v>
      </c>
      <c r="M33" s="1"/>
      <c r="N33" s="1">
        <f>L33*F33</f>
        <v>0</v>
      </c>
      <c r="P33" s="1">
        <v>0</v>
      </c>
      <c r="Q33" s="27"/>
      <c r="R33" s="1">
        <f t="shared" ref="R33:R34" si="7">N33-P33</f>
        <v>0</v>
      </c>
    </row>
    <row r="34" spans="1:23" x14ac:dyDescent="0.25">
      <c r="A34" s="3">
        <v>23</v>
      </c>
      <c r="B34" s="1"/>
      <c r="C34" s="1" t="s">
        <v>45</v>
      </c>
      <c r="D34" s="30"/>
      <c r="E34" s="1">
        <f>'[1]C.2.3 F'!$O$58</f>
        <v>94109.186173215508</v>
      </c>
      <c r="F34" s="1">
        <f>ROUND(E34/365,0)</f>
        <v>258</v>
      </c>
      <c r="G34" s="2" t="s">
        <v>33</v>
      </c>
      <c r="H34" s="25">
        <f>'[2]ATO-CWC2'!$C$19</f>
        <v>34.630000000000003</v>
      </c>
      <c r="I34" s="2" t="s">
        <v>43</v>
      </c>
      <c r="J34" s="25">
        <f>'[2]ATO-CWC6'!$E$20</f>
        <v>13.680674076730011</v>
      </c>
      <c r="K34" s="1"/>
      <c r="L34" s="26">
        <f>H34-J34</f>
        <v>20.949325923269992</v>
      </c>
      <c r="M34" s="1"/>
      <c r="N34" s="1">
        <f>L34*F34</f>
        <v>5404.9260882036579</v>
      </c>
      <c r="P34" s="1">
        <v>5404.9260882036579</v>
      </c>
      <c r="Q34" s="27"/>
      <c r="R34" s="1">
        <f t="shared" si="7"/>
        <v>0</v>
      </c>
    </row>
    <row r="35" spans="1:23" x14ac:dyDescent="0.25">
      <c r="A35" s="3">
        <v>24</v>
      </c>
      <c r="B35" s="1" t="s">
        <v>51</v>
      </c>
      <c r="C35" s="1"/>
      <c r="D35" s="1"/>
      <c r="E35" s="33">
        <f>SUM(E21:E34)</f>
        <v>21078981.597182903</v>
      </c>
      <c r="F35" s="1"/>
      <c r="G35" s="2"/>
      <c r="H35" s="25"/>
      <c r="I35" s="2"/>
      <c r="J35" s="3"/>
      <c r="K35" s="1"/>
      <c r="L35" s="1"/>
      <c r="M35" s="1"/>
      <c r="N35" s="33">
        <f>SUM(N21:N34)</f>
        <v>-6565759.1022667577</v>
      </c>
      <c r="P35" s="33">
        <f>SUM(P21:P34)</f>
        <v>-8231794.3895876482</v>
      </c>
      <c r="Q35" s="27"/>
      <c r="R35" s="33">
        <f>SUM(R21:R34)</f>
        <v>1666035.2873208909</v>
      </c>
    </row>
    <row r="36" spans="1:23" x14ac:dyDescent="0.25">
      <c r="A36" s="3">
        <v>25</v>
      </c>
      <c r="B36" s="1"/>
      <c r="C36" s="1"/>
      <c r="D36" s="1"/>
      <c r="E36" s="1"/>
      <c r="F36" s="1"/>
      <c r="G36" s="2"/>
      <c r="H36" s="25"/>
      <c r="I36" s="2"/>
      <c r="J36" s="3"/>
      <c r="K36" s="1"/>
      <c r="L36" s="1"/>
      <c r="M36" s="1"/>
      <c r="N36" s="1"/>
      <c r="P36" s="1"/>
      <c r="Q36" s="27"/>
      <c r="R36" s="1"/>
    </row>
    <row r="37" spans="1:23" x14ac:dyDescent="0.25">
      <c r="A37" s="3">
        <v>26</v>
      </c>
      <c r="B37" s="1" t="s">
        <v>52</v>
      </c>
      <c r="C37" s="1"/>
      <c r="D37" s="1"/>
      <c r="E37" s="2">
        <f>-E41+'[1]C.1'!$J$23</f>
        <v>11010908.608195804</v>
      </c>
      <c r="F37" s="1"/>
      <c r="G37" s="2"/>
      <c r="H37" s="3"/>
      <c r="I37" s="2"/>
      <c r="J37" s="3"/>
      <c r="K37" s="1"/>
      <c r="L37" s="1"/>
      <c r="M37" s="1"/>
      <c r="N37" s="1"/>
      <c r="P37" s="1"/>
      <c r="Q37" s="27"/>
      <c r="R37" s="1"/>
    </row>
    <row r="38" spans="1:23" x14ac:dyDescent="0.25">
      <c r="A38" s="3">
        <v>27</v>
      </c>
      <c r="B38" s="1"/>
      <c r="C38" s="1" t="s">
        <v>53</v>
      </c>
      <c r="D38" s="1"/>
      <c r="E38" s="1">
        <f>E37-E39</f>
        <v>0</v>
      </c>
      <c r="F38" s="1">
        <f>ROUND(E38/365,0)</f>
        <v>0</v>
      </c>
      <c r="G38" s="2" t="s">
        <v>33</v>
      </c>
      <c r="H38" s="25">
        <f>'[2]ATO-CWC2'!$C$19</f>
        <v>34.630000000000003</v>
      </c>
      <c r="I38" s="2" t="s">
        <v>54</v>
      </c>
      <c r="J38" s="25">
        <f>'[2]ATO-CWC7'!$H$16</f>
        <v>38.25</v>
      </c>
      <c r="K38" s="1"/>
      <c r="L38" s="26">
        <f>H38-J38</f>
        <v>-3.6199999999999974</v>
      </c>
      <c r="M38" s="1"/>
      <c r="N38" s="1">
        <f>L38*F38</f>
        <v>0</v>
      </c>
      <c r="P38" s="1">
        <v>0</v>
      </c>
      <c r="Q38" s="27"/>
      <c r="R38" s="1">
        <f t="shared" ref="R38:R39" si="8">N38-P38</f>
        <v>0</v>
      </c>
    </row>
    <row r="39" spans="1:23" x14ac:dyDescent="0.25">
      <c r="A39" s="3">
        <v>28</v>
      </c>
      <c r="B39" s="1"/>
      <c r="C39" s="1" t="s">
        <v>55</v>
      </c>
      <c r="D39" s="1"/>
      <c r="E39" s="1">
        <f>E37</f>
        <v>11010908.608195804</v>
      </c>
      <c r="F39" s="1">
        <f>ROUND(E39/365,0)</f>
        <v>30167</v>
      </c>
      <c r="G39" s="2" t="s">
        <v>33</v>
      </c>
      <c r="H39" s="25">
        <f>'[2]ATO-CWC2'!$C$19</f>
        <v>34.630000000000003</v>
      </c>
      <c r="I39" s="2" t="s">
        <v>54</v>
      </c>
      <c r="J39" s="25">
        <v>0</v>
      </c>
      <c r="K39" s="1"/>
      <c r="L39" s="26">
        <f>H39-J39</f>
        <v>34.630000000000003</v>
      </c>
      <c r="M39" s="1"/>
      <c r="N39" s="1">
        <f>L39*F39</f>
        <v>1044683.2100000001</v>
      </c>
      <c r="P39" s="1">
        <v>1052925.1500000001</v>
      </c>
      <c r="Q39"/>
      <c r="R39" s="1">
        <f t="shared" si="8"/>
        <v>-8241.9400000000605</v>
      </c>
      <c r="S39"/>
      <c r="T39"/>
      <c r="U39"/>
      <c r="V39"/>
    </row>
    <row r="40" spans="1:23" x14ac:dyDescent="0.25">
      <c r="A40" s="3">
        <v>29</v>
      </c>
      <c r="B40" s="1"/>
      <c r="C40" s="1"/>
      <c r="D40" s="1"/>
      <c r="E40" s="1"/>
      <c r="F40" s="1"/>
      <c r="G40" s="2"/>
      <c r="H40" s="25"/>
      <c r="I40" s="2"/>
      <c r="J40" s="3"/>
      <c r="K40" s="1"/>
      <c r="L40" s="1"/>
      <c r="M40" s="1"/>
      <c r="N40" s="1"/>
      <c r="P40" s="1"/>
      <c r="Q40" s="27"/>
      <c r="R40" s="1"/>
    </row>
    <row r="41" spans="1:23" x14ac:dyDescent="0.25">
      <c r="A41" s="3">
        <v>30</v>
      </c>
      <c r="B41" s="1" t="s">
        <v>56</v>
      </c>
      <c r="C41" s="1"/>
      <c r="D41" s="1"/>
      <c r="E41" s="1">
        <f>([1]E!$G$19+'[1]C.1'!$H$15+'[1]C.1'!$H$19+'[1]C.1'!$H$21)*[1]E!E36</f>
        <v>2803651.4074495286</v>
      </c>
      <c r="F41" s="1"/>
      <c r="G41" s="2"/>
      <c r="H41" s="3"/>
      <c r="I41" s="2"/>
      <c r="J41" s="3"/>
      <c r="K41" s="1"/>
      <c r="L41" s="1"/>
      <c r="M41" s="1"/>
      <c r="N41" s="1"/>
      <c r="P41" s="1"/>
      <c r="Q41" s="27"/>
      <c r="R41" s="1"/>
    </row>
    <row r="42" spans="1:23" x14ac:dyDescent="0.25">
      <c r="A42" s="3">
        <v>31</v>
      </c>
      <c r="B42" s="1"/>
      <c r="C42" s="1" t="s">
        <v>53</v>
      </c>
      <c r="D42" s="1"/>
      <c r="E42" s="1">
        <f>E41-E43</f>
        <v>0</v>
      </c>
      <c r="F42" s="1">
        <f>ROUND(E42/365,0)</f>
        <v>0</v>
      </c>
      <c r="G42" s="2" t="s">
        <v>33</v>
      </c>
      <c r="H42" s="25">
        <f>'[2]ATO-CWC2'!$C$19</f>
        <v>34.630000000000003</v>
      </c>
      <c r="I42" s="2" t="s">
        <v>57</v>
      </c>
      <c r="J42" s="25">
        <f>'[2]ATO-CWC8'!H16</f>
        <v>38.25</v>
      </c>
      <c r="K42" s="1"/>
      <c r="L42" s="26">
        <f>H42-J42</f>
        <v>-3.6199999999999974</v>
      </c>
      <c r="M42" s="1"/>
      <c r="N42" s="1">
        <f>L42*F42</f>
        <v>0</v>
      </c>
      <c r="P42" s="1">
        <v>0</v>
      </c>
      <c r="Q42" s="27"/>
      <c r="R42" s="1">
        <f t="shared" ref="R42:R51" si="9">N42-P42</f>
        <v>0</v>
      </c>
    </row>
    <row r="43" spans="1:23" x14ac:dyDescent="0.25">
      <c r="A43" s="3">
        <v>32</v>
      </c>
      <c r="B43" s="1"/>
      <c r="C43" s="1" t="s">
        <v>55</v>
      </c>
      <c r="D43" s="1"/>
      <c r="E43" s="1">
        <f>E41</f>
        <v>2803651.4074495286</v>
      </c>
      <c r="F43" s="1">
        <f>ROUND(E43/365,0)</f>
        <v>7681</v>
      </c>
      <c r="G43" s="2" t="s">
        <v>33</v>
      </c>
      <c r="H43" s="25">
        <f>'[2]ATO-CWC2'!$C$19</f>
        <v>34.630000000000003</v>
      </c>
      <c r="I43" s="2" t="s">
        <v>57</v>
      </c>
      <c r="J43" s="25">
        <f>'[2]ATO-CWC8'!H17</f>
        <v>0</v>
      </c>
      <c r="K43" s="1"/>
      <c r="L43" s="26">
        <f>H43-J43</f>
        <v>34.630000000000003</v>
      </c>
      <c r="M43" s="1"/>
      <c r="N43" s="1">
        <f>L43*F43</f>
        <v>265993.03000000003</v>
      </c>
      <c r="P43" s="1">
        <v>268728.80000000005</v>
      </c>
      <c r="Q43"/>
      <c r="R43" s="1">
        <f t="shared" si="9"/>
        <v>-2735.7700000000186</v>
      </c>
      <c r="S43"/>
      <c r="T43"/>
      <c r="U43"/>
      <c r="V43"/>
      <c r="W43"/>
    </row>
    <row r="44" spans="1:23" x14ac:dyDescent="0.25">
      <c r="A44" s="3">
        <v>33</v>
      </c>
      <c r="B44" s="1"/>
      <c r="C44" s="1"/>
      <c r="D44" s="1"/>
      <c r="E44" s="1"/>
      <c r="F44" s="1"/>
      <c r="G44" s="2"/>
      <c r="H44" s="25"/>
      <c r="I44" s="2"/>
      <c r="J44" s="3"/>
      <c r="K44" s="1"/>
      <c r="L44" s="26"/>
      <c r="M44" s="1"/>
      <c r="N44" s="1"/>
      <c r="P44" s="1"/>
      <c r="Q44" s="27"/>
      <c r="R44" s="1"/>
    </row>
    <row r="45" spans="1:23" x14ac:dyDescent="0.25">
      <c r="A45" s="3">
        <v>34</v>
      </c>
      <c r="B45" s="1" t="s">
        <v>58</v>
      </c>
      <c r="C45" s="1"/>
      <c r="D45" s="1"/>
      <c r="E45" s="1">
        <f>'[1]C.1'!$J$20</f>
        <v>22028374.895356476</v>
      </c>
      <c r="F45" s="1">
        <f>ROUND(E45/365,0)</f>
        <v>60352</v>
      </c>
      <c r="G45" s="2" t="s">
        <v>33</v>
      </c>
      <c r="H45" s="25">
        <f>'[2]ATO-CWC2'!$C$19</f>
        <v>34.630000000000003</v>
      </c>
      <c r="I45" s="2"/>
      <c r="J45" s="3">
        <v>0</v>
      </c>
      <c r="K45" s="1"/>
      <c r="L45" s="26">
        <f>H45-J45</f>
        <v>34.630000000000003</v>
      </c>
      <c r="M45" s="1"/>
      <c r="N45" s="1">
        <f>L45*F45</f>
        <v>2089989.7600000002</v>
      </c>
      <c r="P45" s="1">
        <v>2089989.7600000002</v>
      </c>
      <c r="Q45" s="27"/>
      <c r="R45" s="1">
        <f t="shared" si="9"/>
        <v>0</v>
      </c>
    </row>
    <row r="46" spans="1:23" x14ac:dyDescent="0.25">
      <c r="A46" s="3">
        <v>35</v>
      </c>
      <c r="B46" s="1"/>
      <c r="C46" s="1"/>
      <c r="D46" s="1"/>
      <c r="E46" s="1"/>
      <c r="F46" s="1"/>
      <c r="G46" s="2"/>
      <c r="H46" s="25"/>
      <c r="I46" s="2"/>
      <c r="J46" s="3"/>
      <c r="K46" s="1"/>
      <c r="L46" s="26"/>
      <c r="M46" s="1"/>
      <c r="N46" s="1"/>
      <c r="P46" s="1"/>
      <c r="Q46" s="27"/>
      <c r="R46" s="1"/>
    </row>
    <row r="47" spans="1:23" x14ac:dyDescent="0.25">
      <c r="A47" s="3">
        <v>36</v>
      </c>
      <c r="B47" s="1" t="s">
        <v>59</v>
      </c>
      <c r="C47" s="1"/>
      <c r="D47" s="1"/>
      <c r="E47" s="1">
        <v>188470.04723287158</v>
      </c>
      <c r="F47" s="1">
        <f>ROUND(E47/365,0)</f>
        <v>516</v>
      </c>
      <c r="G47" s="2" t="s">
        <v>33</v>
      </c>
      <c r="H47" s="25">
        <f>'[2]ATO-CWC2'!$C$19</f>
        <v>34.630000000000003</v>
      </c>
      <c r="I47" s="34" t="s">
        <v>60</v>
      </c>
      <c r="J47" s="25">
        <v>19.399999999999999</v>
      </c>
      <c r="K47" s="1"/>
      <c r="L47" s="26">
        <f>H47-J47</f>
        <v>15.230000000000004</v>
      </c>
      <c r="M47" s="1"/>
      <c r="N47" s="1">
        <f>L47*F47</f>
        <v>7858.6800000000021</v>
      </c>
      <c r="P47" s="1">
        <v>7858.6800000000021</v>
      </c>
      <c r="Q47" s="27"/>
      <c r="R47" s="1">
        <f t="shared" si="9"/>
        <v>0</v>
      </c>
    </row>
    <row r="48" spans="1:23" x14ac:dyDescent="0.25">
      <c r="A48" s="3">
        <v>37</v>
      </c>
      <c r="B48" s="1"/>
      <c r="C48" s="1"/>
      <c r="D48" s="1"/>
      <c r="E48" s="1"/>
      <c r="F48" s="1"/>
      <c r="G48" s="2"/>
      <c r="H48" s="25"/>
      <c r="I48" s="2"/>
      <c r="J48" s="3"/>
      <c r="K48" s="1"/>
      <c r="L48" s="1"/>
      <c r="M48" s="1"/>
      <c r="N48" s="1"/>
      <c r="P48" s="1"/>
      <c r="Q48" s="27"/>
      <c r="R48" s="1"/>
    </row>
    <row r="49" spans="1:18" x14ac:dyDescent="0.25">
      <c r="A49" s="3">
        <v>38</v>
      </c>
      <c r="B49" s="1" t="s">
        <v>61</v>
      </c>
      <c r="C49" s="1"/>
      <c r="D49" s="1"/>
      <c r="E49" s="1">
        <f>[1]J.1!$V$19*'[1]B.1 F '!$F$27</f>
        <v>9968711.143516181</v>
      </c>
      <c r="F49" s="1">
        <f>ROUND(E49/365,0)</f>
        <v>27312</v>
      </c>
      <c r="G49" s="2" t="s">
        <v>33</v>
      </c>
      <c r="H49" s="25">
        <f>'[2]ATO-CWC2'!$C$19</f>
        <v>34.630000000000003</v>
      </c>
      <c r="I49" s="2" t="s">
        <v>62</v>
      </c>
      <c r="J49" s="25">
        <f>'[2]ATO-CWC9'!U30</f>
        <v>91.401180616660156</v>
      </c>
      <c r="K49" s="1"/>
      <c r="L49" s="26">
        <f>H49-J49</f>
        <v>-56.771180616660153</v>
      </c>
      <c r="M49" s="1"/>
      <c r="N49" s="1">
        <f>L49*F49</f>
        <v>-1550534.485002222</v>
      </c>
      <c r="P49" s="1">
        <v>-1563421.543002204</v>
      </c>
      <c r="Q49" s="27"/>
      <c r="R49" s="1">
        <f t="shared" si="9"/>
        <v>12887.057999982033</v>
      </c>
    </row>
    <row r="50" spans="1:18" x14ac:dyDescent="0.25">
      <c r="A50" s="3">
        <v>39</v>
      </c>
      <c r="B50" s="1"/>
      <c r="C50" s="1"/>
      <c r="D50" s="1"/>
      <c r="E50" s="1"/>
      <c r="F50" s="1"/>
      <c r="G50" s="2"/>
      <c r="H50" s="25"/>
      <c r="I50" s="2"/>
      <c r="J50" s="3"/>
      <c r="K50" s="1"/>
      <c r="L50" s="1"/>
      <c r="M50" s="1"/>
      <c r="N50" s="1"/>
      <c r="P50" s="1"/>
      <c r="Q50" s="27"/>
      <c r="R50" s="1"/>
    </row>
    <row r="51" spans="1:18" x14ac:dyDescent="0.25">
      <c r="A51" s="3">
        <v>40</v>
      </c>
      <c r="B51" s="1" t="s">
        <v>63</v>
      </c>
      <c r="C51" s="1"/>
      <c r="D51" s="1"/>
      <c r="E51" s="28">
        <f>[1]J.1!$V$25*'[1]B.1 F '!$F$27</f>
        <v>41554930.862355784</v>
      </c>
      <c r="F51" s="1">
        <f>ROUND(E51/365,0)</f>
        <v>113849</v>
      </c>
      <c r="G51" s="2" t="s">
        <v>33</v>
      </c>
      <c r="H51" s="25">
        <f>'[2]ATO-CWC2'!$C$19</f>
        <v>34.630000000000003</v>
      </c>
      <c r="I51" s="2"/>
      <c r="J51" s="3">
        <v>0</v>
      </c>
      <c r="K51" s="1"/>
      <c r="L51" s="26">
        <f>H51-J51</f>
        <v>34.630000000000003</v>
      </c>
      <c r="M51" s="1"/>
      <c r="N51" s="28">
        <f>L51*F51</f>
        <v>3942590.87</v>
      </c>
      <c r="P51" s="28">
        <v>3975627.89</v>
      </c>
      <c r="Q51" s="27"/>
      <c r="R51" s="28">
        <f t="shared" si="9"/>
        <v>-33037.020000000019</v>
      </c>
    </row>
    <row r="52" spans="1:18" x14ac:dyDescent="0.25">
      <c r="A52" s="3">
        <v>41</v>
      </c>
      <c r="B52" s="1"/>
      <c r="C52" s="1"/>
      <c r="D52" s="1"/>
      <c r="E52" s="1"/>
      <c r="F52" s="1"/>
      <c r="G52" s="2"/>
      <c r="H52" s="25"/>
      <c r="I52" s="2"/>
      <c r="J52" s="3"/>
      <c r="K52" s="1"/>
      <c r="L52" s="1"/>
      <c r="M52" s="1"/>
      <c r="N52" s="1"/>
      <c r="P52" s="1"/>
      <c r="Q52" s="27"/>
      <c r="R52" s="1"/>
    </row>
    <row r="53" spans="1:18" ht="16.5" thickBot="1" x14ac:dyDescent="0.3">
      <c r="A53" s="3">
        <v>42</v>
      </c>
      <c r="B53" s="1" t="s">
        <v>64</v>
      </c>
      <c r="C53" s="1"/>
      <c r="D53" s="1"/>
      <c r="E53" s="1">
        <f>+E42+E38+E45+E35+E18+E13+E49+E47+E51+E39+E43</f>
        <v>228087559.69861436</v>
      </c>
      <c r="F53" s="1"/>
      <c r="G53" s="2"/>
      <c r="H53" s="25"/>
      <c r="I53" s="2"/>
      <c r="J53" s="25"/>
      <c r="K53" s="1"/>
      <c r="L53" s="1"/>
      <c r="M53" s="1"/>
      <c r="N53" s="35">
        <f>ROUND(+N42+N38+N45+N35+N18+N13+N49+N47+N51+N39+N43,0)</f>
        <v>-768634</v>
      </c>
      <c r="P53" s="35">
        <v>-2199566</v>
      </c>
      <c r="Q53" s="27"/>
      <c r="R53" s="35">
        <f>ROUND(+R42+R38+R45+R35+R18+R13+R49+R47+R51+R39+R43,0)</f>
        <v>1430932</v>
      </c>
    </row>
    <row r="54" spans="1:18" ht="16.5" thickTop="1" x14ac:dyDescent="0.25">
      <c r="A54" s="3">
        <v>43</v>
      </c>
      <c r="H54" s="37"/>
    </row>
    <row r="55" spans="1:18" x14ac:dyDescent="0.25">
      <c r="A55" s="3">
        <v>44</v>
      </c>
      <c r="B55" s="29" t="s">
        <v>65</v>
      </c>
      <c r="C55"/>
      <c r="D55"/>
      <c r="E55"/>
      <c r="F55"/>
      <c r="G55"/>
      <c r="H55"/>
      <c r="I55"/>
      <c r="J55"/>
      <c r="K55"/>
    </row>
    <row r="56" spans="1:18" x14ac:dyDescent="0.25">
      <c r="C56" s="14"/>
      <c r="D56" s="14"/>
      <c r="E56"/>
      <c r="F56" s="14"/>
      <c r="G56" s="38"/>
      <c r="H56" s="39"/>
      <c r="I56" s="38"/>
      <c r="J56" s="40"/>
      <c r="K56" s="14"/>
      <c r="L56" s="14"/>
      <c r="M56" s="14"/>
    </row>
    <row r="57" spans="1:18" x14ac:dyDescent="0.25">
      <c r="B57" s="14"/>
      <c r="E57"/>
      <c r="H57" s="37"/>
    </row>
    <row r="58" spans="1:18" x14ac:dyDescent="0.25">
      <c r="C58" s="41"/>
      <c r="D58" s="41"/>
      <c r="H58" s="37"/>
    </row>
    <row r="59" spans="1:18" x14ac:dyDescent="0.25">
      <c r="H59" s="37"/>
    </row>
    <row r="60" spans="1:18" x14ac:dyDescent="0.25">
      <c r="H60" s="37"/>
    </row>
    <row r="61" spans="1:18" x14ac:dyDescent="0.25">
      <c r="H61" s="37"/>
    </row>
    <row r="62" spans="1:18" x14ac:dyDescent="0.25">
      <c r="H62" s="37"/>
    </row>
    <row r="63" spans="1:18" x14ac:dyDescent="0.25">
      <c r="H63" s="37"/>
    </row>
    <row r="64" spans="1:18" x14ac:dyDescent="0.25">
      <c r="H64" s="37"/>
    </row>
    <row r="65" spans="8:8" x14ac:dyDescent="0.25">
      <c r="H65" s="37"/>
    </row>
    <row r="66" spans="8:8" x14ac:dyDescent="0.25">
      <c r="H66" s="37"/>
    </row>
    <row r="67" spans="8:8" x14ac:dyDescent="0.25">
      <c r="H67" s="37"/>
    </row>
    <row r="68" spans="8:8" x14ac:dyDescent="0.25">
      <c r="H68" s="37"/>
    </row>
    <row r="69" spans="8:8" x14ac:dyDescent="0.25">
      <c r="H69" s="37"/>
    </row>
    <row r="70" spans="8:8" x14ac:dyDescent="0.25">
      <c r="H70" s="37"/>
    </row>
    <row r="71" spans="8:8" x14ac:dyDescent="0.25">
      <c r="H71" s="37"/>
    </row>
    <row r="72" spans="8:8" x14ac:dyDescent="0.25">
      <c r="H72" s="37"/>
    </row>
    <row r="73" spans="8:8" x14ac:dyDescent="0.25">
      <c r="H73" s="37"/>
    </row>
    <row r="74" spans="8:8" x14ac:dyDescent="0.25">
      <c r="H74" s="37"/>
    </row>
    <row r="75" spans="8:8" x14ac:dyDescent="0.25">
      <c r="H75" s="37"/>
    </row>
    <row r="76" spans="8:8" x14ac:dyDescent="0.25">
      <c r="H76" s="37"/>
    </row>
    <row r="77" spans="8:8" x14ac:dyDescent="0.25">
      <c r="H77" s="37"/>
    </row>
    <row r="78" spans="8:8" x14ac:dyDescent="0.25">
      <c r="H78" s="37"/>
    </row>
    <row r="79" spans="8:8" x14ac:dyDescent="0.25">
      <c r="H79" s="37"/>
    </row>
    <row r="80" spans="8:8" x14ac:dyDescent="0.25">
      <c r="H80" s="37"/>
    </row>
    <row r="81" spans="8:8" x14ac:dyDescent="0.25">
      <c r="H81" s="37"/>
    </row>
    <row r="82" spans="8:8" x14ac:dyDescent="0.25">
      <c r="H82" s="37"/>
    </row>
    <row r="83" spans="8:8" x14ac:dyDescent="0.25">
      <c r="H83" s="37"/>
    </row>
    <row r="84" spans="8:8" x14ac:dyDescent="0.25">
      <c r="H84" s="37"/>
    </row>
    <row r="85" spans="8:8" x14ac:dyDescent="0.25">
      <c r="H85" s="37"/>
    </row>
    <row r="86" spans="8:8" x14ac:dyDescent="0.25">
      <c r="H86" s="37"/>
    </row>
    <row r="87" spans="8:8" x14ac:dyDescent="0.25">
      <c r="H87" s="37"/>
    </row>
    <row r="88" spans="8:8" x14ac:dyDescent="0.25">
      <c r="H88" s="37"/>
    </row>
    <row r="89" spans="8:8" x14ac:dyDescent="0.25">
      <c r="H89" s="37"/>
    </row>
    <row r="90" spans="8:8" x14ac:dyDescent="0.25">
      <c r="H90" s="37"/>
    </row>
    <row r="91" spans="8:8" x14ac:dyDescent="0.25">
      <c r="H91" s="37"/>
    </row>
    <row r="92" spans="8:8" x14ac:dyDescent="0.25">
      <c r="H92" s="37"/>
    </row>
    <row r="93" spans="8:8" x14ac:dyDescent="0.25">
      <c r="H93" s="37"/>
    </row>
    <row r="94" spans="8:8" x14ac:dyDescent="0.25">
      <c r="H94" s="37"/>
    </row>
    <row r="95" spans="8:8" x14ac:dyDescent="0.25">
      <c r="H95" s="37"/>
    </row>
    <row r="96" spans="8:8" x14ac:dyDescent="0.25">
      <c r="H96" s="37"/>
    </row>
    <row r="97" spans="8:8" x14ac:dyDescent="0.25">
      <c r="H97" s="37"/>
    </row>
    <row r="98" spans="8:8" x14ac:dyDescent="0.25">
      <c r="H98" s="37"/>
    </row>
    <row r="99" spans="8:8" x14ac:dyDescent="0.25">
      <c r="H99" s="37"/>
    </row>
    <row r="100" spans="8:8" x14ac:dyDescent="0.25">
      <c r="H100" s="37"/>
    </row>
    <row r="101" spans="8:8" x14ac:dyDescent="0.25">
      <c r="H101" s="37"/>
    </row>
    <row r="102" spans="8:8" x14ac:dyDescent="0.25">
      <c r="H102" s="37"/>
    </row>
    <row r="103" spans="8:8" x14ac:dyDescent="0.25">
      <c r="H103" s="37"/>
    </row>
    <row r="104" spans="8:8" x14ac:dyDescent="0.25">
      <c r="H104" s="37"/>
    </row>
    <row r="105" spans="8:8" x14ac:dyDescent="0.25">
      <c r="H105" s="37"/>
    </row>
    <row r="106" spans="8:8" x14ac:dyDescent="0.25">
      <c r="H106" s="37"/>
    </row>
    <row r="107" spans="8:8" x14ac:dyDescent="0.25">
      <c r="H107" s="37"/>
    </row>
    <row r="108" spans="8:8" x14ac:dyDescent="0.25">
      <c r="H108" s="37"/>
    </row>
    <row r="109" spans="8:8" x14ac:dyDescent="0.25">
      <c r="H109" s="37"/>
    </row>
    <row r="110" spans="8:8" x14ac:dyDescent="0.25">
      <c r="H110" s="37"/>
    </row>
    <row r="111" spans="8:8" x14ac:dyDescent="0.25">
      <c r="H111" s="37"/>
    </row>
    <row r="112" spans="8:8" x14ac:dyDescent="0.25">
      <c r="H112" s="37"/>
    </row>
    <row r="113" spans="8:8" x14ac:dyDescent="0.25">
      <c r="H113" s="37"/>
    </row>
    <row r="114" spans="8:8" x14ac:dyDescent="0.25">
      <c r="H114" s="37"/>
    </row>
    <row r="115" spans="8:8" x14ac:dyDescent="0.25">
      <c r="H115" s="37"/>
    </row>
    <row r="116" spans="8:8" x14ac:dyDescent="0.25">
      <c r="H116" s="37"/>
    </row>
    <row r="117" spans="8:8" x14ac:dyDescent="0.25">
      <c r="H117" s="37"/>
    </row>
    <row r="118" spans="8:8" x14ac:dyDescent="0.25">
      <c r="H118" s="37"/>
    </row>
    <row r="119" spans="8:8" x14ac:dyDescent="0.25">
      <c r="H119" s="37"/>
    </row>
    <row r="120" spans="8:8" x14ac:dyDescent="0.25">
      <c r="H120" s="37"/>
    </row>
    <row r="121" spans="8:8" x14ac:dyDescent="0.25">
      <c r="H121" s="37"/>
    </row>
    <row r="122" spans="8:8" x14ac:dyDescent="0.25">
      <c r="H122" s="37"/>
    </row>
    <row r="123" spans="8:8" x14ac:dyDescent="0.25">
      <c r="H123" s="37"/>
    </row>
    <row r="124" spans="8:8" x14ac:dyDescent="0.25">
      <c r="H124" s="37"/>
    </row>
    <row r="125" spans="8:8" x14ac:dyDescent="0.25">
      <c r="H125" s="37"/>
    </row>
    <row r="126" spans="8:8" x14ac:dyDescent="0.25">
      <c r="H126" s="37"/>
    </row>
    <row r="127" spans="8:8" x14ac:dyDescent="0.25">
      <c r="H127" s="37"/>
    </row>
    <row r="128" spans="8:8" x14ac:dyDescent="0.25">
      <c r="H128" s="37"/>
    </row>
    <row r="129" spans="8:8" x14ac:dyDescent="0.25">
      <c r="H129" s="37"/>
    </row>
    <row r="130" spans="8:8" x14ac:dyDescent="0.25">
      <c r="H130" s="37"/>
    </row>
    <row r="131" spans="8:8" x14ac:dyDescent="0.25">
      <c r="H131" s="37"/>
    </row>
    <row r="132" spans="8:8" x14ac:dyDescent="0.25">
      <c r="H132" s="37"/>
    </row>
    <row r="133" spans="8:8" x14ac:dyDescent="0.25">
      <c r="H133" s="37"/>
    </row>
    <row r="134" spans="8:8" x14ac:dyDescent="0.25">
      <c r="H134" s="37"/>
    </row>
    <row r="135" spans="8:8" x14ac:dyDescent="0.25">
      <c r="H135" s="37"/>
    </row>
    <row r="136" spans="8:8" x14ac:dyDescent="0.25">
      <c r="H136" s="37"/>
    </row>
    <row r="137" spans="8:8" x14ac:dyDescent="0.25">
      <c r="H137" s="37"/>
    </row>
    <row r="138" spans="8:8" x14ac:dyDescent="0.25">
      <c r="H138" s="37"/>
    </row>
    <row r="139" spans="8:8" x14ac:dyDescent="0.25">
      <c r="H139" s="37"/>
    </row>
    <row r="140" spans="8:8" x14ac:dyDescent="0.25">
      <c r="H140" s="37"/>
    </row>
    <row r="141" spans="8:8" x14ac:dyDescent="0.25">
      <c r="H141" s="37"/>
    </row>
    <row r="142" spans="8:8" x14ac:dyDescent="0.25">
      <c r="H142" s="37"/>
    </row>
    <row r="143" spans="8:8" x14ac:dyDescent="0.25">
      <c r="H143" s="37"/>
    </row>
    <row r="144" spans="8:8" x14ac:dyDescent="0.25">
      <c r="H144" s="37"/>
    </row>
    <row r="145" spans="8:8" x14ac:dyDescent="0.25">
      <c r="H145" s="37"/>
    </row>
    <row r="146" spans="8:8" x14ac:dyDescent="0.25">
      <c r="H146" s="37"/>
    </row>
    <row r="147" spans="8:8" x14ac:dyDescent="0.25">
      <c r="H147" s="37"/>
    </row>
    <row r="148" spans="8:8" x14ac:dyDescent="0.25">
      <c r="H148" s="37"/>
    </row>
    <row r="149" spans="8:8" x14ac:dyDescent="0.25">
      <c r="H149" s="37"/>
    </row>
    <row r="150" spans="8:8" x14ac:dyDescent="0.25">
      <c r="H150" s="37"/>
    </row>
    <row r="151" spans="8:8" x14ac:dyDescent="0.25">
      <c r="H151" s="37"/>
    </row>
    <row r="152" spans="8:8" x14ac:dyDescent="0.25">
      <c r="H152" s="37"/>
    </row>
    <row r="153" spans="8:8" x14ac:dyDescent="0.25">
      <c r="H153" s="37"/>
    </row>
    <row r="154" spans="8:8" x14ac:dyDescent="0.25">
      <c r="H154" s="37"/>
    </row>
    <row r="155" spans="8:8" x14ac:dyDescent="0.25">
      <c r="H155" s="37"/>
    </row>
    <row r="156" spans="8:8" x14ac:dyDescent="0.25">
      <c r="H156" s="37"/>
    </row>
    <row r="157" spans="8:8" x14ac:dyDescent="0.25">
      <c r="H157" s="37"/>
    </row>
    <row r="158" spans="8:8" x14ac:dyDescent="0.25">
      <c r="H158" s="37"/>
    </row>
    <row r="159" spans="8:8" x14ac:dyDescent="0.25">
      <c r="H159" s="37"/>
    </row>
    <row r="160" spans="8:8" x14ac:dyDescent="0.25">
      <c r="H160" s="37"/>
    </row>
    <row r="161" spans="8:8" x14ac:dyDescent="0.25">
      <c r="H161" s="37"/>
    </row>
    <row r="162" spans="8:8" x14ac:dyDescent="0.25">
      <c r="H162" s="37"/>
    </row>
    <row r="163" spans="8:8" x14ac:dyDescent="0.25">
      <c r="H163" s="37"/>
    </row>
    <row r="164" spans="8:8" x14ac:dyDescent="0.25">
      <c r="H164" s="37"/>
    </row>
    <row r="165" spans="8:8" x14ac:dyDescent="0.25">
      <c r="H165" s="37"/>
    </row>
    <row r="166" spans="8:8" x14ac:dyDescent="0.25">
      <c r="H166" s="37"/>
    </row>
    <row r="167" spans="8:8" x14ac:dyDescent="0.25">
      <c r="H167" s="37"/>
    </row>
    <row r="168" spans="8:8" x14ac:dyDescent="0.25">
      <c r="H168" s="37"/>
    </row>
    <row r="169" spans="8:8" x14ac:dyDescent="0.25">
      <c r="H169" s="37"/>
    </row>
  </sheetData>
  <mergeCells count="1">
    <mergeCell ref="P12:R12"/>
  </mergeCells>
  <printOptions horizontalCentered="1"/>
  <pageMargins left="0.95" right="0.5" top="1" bottom="0.5" header="0.25" footer="0.5"/>
  <pageSetup scale="60" orientation="landscape" horizontalDpi="300" r:id="rId1"/>
  <headerFooter alignWithMargins="0">
    <oddHeader>&amp;R&amp;"Arial,Bold"Exhibit JTC-R-4
Page &amp;P of &amp;N&amp;"+,Regular"
ATO-1 Lead Lag Study</oddHeader>
    <oddFooter>&amp;R&amp;"Arial,Regular"&amp;10Page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0D89-FD62-4D9D-889B-B4FEBF9BB02E}">
  <sheetPr transitionEvaluation="1" transitionEntry="1">
    <tabColor rgb="FF92D050"/>
    <pageSetUpPr fitToPage="1"/>
  </sheetPr>
  <dimension ref="A1:W169"/>
  <sheetViews>
    <sheetView showGridLines="0" zoomScale="85" zoomScaleNormal="85" zoomScaleSheetLayoutView="80" workbookViewId="0"/>
  </sheetViews>
  <sheetFormatPr defaultColWidth="9.625" defaultRowHeight="15.75" x14ac:dyDescent="0.25"/>
  <cols>
    <col min="1" max="1" width="4.375" style="4" bestFit="1" customWidth="1"/>
    <col min="2" max="2" width="3.875" style="4" customWidth="1"/>
    <col min="3" max="3" width="28.25" style="4" customWidth="1"/>
    <col min="4" max="4" width="7" style="4" customWidth="1"/>
    <col min="5" max="5" width="14.375" style="4" bestFit="1" customWidth="1"/>
    <col min="6" max="6" width="16.5" style="4" bestFit="1" customWidth="1"/>
    <col min="7" max="7" width="8" style="36" customWidth="1"/>
    <col min="8" max="8" width="8.875" style="24" bestFit="1" customWidth="1"/>
    <col min="9" max="9" width="7.75" style="36" customWidth="1"/>
    <col min="10" max="10" width="10.5" style="24" bestFit="1" customWidth="1"/>
    <col min="11" max="11" width="1.375" style="4" customWidth="1"/>
    <col min="12" max="12" width="9.5" style="4" bestFit="1" customWidth="1"/>
    <col min="13" max="13" width="1.625" style="4" customWidth="1"/>
    <col min="14" max="14" width="13.375" style="4" bestFit="1" customWidth="1"/>
    <col min="15" max="15" width="2.75" style="4" customWidth="1"/>
    <col min="16" max="16" width="13.625" style="4" bestFit="1" customWidth="1"/>
    <col min="17" max="17" width="2.875" style="4" customWidth="1"/>
    <col min="18" max="18" width="14" style="4" bestFit="1" customWidth="1"/>
    <col min="19" max="16384" width="9.625" style="4"/>
  </cols>
  <sheetData>
    <row r="1" spans="1:20" x14ac:dyDescent="0.25">
      <c r="A1" s="1"/>
      <c r="B1" s="1"/>
      <c r="C1" s="1"/>
      <c r="D1" s="1"/>
      <c r="E1" s="1"/>
      <c r="F1" s="1"/>
      <c r="G1" s="2"/>
      <c r="H1" s="3"/>
      <c r="I1" s="2"/>
      <c r="J1" s="3"/>
      <c r="K1" s="1"/>
      <c r="L1" s="1"/>
      <c r="M1" s="1"/>
      <c r="R1" s="5" t="s">
        <v>66</v>
      </c>
    </row>
    <row r="2" spans="1:20" x14ac:dyDescent="0.25">
      <c r="A2" s="6" t="s">
        <v>69</v>
      </c>
      <c r="B2" s="7"/>
      <c r="C2" s="7"/>
      <c r="D2" s="7"/>
      <c r="E2" s="7"/>
      <c r="F2" s="7"/>
      <c r="G2" s="8"/>
      <c r="H2" s="7"/>
      <c r="I2" s="8"/>
      <c r="J2" s="7"/>
      <c r="K2" s="7"/>
      <c r="L2" s="7"/>
      <c r="M2" s="7"/>
      <c r="O2" s="9"/>
      <c r="R2" s="5" t="s">
        <v>67</v>
      </c>
    </row>
    <row r="3" spans="1:20" x14ac:dyDescent="0.25">
      <c r="A3" s="10" t="s">
        <v>2</v>
      </c>
      <c r="B3" s="7"/>
      <c r="C3" s="7"/>
      <c r="D3" s="7"/>
      <c r="E3" s="7"/>
      <c r="F3" s="7"/>
      <c r="G3" s="8"/>
      <c r="H3" s="7"/>
      <c r="I3" s="8"/>
      <c r="J3" s="7"/>
      <c r="K3" s="7"/>
      <c r="L3" s="7"/>
      <c r="M3" s="7"/>
      <c r="N3" s="7"/>
      <c r="O3" s="9"/>
    </row>
    <row r="4" spans="1:20" x14ac:dyDescent="0.25">
      <c r="A4" s="10" t="s">
        <v>70</v>
      </c>
      <c r="B4" s="7"/>
      <c r="C4" s="7"/>
      <c r="D4" s="7"/>
      <c r="E4" s="7"/>
      <c r="F4" s="7"/>
      <c r="G4" s="8"/>
      <c r="H4" s="7"/>
      <c r="I4" s="8"/>
      <c r="J4" s="7"/>
      <c r="K4" s="7"/>
      <c r="L4" s="7"/>
      <c r="M4" s="7"/>
      <c r="N4" s="7"/>
      <c r="O4" s="9"/>
    </row>
    <row r="5" spans="1:20" x14ac:dyDescent="0.25">
      <c r="A5" s="10"/>
      <c r="B5" s="7"/>
      <c r="C5" s="7"/>
      <c r="D5" s="7"/>
      <c r="E5" s="7"/>
      <c r="F5" s="7"/>
      <c r="G5" s="8"/>
      <c r="H5" s="7"/>
      <c r="I5" s="8"/>
      <c r="J5" s="7"/>
      <c r="K5" s="7"/>
      <c r="L5" s="7"/>
      <c r="M5" s="7"/>
      <c r="N5" s="7"/>
      <c r="O5" s="9"/>
    </row>
    <row r="6" spans="1:20" x14ac:dyDescent="0.25">
      <c r="A6" s="1"/>
      <c r="B6" s="1"/>
      <c r="C6" s="1"/>
      <c r="D6" s="1"/>
      <c r="E6" s="1"/>
      <c r="F6" s="1"/>
      <c r="G6" s="2"/>
      <c r="H6" s="3"/>
      <c r="I6" s="2"/>
      <c r="J6" s="3"/>
      <c r="K6" s="1"/>
      <c r="L6" s="1"/>
      <c r="M6" s="1"/>
      <c r="N6" s="1"/>
    </row>
    <row r="7" spans="1:20" x14ac:dyDescent="0.25">
      <c r="A7" s="1"/>
      <c r="B7" s="12"/>
      <c r="C7" s="12"/>
      <c r="D7" s="12"/>
      <c r="E7" s="12"/>
      <c r="F7" s="11" t="s">
        <v>4</v>
      </c>
      <c r="G7" s="13"/>
      <c r="H7" s="11"/>
      <c r="I7" s="13"/>
      <c r="J7" s="11" t="s">
        <v>5</v>
      </c>
      <c r="K7" s="12"/>
      <c r="L7" s="12"/>
      <c r="M7" s="12"/>
      <c r="N7" s="11" t="s">
        <v>6</v>
      </c>
      <c r="O7" s="14"/>
      <c r="P7" s="11"/>
    </row>
    <row r="8" spans="1:20" x14ac:dyDescent="0.25">
      <c r="A8" s="3" t="s">
        <v>7</v>
      </c>
      <c r="B8" s="12"/>
      <c r="C8" s="12"/>
      <c r="D8" s="12"/>
      <c r="E8" s="11" t="s">
        <v>8</v>
      </c>
      <c r="F8" s="11" t="s">
        <v>9</v>
      </c>
      <c r="G8" s="15"/>
      <c r="H8" s="11" t="s">
        <v>10</v>
      </c>
      <c r="I8" s="15"/>
      <c r="J8" s="11" t="s">
        <v>11</v>
      </c>
      <c r="K8" s="11"/>
      <c r="L8" s="11" t="s">
        <v>12</v>
      </c>
      <c r="M8" s="11"/>
      <c r="N8" s="12" t="s">
        <v>13</v>
      </c>
      <c r="O8" s="16"/>
      <c r="P8" s="11" t="s">
        <v>6</v>
      </c>
      <c r="R8" s="11" t="s">
        <v>14</v>
      </c>
    </row>
    <row r="9" spans="1:20" x14ac:dyDescent="0.25">
      <c r="A9" s="17" t="s">
        <v>15</v>
      </c>
      <c r="B9" s="18" t="s">
        <v>16</v>
      </c>
      <c r="C9" s="18"/>
      <c r="D9" s="18"/>
      <c r="E9" s="19" t="s">
        <v>17</v>
      </c>
      <c r="F9" s="20" t="s">
        <v>18</v>
      </c>
      <c r="G9" s="21"/>
      <c r="H9" s="19" t="s">
        <v>19</v>
      </c>
      <c r="I9" s="21"/>
      <c r="J9" s="19" t="s">
        <v>20</v>
      </c>
      <c r="K9" s="19"/>
      <c r="L9" s="20" t="s">
        <v>21</v>
      </c>
      <c r="M9" s="19"/>
      <c r="N9" s="20" t="s">
        <v>22</v>
      </c>
      <c r="O9" s="16"/>
      <c r="P9" s="20" t="s">
        <v>23</v>
      </c>
      <c r="R9" s="20" t="s">
        <v>23</v>
      </c>
    </row>
    <row r="10" spans="1:20" x14ac:dyDescent="0.25">
      <c r="A10" s="1"/>
      <c r="B10" s="7" t="s">
        <v>24</v>
      </c>
      <c r="C10" s="7"/>
      <c r="D10" s="7"/>
      <c r="E10" s="3" t="s">
        <v>25</v>
      </c>
      <c r="F10" s="22" t="s">
        <v>26</v>
      </c>
      <c r="G10" s="23"/>
      <c r="H10" s="22" t="s">
        <v>27</v>
      </c>
      <c r="I10" s="3"/>
      <c r="J10" s="3" t="s">
        <v>28</v>
      </c>
      <c r="K10" s="3"/>
      <c r="L10" s="22" t="s">
        <v>29</v>
      </c>
      <c r="M10" s="3"/>
      <c r="N10" s="22" t="s">
        <v>30</v>
      </c>
      <c r="O10" s="24"/>
      <c r="P10" s="22" t="s">
        <v>68</v>
      </c>
    </row>
    <row r="11" spans="1:20" x14ac:dyDescent="0.25">
      <c r="A11" s="1"/>
      <c r="B11" s="1"/>
      <c r="C11" s="1"/>
      <c r="D11" s="1"/>
      <c r="E11" s="1"/>
      <c r="F11" s="1"/>
      <c r="G11" s="2"/>
      <c r="H11" s="3"/>
      <c r="I11" s="2"/>
      <c r="J11" s="3"/>
      <c r="K11" s="1"/>
      <c r="L11" s="1"/>
      <c r="M11" s="1"/>
      <c r="N11" s="1"/>
    </row>
    <row r="12" spans="1:20" x14ac:dyDescent="0.25">
      <c r="A12" s="3">
        <f t="shared" ref="A12" si="0">1+A11</f>
        <v>1</v>
      </c>
      <c r="B12" s="1" t="s">
        <v>31</v>
      </c>
      <c r="C12" s="1"/>
      <c r="D12" s="1"/>
      <c r="E12" s="1"/>
      <c r="F12" s="1"/>
      <c r="G12" s="2"/>
      <c r="H12" s="3"/>
      <c r="I12" s="2"/>
      <c r="J12" s="3"/>
      <c r="K12" s="1"/>
      <c r="L12" s="1"/>
      <c r="M12" s="1"/>
      <c r="N12" s="1"/>
      <c r="P12" s="43"/>
      <c r="Q12" s="43"/>
      <c r="R12" s="43"/>
    </row>
    <row r="13" spans="1:20" x14ac:dyDescent="0.25">
      <c r="A13" s="3">
        <v>2</v>
      </c>
      <c r="B13" s="1"/>
      <c r="C13" s="1" t="s">
        <v>32</v>
      </c>
      <c r="D13" s="1"/>
      <c r="E13" s="1">
        <f>'[1]C.1'!$D$18</f>
        <v>52986727.226981685</v>
      </c>
      <c r="F13" s="1">
        <f>ROUND(E13/365,0)</f>
        <v>145169</v>
      </c>
      <c r="G13" s="2" t="s">
        <v>33</v>
      </c>
      <c r="H13" s="25">
        <f>'[2]ATO-CWC2'!$C$19</f>
        <v>34.630000000000003</v>
      </c>
      <c r="I13" s="2" t="s">
        <v>34</v>
      </c>
      <c r="J13" s="25">
        <f>'[2]ATO-CWC3'!L122</f>
        <v>39.49</v>
      </c>
      <c r="K13" s="1"/>
      <c r="L13" s="26">
        <f>H13-J13</f>
        <v>-4.8599999999999994</v>
      </c>
      <c r="M13" s="1"/>
      <c r="N13" s="1">
        <f>L13*F13</f>
        <v>-705521.34</v>
      </c>
      <c r="P13" s="1">
        <v>-703594.24678451079</v>
      </c>
      <c r="Q13" s="27"/>
      <c r="R13" s="1">
        <f>P13-N13</f>
        <v>1927.093215489178</v>
      </c>
    </row>
    <row r="14" spans="1:20" x14ac:dyDescent="0.25">
      <c r="A14" s="3">
        <v>3</v>
      </c>
      <c r="B14" s="1"/>
      <c r="C14" s="1"/>
      <c r="D14" s="1"/>
      <c r="E14" s="1"/>
      <c r="F14" s="1"/>
      <c r="G14" s="2"/>
      <c r="H14" s="25"/>
      <c r="I14" s="2"/>
      <c r="J14" s="3"/>
      <c r="K14" s="1"/>
      <c r="L14" s="1"/>
      <c r="M14" s="1"/>
      <c r="N14" s="1"/>
      <c r="P14" s="1"/>
      <c r="Q14" s="27"/>
      <c r="R14" s="1"/>
    </row>
    <row r="15" spans="1:20" x14ac:dyDescent="0.25">
      <c r="A15" s="3">
        <v>4</v>
      </c>
      <c r="B15" s="1" t="s">
        <v>35</v>
      </c>
      <c r="C15" s="1"/>
      <c r="D15" s="1"/>
      <c r="E15" s="1"/>
      <c r="F15" s="1"/>
      <c r="G15" s="2"/>
      <c r="H15" s="25"/>
      <c r="I15" s="2"/>
      <c r="J15" s="3"/>
      <c r="K15" s="1"/>
      <c r="L15" s="1"/>
      <c r="M15" s="1"/>
      <c r="N15" s="1"/>
      <c r="P15" s="1"/>
      <c r="Q15" s="27"/>
      <c r="R15" s="1"/>
    </row>
    <row r="16" spans="1:20" x14ac:dyDescent="0.25">
      <c r="A16" s="3">
        <v>5</v>
      </c>
      <c r="B16" s="1"/>
      <c r="C16" s="1" t="s">
        <v>36</v>
      </c>
      <c r="D16" s="1"/>
      <c r="E16" s="1">
        <f>'[3]O&amp;M Comparison'!$O$6</f>
        <v>7950059.9723360604</v>
      </c>
      <c r="F16" s="1">
        <f>ROUND(E16/365,0)</f>
        <v>21781</v>
      </c>
      <c r="G16" s="2" t="s">
        <v>33</v>
      </c>
      <c r="H16" s="25">
        <f>'[2]ATO-CWC2'!$C$19</f>
        <v>34.630000000000003</v>
      </c>
      <c r="I16" s="2" t="s">
        <v>37</v>
      </c>
      <c r="J16" s="25">
        <f>'[2]ATO-CWC4'!I59</f>
        <v>14.33</v>
      </c>
      <c r="K16" s="1"/>
      <c r="L16" s="26">
        <f>H16-J16</f>
        <v>20.300000000000004</v>
      </c>
      <c r="M16" s="1"/>
      <c r="N16" s="1">
        <f>L16*F16</f>
        <v>442154.3000000001</v>
      </c>
      <c r="P16" s="1">
        <v>693495.37733677775</v>
      </c>
      <c r="Q16"/>
      <c r="R16" s="1">
        <f t="shared" ref="R16:R17" si="1">P16-N16</f>
        <v>251341.07733677764</v>
      </c>
      <c r="S16"/>
      <c r="T16"/>
    </row>
    <row r="17" spans="1:20" x14ac:dyDescent="0.25">
      <c r="A17" s="3">
        <v>6</v>
      </c>
      <c r="B17" s="1"/>
      <c r="C17" s="1" t="s">
        <v>38</v>
      </c>
      <c r="D17" s="1"/>
      <c r="E17" s="28">
        <f>E18-E16</f>
        <v>25586866.807713833</v>
      </c>
      <c r="F17" s="1">
        <f>ROUND(E17/365,0)</f>
        <v>70101</v>
      </c>
      <c r="G17" s="2" t="s">
        <v>33</v>
      </c>
      <c r="H17" s="25">
        <f>'[2]ATO-CWC2'!$C$19</f>
        <v>34.630000000000003</v>
      </c>
      <c r="I17" s="2" t="s">
        <v>39</v>
      </c>
      <c r="J17" s="25">
        <f>'[2]ATO-CWC5'!E15</f>
        <v>26.642480052925261</v>
      </c>
      <c r="K17" s="1"/>
      <c r="L17" s="26">
        <f>H17-J17</f>
        <v>7.9875199470747411</v>
      </c>
      <c r="M17" s="1"/>
      <c r="N17" s="28">
        <f>L17*F17</f>
        <v>559933.13580988639</v>
      </c>
      <c r="P17" s="28">
        <v>625932.21128310764</v>
      </c>
      <c r="Q17" s="27"/>
      <c r="R17" s="28">
        <f t="shared" si="1"/>
        <v>65999.075473221252</v>
      </c>
    </row>
    <row r="18" spans="1:20" x14ac:dyDescent="0.25">
      <c r="A18" s="3">
        <v>7</v>
      </c>
      <c r="B18" s="1" t="s">
        <v>40</v>
      </c>
      <c r="C18" s="1"/>
      <c r="D18" s="1"/>
      <c r="E18" s="1">
        <f>'[1]C.1'!$D$19</f>
        <v>33536926.780049894</v>
      </c>
      <c r="F18" s="1"/>
      <c r="G18" s="2"/>
      <c r="H18" s="25"/>
      <c r="I18" s="2"/>
      <c r="J18" s="3"/>
      <c r="K18" s="1"/>
      <c r="L18" s="1"/>
      <c r="M18" s="1"/>
      <c r="N18" s="1">
        <f>SUM(N16:N17)</f>
        <v>1002087.4358098865</v>
      </c>
      <c r="P18" s="1">
        <v>1319427.5886198855</v>
      </c>
      <c r="Q18" s="27"/>
      <c r="R18" s="1">
        <f>SUM(R16:R17)</f>
        <v>317340.15280999889</v>
      </c>
    </row>
    <row r="19" spans="1:20" x14ac:dyDescent="0.25">
      <c r="A19" s="3">
        <v>8</v>
      </c>
      <c r="B19" s="1"/>
      <c r="C19" s="1"/>
      <c r="D19" s="1"/>
      <c r="E19" s="1"/>
      <c r="F19" s="1"/>
      <c r="G19" s="2"/>
      <c r="H19" s="25"/>
      <c r="I19" s="2"/>
      <c r="J19" s="3"/>
      <c r="K19" s="1"/>
      <c r="L19" s="1"/>
      <c r="M19" s="1"/>
      <c r="N19" s="1"/>
      <c r="P19" s="1"/>
      <c r="Q19" s="27"/>
      <c r="R19" s="1"/>
    </row>
    <row r="20" spans="1:20" x14ac:dyDescent="0.25">
      <c r="A20" s="3">
        <v>9</v>
      </c>
      <c r="B20" s="1" t="s">
        <v>41</v>
      </c>
      <c r="C20" s="1"/>
      <c r="D20" s="1"/>
      <c r="E20" s="1"/>
      <c r="F20" s="1"/>
      <c r="G20" s="2"/>
      <c r="H20" s="25"/>
      <c r="I20" s="2"/>
      <c r="J20" s="3"/>
      <c r="K20" s="1"/>
      <c r="L20" s="1"/>
      <c r="M20" s="1"/>
      <c r="N20" s="1"/>
      <c r="P20" s="1"/>
      <c r="Q20" s="27"/>
      <c r="R20" s="1"/>
    </row>
    <row r="21" spans="1:20" x14ac:dyDescent="0.25">
      <c r="A21" s="3">
        <v>10</v>
      </c>
      <c r="B21" s="1"/>
      <c r="C21" s="1" t="s">
        <v>42</v>
      </c>
      <c r="D21" s="1"/>
      <c r="E21" s="1">
        <f>'[1]C.2.3 B'!$O$16</f>
        <v>11322473</v>
      </c>
      <c r="F21" s="1">
        <f t="shared" ref="F21:F26" si="2">ROUND(E21/365,0)</f>
        <v>31020</v>
      </c>
      <c r="G21" s="2" t="s">
        <v>33</v>
      </c>
      <c r="H21" s="25">
        <f>'[2]ATO-CWC2'!$C$19</f>
        <v>34.630000000000003</v>
      </c>
      <c r="I21" s="2" t="s">
        <v>43</v>
      </c>
      <c r="J21" s="25">
        <f>'[2]ATO-CWC6'!$E$24</f>
        <v>278.98849309944291</v>
      </c>
      <c r="K21" s="1"/>
      <c r="L21" s="26">
        <f t="shared" ref="L21:L26" si="3">H21-J21</f>
        <v>-244.35849309944291</v>
      </c>
      <c r="M21" s="1"/>
      <c r="N21" s="1">
        <f t="shared" ref="N21:N26" si="4">L21*F21</f>
        <v>-7580000.4559447188</v>
      </c>
      <c r="P21" s="1">
        <v>-7559405.5749702975</v>
      </c>
      <c r="Q21"/>
      <c r="R21" s="1">
        <f t="shared" ref="R21:R26" si="5">P21-N21</f>
        <v>20594.880974421278</v>
      </c>
    </row>
    <row r="22" spans="1:20" x14ac:dyDescent="0.25">
      <c r="A22" s="3">
        <v>11</v>
      </c>
      <c r="B22" s="1"/>
      <c r="C22" s="1" t="s">
        <v>44</v>
      </c>
      <c r="D22" s="1"/>
      <c r="E22" s="1">
        <f>'[1]C.2.3 B'!$O$18</f>
        <v>1102.8499999999999</v>
      </c>
      <c r="F22" s="1">
        <f t="shared" si="2"/>
        <v>3</v>
      </c>
      <c r="G22" s="2" t="s">
        <v>33</v>
      </c>
      <c r="H22" s="25">
        <f>'[2]ATO-CWC2'!$C$19</f>
        <v>34.630000000000003</v>
      </c>
      <c r="I22" s="2" t="s">
        <v>43</v>
      </c>
      <c r="J22" s="25">
        <f>'[2]ATO-CWC6'!E29</f>
        <v>58.821697777196263</v>
      </c>
      <c r="K22" s="1"/>
      <c r="L22" s="26">
        <f t="shared" si="3"/>
        <v>-24.191697777196261</v>
      </c>
      <c r="M22" s="1"/>
      <c r="N22" s="1">
        <f t="shared" si="4"/>
        <v>-72.575093331588789</v>
      </c>
      <c r="P22" s="1">
        <v>-72.895666375904085</v>
      </c>
      <c r="Q22"/>
      <c r="R22" s="1">
        <f t="shared" si="5"/>
        <v>-0.32057304431529587</v>
      </c>
    </row>
    <row r="23" spans="1:20" x14ac:dyDescent="0.25">
      <c r="A23" s="3">
        <v>12</v>
      </c>
      <c r="B23" s="1"/>
      <c r="C23" s="1" t="s">
        <v>45</v>
      </c>
      <c r="D23" s="1"/>
      <c r="E23" s="29">
        <f>'[1]C.2.3 B'!$O$14+'[1]C.2.3 B'!$O$15</f>
        <v>391151.23566761491</v>
      </c>
      <c r="F23" s="1">
        <f t="shared" si="2"/>
        <v>1072</v>
      </c>
      <c r="G23" s="2" t="s">
        <v>33</v>
      </c>
      <c r="H23" s="25">
        <f>'[2]ATO-CWC2'!$C$19</f>
        <v>34.630000000000003</v>
      </c>
      <c r="I23" s="2" t="s">
        <v>43</v>
      </c>
      <c r="J23" s="25">
        <f>'[2]ATO-CWC6'!$E$20</f>
        <v>13.680674076730011</v>
      </c>
      <c r="K23" s="1"/>
      <c r="L23" s="26">
        <f t="shared" si="3"/>
        <v>20.949325923269992</v>
      </c>
      <c r="M23" s="1"/>
      <c r="N23" s="1">
        <f t="shared" si="4"/>
        <v>22457.677389745433</v>
      </c>
      <c r="P23" s="1">
        <v>22388.947325930749</v>
      </c>
      <c r="Q23"/>
      <c r="R23" s="1">
        <f t="shared" si="5"/>
        <v>-68.730063814684399</v>
      </c>
      <c r="T23" s="29"/>
    </row>
    <row r="24" spans="1:20" x14ac:dyDescent="0.25">
      <c r="A24" s="3">
        <v>13</v>
      </c>
      <c r="B24" s="1"/>
      <c r="C24" s="1" t="s">
        <v>46</v>
      </c>
      <c r="D24" s="1"/>
      <c r="E24" s="1">
        <f>[4]Summary!$D$231</f>
        <v>9795658.3100000005</v>
      </c>
      <c r="F24" s="1">
        <f t="shared" si="2"/>
        <v>26837</v>
      </c>
      <c r="G24" s="2" t="s">
        <v>33</v>
      </c>
      <c r="H24" s="25">
        <f>'[2]ATO-CWC2'!$C$19</f>
        <v>34.630000000000003</v>
      </c>
      <c r="I24" s="2" t="s">
        <v>43</v>
      </c>
      <c r="J24" s="25">
        <f>'[2]ATO-CWC6'!E31</f>
        <v>40.374790215605223</v>
      </c>
      <c r="K24" s="1"/>
      <c r="L24" s="26">
        <f t="shared" si="3"/>
        <v>-5.7447902156052209</v>
      </c>
      <c r="M24" s="1"/>
      <c r="N24" s="1">
        <f t="shared" si="4"/>
        <v>-154172.9350161973</v>
      </c>
      <c r="P24" s="1">
        <v>-153754.10386530048</v>
      </c>
      <c r="Q24"/>
      <c r="R24" s="1">
        <f t="shared" si="5"/>
        <v>418.83115089681814</v>
      </c>
      <c r="S24"/>
      <c r="T24"/>
    </row>
    <row r="25" spans="1:20" x14ac:dyDescent="0.25">
      <c r="A25" s="3">
        <v>14</v>
      </c>
      <c r="B25" s="1"/>
      <c r="C25" s="1" t="s">
        <v>47</v>
      </c>
      <c r="D25" s="1"/>
      <c r="E25" s="1">
        <f>'[1]C.2.3 B'!$O$19</f>
        <v>302323.23</v>
      </c>
      <c r="F25" s="1">
        <f t="shared" si="2"/>
        <v>828</v>
      </c>
      <c r="G25" s="2" t="s">
        <v>33</v>
      </c>
      <c r="H25" s="25">
        <f>'[2]ATO-CWC2'!$C$19</f>
        <v>34.630000000000003</v>
      </c>
      <c r="I25" s="2" t="s">
        <v>43</v>
      </c>
      <c r="J25" s="25">
        <f>'[2]ATO-CWC6'!$E$35</f>
        <v>-186.5</v>
      </c>
      <c r="K25" s="1"/>
      <c r="L25" s="26">
        <f t="shared" si="3"/>
        <v>221.13</v>
      </c>
      <c r="M25" s="1"/>
      <c r="N25" s="1">
        <f t="shared" si="4"/>
        <v>183095.63999999998</v>
      </c>
      <c r="P25" s="1">
        <v>154052.68413934426</v>
      </c>
      <c r="Q25" s="27"/>
      <c r="R25" s="1">
        <f t="shared" si="5"/>
        <v>-29042.955860655726</v>
      </c>
    </row>
    <row r="26" spans="1:20" x14ac:dyDescent="0.25">
      <c r="A26" s="3">
        <v>15</v>
      </c>
      <c r="B26" s="1"/>
      <c r="C26" s="1" t="s">
        <v>48</v>
      </c>
      <c r="D26" s="1"/>
      <c r="E26" s="1">
        <f>'[1]C.2.3 B'!$O$17</f>
        <v>237689.62999999998</v>
      </c>
      <c r="F26" s="1">
        <f t="shared" si="2"/>
        <v>651</v>
      </c>
      <c r="G26" s="2" t="s">
        <v>33</v>
      </c>
      <c r="H26" s="25">
        <f>'[2]ATO-CWC2'!$C$19</f>
        <v>34.630000000000003</v>
      </c>
      <c r="I26" s="2" t="s">
        <v>43</v>
      </c>
      <c r="J26" s="25">
        <f>'[2]ATO-CWC6'!E38</f>
        <v>59</v>
      </c>
      <c r="K26" s="1"/>
      <c r="L26" s="26">
        <f t="shared" si="3"/>
        <v>-24.369999999999997</v>
      </c>
      <c r="M26" s="1"/>
      <c r="N26" s="1">
        <f t="shared" si="4"/>
        <v>-15864.869999999999</v>
      </c>
      <c r="P26" s="1">
        <v>-15826.492576775952</v>
      </c>
      <c r="Q26" s="27"/>
      <c r="R26" s="1">
        <f t="shared" si="5"/>
        <v>38.377423224046652</v>
      </c>
    </row>
    <row r="27" spans="1:20" x14ac:dyDescent="0.25">
      <c r="A27" s="3">
        <v>16</v>
      </c>
      <c r="B27" s="1"/>
      <c r="C27" s="1"/>
      <c r="D27" s="1"/>
      <c r="E27" s="1"/>
      <c r="F27" s="1"/>
      <c r="G27" s="2"/>
      <c r="H27" s="25"/>
      <c r="I27" s="2"/>
      <c r="J27" s="3"/>
      <c r="K27" s="1"/>
      <c r="L27" s="1"/>
      <c r="M27" s="1"/>
      <c r="N27" s="1"/>
      <c r="P27" s="1"/>
      <c r="Q27" s="27"/>
      <c r="R27" s="1"/>
    </row>
    <row r="28" spans="1:20" x14ac:dyDescent="0.25">
      <c r="A28" s="3">
        <v>17</v>
      </c>
      <c r="B28" s="1" t="s">
        <v>49</v>
      </c>
      <c r="C28" s="1"/>
      <c r="D28" s="1"/>
      <c r="E28" s="2"/>
      <c r="F28" s="1"/>
      <c r="G28" s="2"/>
      <c r="H28" s="25"/>
      <c r="I28" s="2"/>
      <c r="J28" s="3"/>
      <c r="K28" s="1"/>
      <c r="L28" s="1"/>
      <c r="M28" s="1"/>
      <c r="N28" s="1"/>
      <c r="P28" s="1"/>
      <c r="Q28" s="27"/>
      <c r="R28" s="1"/>
    </row>
    <row r="29" spans="1:20" x14ac:dyDescent="0.25">
      <c r="A29" s="3">
        <v>18</v>
      </c>
      <c r="B29" s="1"/>
      <c r="C29" s="1" t="s">
        <v>42</v>
      </c>
      <c r="D29" s="30"/>
      <c r="E29" s="1">
        <f>('[1]C.2.3 B'!$O$30/'[1]C.2.3 B'!$O$34)*'[1]C.2.3 B'!$O$36+('[1]C.2.3 B'!$O$42/'[1]C.2.3 B'!$O$44)*'[1]C.2.3 B'!$O$46</f>
        <v>56976.338564131416</v>
      </c>
      <c r="F29" s="1">
        <f>ROUND(E29/365,0)</f>
        <v>156</v>
      </c>
      <c r="G29" s="2" t="s">
        <v>33</v>
      </c>
      <c r="H29" s="25">
        <f>'[2]ATO-CWC2'!$C$19</f>
        <v>34.630000000000003</v>
      </c>
      <c r="I29" s="2" t="s">
        <v>43</v>
      </c>
      <c r="J29" s="25">
        <f>'[2]ATO-CWC6'!E27</f>
        <v>213.5</v>
      </c>
      <c r="K29" s="1"/>
      <c r="L29" s="26">
        <f>H29-J29</f>
        <v>-178.87</v>
      </c>
      <c r="M29" s="1"/>
      <c r="N29" s="1">
        <f>L29*F29</f>
        <v>-27903.72</v>
      </c>
      <c r="P29" s="1">
        <v>-27845.2395600169</v>
      </c>
      <c r="Q29" s="27"/>
      <c r="R29" s="1">
        <f t="shared" ref="R29:R30" si="6">P29-N29</f>
        <v>58.48043998310095</v>
      </c>
    </row>
    <row r="30" spans="1:20" x14ac:dyDescent="0.25">
      <c r="A30" s="3">
        <v>19</v>
      </c>
      <c r="B30" s="1"/>
      <c r="C30" s="1" t="s">
        <v>45</v>
      </c>
      <c r="D30" s="30"/>
      <c r="E30" s="1">
        <f>'[1]C.2.3 B'!$O$36+'[1]C.2.3 B'!$O$46-E29</f>
        <v>366920.82472465845</v>
      </c>
      <c r="F30" s="1">
        <f>ROUND(E30/365,0)</f>
        <v>1005</v>
      </c>
      <c r="G30" s="2" t="s">
        <v>33</v>
      </c>
      <c r="H30" s="25">
        <f>'[2]ATO-CWC2'!$C$19</f>
        <v>34.630000000000003</v>
      </c>
      <c r="I30" s="2" t="s">
        <v>43</v>
      </c>
      <c r="J30" s="25">
        <f>'[2]ATO-CWC6'!$E$20</f>
        <v>13.680674076730011</v>
      </c>
      <c r="K30" s="1"/>
      <c r="L30" s="26">
        <f>H30-J30</f>
        <v>20.949325923269992</v>
      </c>
      <c r="M30" s="1"/>
      <c r="N30" s="1">
        <f>L30*F30</f>
        <v>21054.07255288634</v>
      </c>
      <c r="P30" s="1">
        <v>21002.032637136319</v>
      </c>
      <c r="Q30" s="27"/>
      <c r="R30" s="1">
        <f t="shared" si="6"/>
        <v>-52.039915750021464</v>
      </c>
      <c r="S30" s="31"/>
    </row>
    <row r="31" spans="1:20" x14ac:dyDescent="0.25">
      <c r="A31" s="3">
        <v>20</v>
      </c>
      <c r="B31" s="1"/>
      <c r="C31" s="1"/>
      <c r="D31" s="32"/>
      <c r="E31" s="1"/>
      <c r="F31" s="1"/>
      <c r="G31" s="2"/>
      <c r="H31" s="3"/>
      <c r="I31" s="2"/>
      <c r="J31" s="3"/>
      <c r="K31" s="1"/>
      <c r="L31" s="1"/>
      <c r="M31" s="1"/>
      <c r="N31" s="1"/>
      <c r="P31" s="1"/>
      <c r="Q31" s="27"/>
      <c r="R31" s="1"/>
    </row>
    <row r="32" spans="1:20" x14ac:dyDescent="0.25">
      <c r="A32" s="3">
        <v>21</v>
      </c>
      <c r="B32" s="1" t="s">
        <v>50</v>
      </c>
      <c r="C32" s="1"/>
      <c r="D32" s="32"/>
      <c r="E32" s="1"/>
      <c r="F32" s="1"/>
      <c r="G32" s="2"/>
      <c r="H32" s="3"/>
      <c r="I32" s="2"/>
      <c r="J32" s="3"/>
      <c r="K32" s="1"/>
      <c r="L32" s="1"/>
      <c r="M32" s="1"/>
      <c r="N32" s="1"/>
      <c r="P32" s="1"/>
      <c r="Q32" s="27"/>
      <c r="R32" s="1"/>
    </row>
    <row r="33" spans="1:23" x14ac:dyDescent="0.25">
      <c r="A33" s="3">
        <v>22</v>
      </c>
      <c r="B33" s="1"/>
      <c r="C33" s="1" t="s">
        <v>42</v>
      </c>
      <c r="D33" s="30"/>
      <c r="E33" s="1"/>
      <c r="F33" s="1">
        <f>ROUND(E33/365,0)</f>
        <v>0</v>
      </c>
      <c r="G33" s="2" t="s">
        <v>33</v>
      </c>
      <c r="H33" s="25">
        <f>'[2]ATO-CWC2'!$C$19</f>
        <v>34.630000000000003</v>
      </c>
      <c r="I33" s="2" t="s">
        <v>43</v>
      </c>
      <c r="J33" s="25">
        <f>'[2]ATO-CWC6'!$E$24</f>
        <v>278.98849309944291</v>
      </c>
      <c r="K33" s="1"/>
      <c r="L33" s="26">
        <f>H33-J33</f>
        <v>-244.35849309944291</v>
      </c>
      <c r="M33" s="1"/>
      <c r="N33" s="1">
        <f>L33*F33</f>
        <v>0</v>
      </c>
      <c r="P33" s="1">
        <v>0</v>
      </c>
      <c r="Q33" s="27"/>
      <c r="R33" s="1">
        <f t="shared" ref="R33:R34" si="7">P33-N33</f>
        <v>0</v>
      </c>
    </row>
    <row r="34" spans="1:23" x14ac:dyDescent="0.25">
      <c r="A34" s="3">
        <v>23</v>
      </c>
      <c r="B34" s="1"/>
      <c r="C34" s="1" t="s">
        <v>45</v>
      </c>
      <c r="D34" s="30"/>
      <c r="E34" s="1">
        <f>'[1]C.2.3 B'!$O$58</f>
        <v>163557.69654330387</v>
      </c>
      <c r="F34" s="1">
        <f>ROUND(E34/365,0)</f>
        <v>448</v>
      </c>
      <c r="G34" s="2" t="s">
        <v>33</v>
      </c>
      <c r="H34" s="25">
        <f>'[2]ATO-CWC2'!$C$19</f>
        <v>34.630000000000003</v>
      </c>
      <c r="I34" s="2" t="s">
        <v>43</v>
      </c>
      <c r="J34" s="25">
        <f>'[2]ATO-CWC6'!$E$20</f>
        <v>13.680674076730011</v>
      </c>
      <c r="K34" s="1"/>
      <c r="L34" s="26">
        <f>H34-J34</f>
        <v>20.949325923269992</v>
      </c>
      <c r="M34" s="1"/>
      <c r="N34" s="1">
        <f>L34*F34</f>
        <v>9385.2980136249571</v>
      </c>
      <c r="P34" s="1">
        <v>9361.812820068204</v>
      </c>
      <c r="Q34" s="27"/>
      <c r="R34" s="1">
        <f t="shared" si="7"/>
        <v>-23.485193556753075</v>
      </c>
    </row>
    <row r="35" spans="1:23" x14ac:dyDescent="0.25">
      <c r="A35" s="3">
        <v>24</v>
      </c>
      <c r="B35" s="1" t="s">
        <v>51</v>
      </c>
      <c r="C35" s="1"/>
      <c r="D35" s="1"/>
      <c r="E35" s="33">
        <f>SUM(E21:E34)</f>
        <v>22637853.115499705</v>
      </c>
      <c r="F35" s="1"/>
      <c r="G35" s="2"/>
      <c r="H35" s="25"/>
      <c r="I35" s="2"/>
      <c r="J35" s="3"/>
      <c r="K35" s="1"/>
      <c r="L35" s="1"/>
      <c r="M35" s="1"/>
      <c r="N35" s="33">
        <f>SUM(N21:N34)</f>
        <v>-7542021.8680979908</v>
      </c>
      <c r="P35" s="33">
        <v>-7550098.8297162876</v>
      </c>
      <c r="Q35" s="27"/>
      <c r="R35" s="33">
        <f>SUM(R21:R34)</f>
        <v>-8076.9616182962563</v>
      </c>
    </row>
    <row r="36" spans="1:23" x14ac:dyDescent="0.25">
      <c r="A36" s="3">
        <v>25</v>
      </c>
      <c r="B36" s="1"/>
      <c r="C36" s="1"/>
      <c r="D36" s="1"/>
      <c r="E36" s="1"/>
      <c r="F36" s="1"/>
      <c r="G36" s="2"/>
      <c r="H36" s="25"/>
      <c r="I36" s="2"/>
      <c r="J36" s="3"/>
      <c r="K36" s="1"/>
      <c r="L36" s="1"/>
      <c r="M36" s="1"/>
      <c r="N36" s="1"/>
      <c r="P36" s="1"/>
      <c r="Q36" s="27"/>
      <c r="R36" s="1"/>
    </row>
    <row r="37" spans="1:23" x14ac:dyDescent="0.25">
      <c r="A37" s="3">
        <v>26</v>
      </c>
      <c r="B37" s="1" t="s">
        <v>52</v>
      </c>
      <c r="C37" s="1"/>
      <c r="D37" s="1"/>
      <c r="E37" s="2">
        <f>-E41+'[1]C.2'!$D$28</f>
        <v>6106611.887770474</v>
      </c>
      <c r="F37" s="1"/>
      <c r="G37" s="2"/>
      <c r="H37" s="3"/>
      <c r="I37" s="2"/>
      <c r="J37" s="3"/>
      <c r="K37" s="1"/>
      <c r="L37" s="1"/>
      <c r="M37" s="1"/>
      <c r="N37" s="1"/>
      <c r="P37" s="1"/>
      <c r="Q37" s="27"/>
      <c r="R37" s="1"/>
    </row>
    <row r="38" spans="1:23" x14ac:dyDescent="0.25">
      <c r="A38" s="3">
        <v>27</v>
      </c>
      <c r="B38" s="1"/>
      <c r="C38" s="1" t="s">
        <v>53</v>
      </c>
      <c r="D38" s="1"/>
      <c r="E38" s="1">
        <f>E37-E39</f>
        <v>0</v>
      </c>
      <c r="F38" s="1">
        <f>ROUND(E38/365,0)</f>
        <v>0</v>
      </c>
      <c r="G38" s="2" t="s">
        <v>33</v>
      </c>
      <c r="H38" s="25">
        <f>'[2]ATO-CWC2'!$C$19</f>
        <v>34.630000000000003</v>
      </c>
      <c r="I38" s="2" t="s">
        <v>54</v>
      </c>
      <c r="J38" s="25">
        <f>'[2]ATO-CWC7'!$H$16</f>
        <v>38.25</v>
      </c>
      <c r="K38" s="1"/>
      <c r="L38" s="26">
        <f>H38-J38</f>
        <v>-3.6199999999999974</v>
      </c>
      <c r="M38" s="1"/>
      <c r="N38" s="1">
        <f>L38*F38</f>
        <v>0</v>
      </c>
      <c r="P38" s="1">
        <v>0</v>
      </c>
      <c r="Q38" s="27"/>
      <c r="R38" s="1">
        <f t="shared" ref="R38:R39" si="8">P38-N38</f>
        <v>0</v>
      </c>
    </row>
    <row r="39" spans="1:23" x14ac:dyDescent="0.25">
      <c r="A39" s="3">
        <v>28</v>
      </c>
      <c r="B39" s="1"/>
      <c r="C39" s="1" t="s">
        <v>55</v>
      </c>
      <c r="D39" s="1"/>
      <c r="E39" s="1">
        <f>E37</f>
        <v>6106611.887770474</v>
      </c>
      <c r="F39" s="1">
        <f>ROUND(E39/365,0)</f>
        <v>16730</v>
      </c>
      <c r="G39" s="2" t="s">
        <v>33</v>
      </c>
      <c r="H39" s="44">
        <f>'[2]ATO-CWC2'!$C$19</f>
        <v>34.630000000000003</v>
      </c>
      <c r="I39" s="2" t="s">
        <v>54</v>
      </c>
      <c r="J39" s="25">
        <v>0</v>
      </c>
      <c r="K39" s="1"/>
      <c r="L39" s="26">
        <f>H39-J39</f>
        <v>34.630000000000003</v>
      </c>
      <c r="M39" s="1"/>
      <c r="N39" s="1">
        <f>L39*F39</f>
        <v>579359.9</v>
      </c>
      <c r="P39" s="1">
        <v>575392.12110360048</v>
      </c>
      <c r="Q39"/>
      <c r="R39" s="1">
        <f t="shared" si="8"/>
        <v>-3967.7788963995408</v>
      </c>
      <c r="S39"/>
      <c r="T39"/>
      <c r="U39"/>
      <c r="V39"/>
    </row>
    <row r="40" spans="1:23" x14ac:dyDescent="0.25">
      <c r="A40" s="3">
        <v>29</v>
      </c>
      <c r="B40" s="1"/>
      <c r="C40" s="1"/>
      <c r="D40" s="1"/>
      <c r="E40" s="1"/>
      <c r="F40" s="1"/>
      <c r="G40" s="2"/>
      <c r="H40" s="25"/>
      <c r="I40" s="2"/>
      <c r="J40" s="3"/>
      <c r="K40" s="1"/>
      <c r="L40" s="1"/>
      <c r="M40" s="1"/>
      <c r="N40" s="1"/>
      <c r="P40" s="1"/>
      <c r="Q40" s="27"/>
      <c r="R40" s="1"/>
    </row>
    <row r="41" spans="1:23" x14ac:dyDescent="0.25">
      <c r="A41" s="3">
        <v>30</v>
      </c>
      <c r="B41" s="1" t="s">
        <v>56</v>
      </c>
      <c r="C41" s="1"/>
      <c r="D41" s="1"/>
      <c r="E41" s="1">
        <f>'[1]C.2'!$D$28*[1]E!E36</f>
        <v>321400.62567213021</v>
      </c>
      <c r="F41" s="1"/>
      <c r="G41" s="2"/>
      <c r="H41" s="3"/>
      <c r="I41" s="2"/>
      <c r="J41" s="3"/>
      <c r="K41" s="1"/>
      <c r="L41" s="1"/>
      <c r="M41" s="1"/>
      <c r="N41" s="1"/>
      <c r="P41" s="1"/>
      <c r="Q41" s="27"/>
      <c r="R41" s="1"/>
    </row>
    <row r="42" spans="1:23" x14ac:dyDescent="0.25">
      <c r="A42" s="3">
        <v>31</v>
      </c>
      <c r="B42" s="1"/>
      <c r="C42" s="1" t="s">
        <v>53</v>
      </c>
      <c r="D42" s="1"/>
      <c r="E42" s="1">
        <f>E41-E43</f>
        <v>0</v>
      </c>
      <c r="F42" s="1">
        <f>ROUND(E42/365,0)</f>
        <v>0</v>
      </c>
      <c r="G42" s="2" t="s">
        <v>33</v>
      </c>
      <c r="H42" s="25">
        <f>'[2]ATO-CWC2'!$C$19</f>
        <v>34.630000000000003</v>
      </c>
      <c r="I42" s="2" t="s">
        <v>57</v>
      </c>
      <c r="J42" s="25">
        <f>'[2]ATO-CWC8'!H16</f>
        <v>38.25</v>
      </c>
      <c r="K42" s="1"/>
      <c r="L42" s="26">
        <f>H42-J42</f>
        <v>-3.6199999999999974</v>
      </c>
      <c r="M42" s="1"/>
      <c r="N42" s="1">
        <f>L42*F42</f>
        <v>0</v>
      </c>
      <c r="P42" s="1">
        <v>0</v>
      </c>
      <c r="Q42" s="27"/>
      <c r="R42" s="1">
        <f t="shared" ref="R42:R43" si="9">P42-N42</f>
        <v>0</v>
      </c>
    </row>
    <row r="43" spans="1:23" x14ac:dyDescent="0.25">
      <c r="A43" s="3">
        <v>32</v>
      </c>
      <c r="B43" s="1"/>
      <c r="C43" s="1" t="s">
        <v>55</v>
      </c>
      <c r="D43" s="1"/>
      <c r="E43" s="1">
        <f>E41</f>
        <v>321400.62567213021</v>
      </c>
      <c r="F43" s="1">
        <f>ROUND(E43/365,0)</f>
        <v>881</v>
      </c>
      <c r="G43" s="2" t="s">
        <v>33</v>
      </c>
      <c r="H43" s="25">
        <f>'[2]ATO-CWC2'!$C$19</f>
        <v>34.630000000000003</v>
      </c>
      <c r="I43" s="2" t="s">
        <v>57</v>
      </c>
      <c r="J43" s="25">
        <f>'[2]ATO-CWC8'!H17</f>
        <v>0</v>
      </c>
      <c r="K43" s="1"/>
      <c r="L43" s="26">
        <f>H43-J43</f>
        <v>34.630000000000003</v>
      </c>
      <c r="M43" s="1"/>
      <c r="N43" s="1">
        <f>L43*F43</f>
        <v>30509.030000000002</v>
      </c>
      <c r="P43" s="1">
        <v>30283.795847557922</v>
      </c>
      <c r="Q43"/>
      <c r="R43" s="1">
        <f t="shared" si="9"/>
        <v>-225.23415244208081</v>
      </c>
      <c r="S43"/>
      <c r="T43"/>
      <c r="U43"/>
      <c r="V43"/>
      <c r="W43"/>
    </row>
    <row r="44" spans="1:23" x14ac:dyDescent="0.25">
      <c r="A44" s="3">
        <v>33</v>
      </c>
      <c r="B44" s="1"/>
      <c r="C44" s="1"/>
      <c r="D44" s="1"/>
      <c r="E44" s="1"/>
      <c r="F44" s="1"/>
      <c r="G44" s="2"/>
      <c r="H44" s="25"/>
      <c r="I44" s="2"/>
      <c r="J44" s="3"/>
      <c r="K44" s="1"/>
      <c r="L44" s="26"/>
      <c r="M44" s="1"/>
      <c r="N44" s="1"/>
      <c r="P44" s="1"/>
      <c r="Q44" s="27"/>
      <c r="R44" s="1"/>
    </row>
    <row r="45" spans="1:23" x14ac:dyDescent="0.25">
      <c r="A45" s="3">
        <v>34</v>
      </c>
      <c r="B45" s="1" t="s">
        <v>58</v>
      </c>
      <c r="C45" s="1"/>
      <c r="D45" s="1"/>
      <c r="E45" s="1">
        <f>'[1]C.2'!$D$26</f>
        <v>19915761.448384304</v>
      </c>
      <c r="F45" s="1">
        <f>ROUND(E45/365,0)</f>
        <v>54564</v>
      </c>
      <c r="G45" s="2" t="s">
        <v>33</v>
      </c>
      <c r="H45" s="25">
        <f>'[2]ATO-CWC2'!$C$19</f>
        <v>34.630000000000003</v>
      </c>
      <c r="I45" s="2"/>
      <c r="J45" s="3">
        <v>0</v>
      </c>
      <c r="K45" s="1"/>
      <c r="L45" s="26">
        <f>H45-J45</f>
        <v>34.630000000000003</v>
      </c>
      <c r="M45" s="1"/>
      <c r="N45" s="1">
        <f>L45*F45</f>
        <v>1889551.32</v>
      </c>
      <c r="P45" s="1">
        <v>1884379.2867692583</v>
      </c>
      <c r="Q45" s="27"/>
      <c r="R45" s="1">
        <f>P45-N45</f>
        <v>-5172.0332307417411</v>
      </c>
    </row>
    <row r="46" spans="1:23" x14ac:dyDescent="0.25">
      <c r="A46" s="3">
        <v>35</v>
      </c>
      <c r="B46" s="1"/>
      <c r="C46" s="1"/>
      <c r="D46" s="1"/>
      <c r="E46" s="1"/>
      <c r="F46" s="1"/>
      <c r="G46" s="2"/>
      <c r="H46" s="25"/>
      <c r="I46" s="2"/>
      <c r="J46" s="3"/>
      <c r="K46" s="1"/>
      <c r="L46" s="26"/>
      <c r="M46" s="1"/>
      <c r="N46" s="1"/>
      <c r="P46" s="1"/>
      <c r="Q46" s="27"/>
      <c r="R46" s="1"/>
    </row>
    <row r="47" spans="1:23" x14ac:dyDescent="0.25">
      <c r="A47" s="3">
        <v>36</v>
      </c>
      <c r="B47" s="1" t="s">
        <v>59</v>
      </c>
      <c r="C47" s="1"/>
      <c r="D47" s="1"/>
      <c r="E47" s="1">
        <f>'[1]J-1 Base'!$M$19*'[1]B.1 B'!$F$27</f>
        <v>185516.91465078495</v>
      </c>
      <c r="F47" s="1">
        <f>ROUND(E47/365,0)</f>
        <v>508</v>
      </c>
      <c r="G47" s="2" t="s">
        <v>33</v>
      </c>
      <c r="H47" s="25">
        <f>'[2]ATO-CWC2'!$C$19</f>
        <v>34.630000000000003</v>
      </c>
      <c r="I47" s="34" t="s">
        <v>60</v>
      </c>
      <c r="J47" s="25">
        <v>19.399999999999999</v>
      </c>
      <c r="K47" s="1"/>
      <c r="L47" s="26">
        <f>H47-J47</f>
        <v>15.230000000000004</v>
      </c>
      <c r="M47" s="1"/>
      <c r="N47" s="1">
        <f>L47*F47</f>
        <v>7736.840000000002</v>
      </c>
      <c r="P47" s="1">
        <v>7804.3817505959596</v>
      </c>
      <c r="Q47" s="27"/>
      <c r="R47" s="1">
        <f>P47-N47</f>
        <v>67.541750595957637</v>
      </c>
    </row>
    <row r="48" spans="1:23" x14ac:dyDescent="0.25">
      <c r="A48" s="3">
        <v>37</v>
      </c>
      <c r="B48" s="1"/>
      <c r="C48" s="1"/>
      <c r="D48" s="1"/>
      <c r="E48" s="1"/>
      <c r="F48" s="1"/>
      <c r="G48" s="2"/>
      <c r="H48" s="25"/>
      <c r="I48" s="2"/>
      <c r="J48" s="3"/>
      <c r="K48" s="1"/>
      <c r="L48" s="1"/>
      <c r="M48" s="1"/>
      <c r="N48" s="1"/>
      <c r="P48" s="1"/>
      <c r="Q48" s="27"/>
      <c r="R48" s="1"/>
    </row>
    <row r="49" spans="1:18" x14ac:dyDescent="0.25">
      <c r="A49" s="3">
        <v>38</v>
      </c>
      <c r="B49" s="1" t="s">
        <v>61</v>
      </c>
      <c r="C49" s="1"/>
      <c r="D49" s="1"/>
      <c r="E49" s="1">
        <f>'[1]J-1 Base'!$M$21*'[1]B.1 B'!$F$27</f>
        <v>9523201.6187402941</v>
      </c>
      <c r="F49" s="1">
        <f>ROUND(E49/365,0)</f>
        <v>26091</v>
      </c>
      <c r="G49" s="2" t="s">
        <v>33</v>
      </c>
      <c r="H49" s="25">
        <f>'[2]ATO-CWC2'!$C$19</f>
        <v>34.630000000000003</v>
      </c>
      <c r="I49" s="2" t="s">
        <v>62</v>
      </c>
      <c r="J49" s="25">
        <f>'[2]ATO-CWC9'!U30</f>
        <v>91.401180616660156</v>
      </c>
      <c r="K49" s="1"/>
      <c r="L49" s="26">
        <f>H49-J49</f>
        <v>-56.771180616660153</v>
      </c>
      <c r="M49" s="1"/>
      <c r="N49" s="1">
        <f>L49*F49</f>
        <v>-1481216.8734692801</v>
      </c>
      <c r="P49" s="1">
        <v>-1493365.0855444346</v>
      </c>
      <c r="Q49" s="27"/>
      <c r="R49" s="1">
        <f t="shared" ref="R49:R51" si="10">P49-N49</f>
        <v>-12148.21207515453</v>
      </c>
    </row>
    <row r="50" spans="1:18" x14ac:dyDescent="0.25">
      <c r="A50" s="3">
        <v>39</v>
      </c>
      <c r="B50" s="42"/>
      <c r="C50" s="1"/>
      <c r="D50" s="1"/>
      <c r="E50" s="1"/>
      <c r="F50" s="1"/>
      <c r="G50" s="2"/>
      <c r="H50" s="25"/>
      <c r="I50" s="2"/>
      <c r="J50" s="25"/>
      <c r="K50" s="1"/>
      <c r="L50" s="26"/>
      <c r="M50" s="1"/>
      <c r="N50" s="1"/>
      <c r="P50" s="1"/>
      <c r="Q50" s="27"/>
      <c r="R50" s="1"/>
    </row>
    <row r="51" spans="1:18" x14ac:dyDescent="0.25">
      <c r="A51" s="3">
        <v>40</v>
      </c>
      <c r="B51" s="1" t="s">
        <v>63</v>
      </c>
      <c r="C51" s="1"/>
      <c r="D51" s="1"/>
      <c r="E51" s="28">
        <f>'[1]J-1 Base'!$M$25*'[1]B.1 B'!$F$27</f>
        <v>41246594.024024516</v>
      </c>
      <c r="F51" s="1">
        <f>ROUND(E51/365,0)</f>
        <v>113004</v>
      </c>
      <c r="G51" s="2" t="s">
        <v>33</v>
      </c>
      <c r="H51" s="25">
        <f>'[2]ATO-CWC2'!$C$19</f>
        <v>34.630000000000003</v>
      </c>
      <c r="I51" s="2"/>
      <c r="J51" s="3">
        <v>0</v>
      </c>
      <c r="K51" s="1"/>
      <c r="L51" s="26">
        <f>H51-J51</f>
        <v>34.630000000000003</v>
      </c>
      <c r="M51" s="1"/>
      <c r="N51" s="28">
        <f>L51*F51</f>
        <v>3913328.5200000005</v>
      </c>
      <c r="P51" s="28">
        <v>3945442.0791296358</v>
      </c>
      <c r="Q51" s="27"/>
      <c r="R51" s="28">
        <f t="shared" si="10"/>
        <v>32113.559129635338</v>
      </c>
    </row>
    <row r="52" spans="1:18" x14ac:dyDescent="0.25">
      <c r="A52" s="3">
        <v>41</v>
      </c>
      <c r="B52" s="1"/>
      <c r="C52" s="1"/>
      <c r="D52" s="1"/>
      <c r="E52" s="1"/>
      <c r="F52" s="1"/>
      <c r="G52" s="2"/>
      <c r="H52" s="25"/>
      <c r="I52" s="2"/>
      <c r="J52" s="3"/>
      <c r="K52" s="1"/>
      <c r="L52" s="1"/>
      <c r="M52" s="1"/>
      <c r="N52" s="1"/>
      <c r="P52" s="1"/>
      <c r="Q52" s="27"/>
      <c r="R52" s="1"/>
    </row>
    <row r="53" spans="1:18" ht="16.5" thickBot="1" x14ac:dyDescent="0.3">
      <c r="A53" s="3">
        <v>42</v>
      </c>
      <c r="B53" s="1" t="s">
        <v>64</v>
      </c>
      <c r="C53" s="1"/>
      <c r="D53" s="1"/>
      <c r="E53" s="1">
        <f>E13+E18+E35+E38+E39+E42+E43+E45+E47+E49+E50+E51</f>
        <v>186460593.64177379</v>
      </c>
      <c r="F53" s="1"/>
      <c r="G53" s="2"/>
      <c r="H53" s="25"/>
      <c r="I53" s="2"/>
      <c r="J53" s="25"/>
      <c r="K53" s="1"/>
      <c r="L53" s="1"/>
      <c r="M53" s="1"/>
      <c r="N53" s="35">
        <f>N13+N18+N35+N38+N39+N42+N43+N45+N47+N49+N50+N51</f>
        <v>-2306187.0357573833</v>
      </c>
      <c r="P53" s="35">
        <v>-1984329</v>
      </c>
      <c r="Q53" s="27"/>
      <c r="R53" s="35">
        <f>R13+R18+R35+R38+R39+R42+R43+R45+R47+R49+R50+R51</f>
        <v>321858.12693268521</v>
      </c>
    </row>
    <row r="54" spans="1:18" ht="16.5" thickTop="1" x14ac:dyDescent="0.25">
      <c r="A54" s="3">
        <v>43</v>
      </c>
      <c r="H54" s="37"/>
    </row>
    <row r="55" spans="1:18" x14ac:dyDescent="0.25">
      <c r="A55" s="3">
        <v>44</v>
      </c>
      <c r="B55" s="29" t="s">
        <v>65</v>
      </c>
      <c r="C55"/>
      <c r="D55"/>
      <c r="E55"/>
      <c r="F55"/>
      <c r="G55"/>
      <c r="H55"/>
      <c r="I55"/>
      <c r="J55"/>
      <c r="K55"/>
    </row>
    <row r="56" spans="1:18" x14ac:dyDescent="0.25">
      <c r="C56" s="14"/>
      <c r="D56" s="14"/>
      <c r="E56"/>
      <c r="F56" s="14"/>
      <c r="G56" s="38"/>
      <c r="H56" s="39"/>
      <c r="I56" s="38"/>
      <c r="J56" s="40"/>
      <c r="K56" s="14"/>
      <c r="L56" s="14"/>
      <c r="M56" s="14"/>
    </row>
    <row r="57" spans="1:18" x14ac:dyDescent="0.25">
      <c r="B57" s="14"/>
      <c r="E57"/>
      <c r="H57" s="37"/>
    </row>
    <row r="58" spans="1:18" x14ac:dyDescent="0.25">
      <c r="C58" s="41"/>
      <c r="D58" s="41"/>
      <c r="H58" s="37"/>
    </row>
    <row r="59" spans="1:18" x14ac:dyDescent="0.25">
      <c r="H59" s="37"/>
    </row>
    <row r="60" spans="1:18" x14ac:dyDescent="0.25">
      <c r="H60" s="37"/>
    </row>
    <row r="61" spans="1:18" x14ac:dyDescent="0.25">
      <c r="H61" s="37"/>
    </row>
    <row r="62" spans="1:18" x14ac:dyDescent="0.25">
      <c r="H62" s="37"/>
    </row>
    <row r="63" spans="1:18" x14ac:dyDescent="0.25">
      <c r="H63" s="37"/>
    </row>
    <row r="64" spans="1:18" x14ac:dyDescent="0.25">
      <c r="H64" s="37"/>
    </row>
    <row r="65" spans="2:8" x14ac:dyDescent="0.25">
      <c r="H65" s="37"/>
    </row>
    <row r="66" spans="2:8" x14ac:dyDescent="0.25">
      <c r="B66"/>
      <c r="C66"/>
      <c r="D66"/>
      <c r="E66"/>
      <c r="F66"/>
      <c r="G66"/>
      <c r="H66" s="37"/>
    </row>
    <row r="67" spans="2:8" x14ac:dyDescent="0.25">
      <c r="B67"/>
      <c r="C67"/>
      <c r="D67"/>
      <c r="E67"/>
      <c r="F67"/>
      <c r="G67"/>
      <c r="H67" s="37"/>
    </row>
    <row r="68" spans="2:8" x14ac:dyDescent="0.25">
      <c r="B68"/>
      <c r="C68"/>
      <c r="D68"/>
      <c r="E68"/>
      <c r="F68"/>
      <c r="G68"/>
      <c r="H68" s="37"/>
    </row>
    <row r="69" spans="2:8" x14ac:dyDescent="0.25">
      <c r="B69"/>
      <c r="C69"/>
      <c r="D69"/>
      <c r="E69"/>
      <c r="F69"/>
      <c r="G69"/>
      <c r="H69" s="37"/>
    </row>
    <row r="70" spans="2:8" x14ac:dyDescent="0.25">
      <c r="B70"/>
      <c r="C70"/>
      <c r="D70"/>
      <c r="E70"/>
      <c r="F70"/>
      <c r="G70"/>
      <c r="H70" s="37"/>
    </row>
    <row r="71" spans="2:8" x14ac:dyDescent="0.25">
      <c r="B71"/>
      <c r="C71"/>
      <c r="D71"/>
      <c r="E71"/>
      <c r="F71"/>
      <c r="G71"/>
      <c r="H71" s="37"/>
    </row>
    <row r="72" spans="2:8" x14ac:dyDescent="0.25">
      <c r="B72"/>
      <c r="C72"/>
      <c r="D72"/>
      <c r="E72"/>
      <c r="F72"/>
      <c r="G72"/>
      <c r="H72" s="37"/>
    </row>
    <row r="73" spans="2:8" x14ac:dyDescent="0.25">
      <c r="B73"/>
      <c r="C73"/>
      <c r="D73"/>
      <c r="E73"/>
      <c r="F73"/>
      <c r="G73"/>
      <c r="H73" s="37"/>
    </row>
    <row r="74" spans="2:8" x14ac:dyDescent="0.25">
      <c r="B74"/>
      <c r="C74"/>
      <c r="D74"/>
      <c r="E74"/>
      <c r="F74"/>
      <c r="G74"/>
      <c r="H74" s="37"/>
    </row>
    <row r="75" spans="2:8" x14ac:dyDescent="0.25">
      <c r="B75"/>
      <c r="C75"/>
      <c r="D75"/>
      <c r="E75"/>
      <c r="F75"/>
      <c r="G75"/>
      <c r="H75" s="37"/>
    </row>
    <row r="76" spans="2:8" x14ac:dyDescent="0.25">
      <c r="B76"/>
      <c r="C76"/>
      <c r="D76"/>
      <c r="E76"/>
      <c r="F76"/>
      <c r="G76"/>
      <c r="H76" s="37"/>
    </row>
    <row r="77" spans="2:8" x14ac:dyDescent="0.25">
      <c r="B77"/>
      <c r="C77"/>
      <c r="D77"/>
      <c r="E77"/>
      <c r="F77"/>
      <c r="G77"/>
      <c r="H77" s="37"/>
    </row>
    <row r="78" spans="2:8" x14ac:dyDescent="0.25">
      <c r="B78"/>
      <c r="C78"/>
      <c r="D78"/>
      <c r="E78"/>
      <c r="F78"/>
      <c r="G78"/>
      <c r="H78" s="37"/>
    </row>
    <row r="79" spans="2:8" x14ac:dyDescent="0.25">
      <c r="B79"/>
      <c r="C79"/>
      <c r="D79"/>
      <c r="E79"/>
      <c r="F79"/>
      <c r="G79"/>
      <c r="H79" s="37"/>
    </row>
    <row r="80" spans="2:8" x14ac:dyDescent="0.25">
      <c r="H80" s="37"/>
    </row>
    <row r="81" spans="8:8" x14ac:dyDescent="0.25">
      <c r="H81" s="37"/>
    </row>
    <row r="82" spans="8:8" x14ac:dyDescent="0.25">
      <c r="H82" s="37"/>
    </row>
    <row r="83" spans="8:8" x14ac:dyDescent="0.25">
      <c r="H83" s="37"/>
    </row>
    <row r="84" spans="8:8" x14ac:dyDescent="0.25">
      <c r="H84" s="37"/>
    </row>
    <row r="85" spans="8:8" x14ac:dyDescent="0.25">
      <c r="H85" s="37"/>
    </row>
    <row r="86" spans="8:8" x14ac:dyDescent="0.25">
      <c r="H86" s="37"/>
    </row>
    <row r="87" spans="8:8" x14ac:dyDescent="0.25">
      <c r="H87" s="37"/>
    </row>
    <row r="88" spans="8:8" x14ac:dyDescent="0.25">
      <c r="H88" s="37"/>
    </row>
    <row r="89" spans="8:8" x14ac:dyDescent="0.25">
      <c r="H89" s="37"/>
    </row>
    <row r="90" spans="8:8" x14ac:dyDescent="0.25">
      <c r="H90" s="37"/>
    </row>
    <row r="91" spans="8:8" x14ac:dyDescent="0.25">
      <c r="H91" s="37"/>
    </row>
    <row r="92" spans="8:8" x14ac:dyDescent="0.25">
      <c r="H92" s="37"/>
    </row>
    <row r="93" spans="8:8" x14ac:dyDescent="0.25">
      <c r="H93" s="37"/>
    </row>
    <row r="94" spans="8:8" x14ac:dyDescent="0.25">
      <c r="H94" s="37"/>
    </row>
    <row r="95" spans="8:8" x14ac:dyDescent="0.25">
      <c r="H95" s="37"/>
    </row>
    <row r="96" spans="8:8" x14ac:dyDescent="0.25">
      <c r="H96" s="37"/>
    </row>
    <row r="97" spans="8:8" x14ac:dyDescent="0.25">
      <c r="H97" s="37"/>
    </row>
    <row r="98" spans="8:8" x14ac:dyDescent="0.25">
      <c r="H98" s="37"/>
    </row>
    <row r="99" spans="8:8" x14ac:dyDescent="0.25">
      <c r="H99" s="37"/>
    </row>
    <row r="100" spans="8:8" x14ac:dyDescent="0.25">
      <c r="H100" s="37"/>
    </row>
    <row r="101" spans="8:8" x14ac:dyDescent="0.25">
      <c r="H101" s="37"/>
    </row>
    <row r="102" spans="8:8" x14ac:dyDescent="0.25">
      <c r="H102" s="37"/>
    </row>
    <row r="103" spans="8:8" x14ac:dyDescent="0.25">
      <c r="H103" s="37"/>
    </row>
    <row r="104" spans="8:8" x14ac:dyDescent="0.25">
      <c r="H104" s="37"/>
    </row>
    <row r="105" spans="8:8" x14ac:dyDescent="0.25">
      <c r="H105" s="37"/>
    </row>
    <row r="106" spans="8:8" x14ac:dyDescent="0.25">
      <c r="H106" s="37"/>
    </row>
    <row r="107" spans="8:8" x14ac:dyDescent="0.25">
      <c r="H107" s="37"/>
    </row>
    <row r="108" spans="8:8" x14ac:dyDescent="0.25">
      <c r="H108" s="37"/>
    </row>
    <row r="109" spans="8:8" x14ac:dyDescent="0.25">
      <c r="H109" s="37"/>
    </row>
    <row r="110" spans="8:8" x14ac:dyDescent="0.25">
      <c r="H110" s="37"/>
    </row>
    <row r="111" spans="8:8" x14ac:dyDescent="0.25">
      <c r="H111" s="37"/>
    </row>
    <row r="112" spans="8:8" x14ac:dyDescent="0.25">
      <c r="H112" s="37"/>
    </row>
    <row r="113" spans="8:8" x14ac:dyDescent="0.25">
      <c r="H113" s="37"/>
    </row>
    <row r="114" spans="8:8" x14ac:dyDescent="0.25">
      <c r="H114" s="37"/>
    </row>
    <row r="115" spans="8:8" x14ac:dyDescent="0.25">
      <c r="H115" s="37"/>
    </row>
    <row r="116" spans="8:8" x14ac:dyDescent="0.25">
      <c r="H116" s="37"/>
    </row>
    <row r="117" spans="8:8" x14ac:dyDescent="0.25">
      <c r="H117" s="37"/>
    </row>
    <row r="118" spans="8:8" x14ac:dyDescent="0.25">
      <c r="H118" s="37"/>
    </row>
    <row r="119" spans="8:8" x14ac:dyDescent="0.25">
      <c r="H119" s="37"/>
    </row>
    <row r="120" spans="8:8" x14ac:dyDescent="0.25">
      <c r="H120" s="37"/>
    </row>
    <row r="121" spans="8:8" x14ac:dyDescent="0.25">
      <c r="H121" s="37"/>
    </row>
    <row r="122" spans="8:8" x14ac:dyDescent="0.25">
      <c r="H122" s="37"/>
    </row>
    <row r="123" spans="8:8" x14ac:dyDescent="0.25">
      <c r="H123" s="37"/>
    </row>
    <row r="124" spans="8:8" x14ac:dyDescent="0.25">
      <c r="H124" s="37"/>
    </row>
    <row r="125" spans="8:8" x14ac:dyDescent="0.25">
      <c r="H125" s="37"/>
    </row>
    <row r="126" spans="8:8" x14ac:dyDescent="0.25">
      <c r="H126" s="37"/>
    </row>
    <row r="127" spans="8:8" x14ac:dyDescent="0.25">
      <c r="H127" s="37"/>
    </row>
    <row r="128" spans="8:8" x14ac:dyDescent="0.25">
      <c r="H128" s="37"/>
    </row>
    <row r="129" spans="8:8" x14ac:dyDescent="0.25">
      <c r="H129" s="37"/>
    </row>
    <row r="130" spans="8:8" x14ac:dyDescent="0.25">
      <c r="H130" s="37"/>
    </row>
    <row r="131" spans="8:8" x14ac:dyDescent="0.25">
      <c r="H131" s="37"/>
    </row>
    <row r="132" spans="8:8" x14ac:dyDescent="0.25">
      <c r="H132" s="37"/>
    </row>
    <row r="133" spans="8:8" x14ac:dyDescent="0.25">
      <c r="H133" s="37"/>
    </row>
    <row r="134" spans="8:8" x14ac:dyDescent="0.25">
      <c r="H134" s="37"/>
    </row>
    <row r="135" spans="8:8" x14ac:dyDescent="0.25">
      <c r="H135" s="37"/>
    </row>
    <row r="136" spans="8:8" x14ac:dyDescent="0.25">
      <c r="H136" s="37"/>
    </row>
    <row r="137" spans="8:8" x14ac:dyDescent="0.25">
      <c r="H137" s="37"/>
    </row>
    <row r="138" spans="8:8" x14ac:dyDescent="0.25">
      <c r="H138" s="37"/>
    </row>
    <row r="139" spans="8:8" x14ac:dyDescent="0.25">
      <c r="H139" s="37"/>
    </row>
    <row r="140" spans="8:8" x14ac:dyDescent="0.25">
      <c r="H140" s="37"/>
    </row>
    <row r="141" spans="8:8" x14ac:dyDescent="0.25">
      <c r="H141" s="37"/>
    </row>
    <row r="142" spans="8:8" x14ac:dyDescent="0.25">
      <c r="H142" s="37"/>
    </row>
    <row r="143" spans="8:8" x14ac:dyDescent="0.25">
      <c r="H143" s="37"/>
    </row>
    <row r="144" spans="8:8" x14ac:dyDescent="0.25">
      <c r="H144" s="37"/>
    </row>
    <row r="145" spans="8:8" x14ac:dyDescent="0.25">
      <c r="H145" s="37"/>
    </row>
    <row r="146" spans="8:8" x14ac:dyDescent="0.25">
      <c r="H146" s="37"/>
    </row>
    <row r="147" spans="8:8" x14ac:dyDescent="0.25">
      <c r="H147" s="37"/>
    </row>
    <row r="148" spans="8:8" x14ac:dyDescent="0.25">
      <c r="H148" s="37"/>
    </row>
    <row r="149" spans="8:8" x14ac:dyDescent="0.25">
      <c r="H149" s="37"/>
    </row>
    <row r="150" spans="8:8" x14ac:dyDescent="0.25">
      <c r="H150" s="37"/>
    </row>
    <row r="151" spans="8:8" x14ac:dyDescent="0.25">
      <c r="H151" s="37"/>
    </row>
    <row r="152" spans="8:8" x14ac:dyDescent="0.25">
      <c r="H152" s="37"/>
    </row>
    <row r="153" spans="8:8" x14ac:dyDescent="0.25">
      <c r="H153" s="37"/>
    </row>
    <row r="154" spans="8:8" x14ac:dyDescent="0.25">
      <c r="H154" s="37"/>
    </row>
    <row r="155" spans="8:8" x14ac:dyDescent="0.25">
      <c r="H155" s="37"/>
    </row>
    <row r="156" spans="8:8" x14ac:dyDescent="0.25">
      <c r="H156" s="37"/>
    </row>
    <row r="157" spans="8:8" x14ac:dyDescent="0.25">
      <c r="H157" s="37"/>
    </row>
    <row r="158" spans="8:8" x14ac:dyDescent="0.25">
      <c r="H158" s="37"/>
    </row>
    <row r="159" spans="8:8" x14ac:dyDescent="0.25">
      <c r="H159" s="37"/>
    </row>
    <row r="160" spans="8:8" x14ac:dyDescent="0.25">
      <c r="H160" s="37"/>
    </row>
    <row r="161" spans="8:8" x14ac:dyDescent="0.25">
      <c r="H161" s="37"/>
    </row>
    <row r="162" spans="8:8" x14ac:dyDescent="0.25">
      <c r="H162" s="37"/>
    </row>
    <row r="163" spans="8:8" x14ac:dyDescent="0.25">
      <c r="H163" s="37"/>
    </row>
    <row r="164" spans="8:8" x14ac:dyDescent="0.25">
      <c r="H164" s="37"/>
    </row>
    <row r="165" spans="8:8" x14ac:dyDescent="0.25">
      <c r="H165" s="37"/>
    </row>
    <row r="166" spans="8:8" x14ac:dyDescent="0.25">
      <c r="H166" s="37"/>
    </row>
    <row r="167" spans="8:8" x14ac:dyDescent="0.25">
      <c r="H167" s="37"/>
    </row>
    <row r="168" spans="8:8" x14ac:dyDescent="0.25">
      <c r="H168" s="37"/>
    </row>
    <row r="169" spans="8:8" x14ac:dyDescent="0.25">
      <c r="H169" s="37"/>
    </row>
  </sheetData>
  <mergeCells count="1">
    <mergeCell ref="P12:R12"/>
  </mergeCells>
  <printOptions horizontalCentered="1"/>
  <pageMargins left="0.95" right="0.5" top="1" bottom="0.5" header="0.25" footer="0.5"/>
  <pageSetup scale="60" orientation="landscape" horizontalDpi="300" r:id="rId1"/>
  <headerFooter alignWithMargins="0">
    <oddHeader>&amp;R&amp;"Arial,Bold"Exhibit JTC-R-4
Page &amp;P of &amp;N&amp;"+,Regular"
ATO-1 Lead Lag Study</oddHeader>
    <oddFooter>&amp;R&amp;"Arial,Regular"&amp;10Page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ATO-CWC1A_R</vt:lpstr>
      <vt:lpstr>ATO-CWC1B_R</vt:lpstr>
      <vt:lpstr>'ATO-CWC1A_R'!Print_Area</vt:lpstr>
      <vt:lpstr>'ATO-CWC1B_R'!Print_Area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Christian, Joe</dc:creator>
  <cp:lastModifiedBy>Christian, Joe</cp:lastModifiedBy>
  <cp:lastPrinted>2025-03-06T23:09:56Z</cp:lastPrinted>
  <dcterms:created xsi:type="dcterms:W3CDTF">2025-03-06T21:26:28Z</dcterms:created>
  <dcterms:modified xsi:type="dcterms:W3CDTF">2025-03-08T22:28:46Z</dcterms:modified>
</cp:coreProperties>
</file>